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rhoz\netshare\tumplan\эл.почта\ОТЧЕТЫ ЭКОНОМИСТЫ\Программа\Проекты постановлений\Программа 2021-2025\изм. Думы реш. 1470+1483+1495\"/>
    </mc:Choice>
  </mc:AlternateContent>
  <xr:revisionPtr revIDLastSave="0" documentId="13_ncr:1_{CA480A43-961C-437B-9F74-0577E0FF50B9}" xr6:coauthVersionLast="47" xr6:coauthVersionMax="47" xr10:uidLastSave="{00000000-0000-0000-0000-000000000000}"/>
  <bookViews>
    <workbookView xWindow="-120" yWindow="-120" windowWidth="29040" windowHeight="15840" tabRatio="599" activeTab="2" xr2:uid="{00000000-000D-0000-FFFF-FFFF00000000}"/>
  </bookViews>
  <sheets>
    <sheet name="конеч.рез." sheetId="9" r:id="rId1"/>
    <sheet name="1.переченьПБДД" sheetId="5" r:id="rId2"/>
    <sheet name="2.переченьМРАД" sheetId="1" r:id="rId3"/>
    <sheet name="3.меропр." sheetId="4" r:id="rId4"/>
    <sheet name="4.индик." sheetId="8" r:id="rId5"/>
  </sheets>
  <externalReferences>
    <externalReference r:id="rId6"/>
    <externalReference r:id="rId7"/>
    <externalReference r:id="rId8"/>
  </externalReferences>
  <definedNames>
    <definedName name="_xlnm._FilterDatabase" localSheetId="1" hidden="1">'1.переченьПБДД'!#REF!</definedName>
    <definedName name="_xlnm._FilterDatabase" localSheetId="2" hidden="1">'2.переченьМРАД'!$A$4:$AC$6</definedName>
    <definedName name="_xlnm._FilterDatabase" localSheetId="3" hidden="1">'3.меропр.'!#REF!</definedName>
    <definedName name="Aс1">'3.меропр.'!#REF!</definedName>
    <definedName name="_xlnm.Print_Titles" localSheetId="1">'1.переченьПБДД'!$4:$7</definedName>
    <definedName name="_xlnm.Print_Titles" localSheetId="2">'2.переченьМРАД'!$4:$7</definedName>
    <definedName name="_xlnm.Print_Titles" localSheetId="3">'3.меропр.'!$4:$7</definedName>
    <definedName name="_xlnm.Print_Titles" localSheetId="4">'4.индик.'!$5:$9</definedName>
    <definedName name="_xlnm.Print_Titles" localSheetId="0">конеч.рез.!$3:$5</definedName>
    <definedName name="_xlnm.Print_Area" localSheetId="1">'1.переченьПБДД'!$A$1:$AB$411</definedName>
    <definedName name="_xlnm.Print_Area" localSheetId="2">'2.переченьМРАД'!$A$1:$AC$557</definedName>
    <definedName name="_xlnm.Print_Area" localSheetId="3">'3.меропр.'!$A$1:$AD$85</definedName>
    <definedName name="_xlnm.Print_Area" localSheetId="4">'4.индик.'!$A$1:$J$119</definedName>
    <definedName name="_xlnm.Print_Area" localSheetId="0">конеч.рез.!$A$1:$I$25</definedName>
  </definedNames>
  <calcPr calcId="181029"/>
</workbook>
</file>

<file path=xl/calcChain.xml><?xml version="1.0" encoding="utf-8"?>
<calcChain xmlns="http://schemas.openxmlformats.org/spreadsheetml/2006/main">
  <c r="R50" i="4" l="1"/>
  <c r="AA82" i="4"/>
  <c r="S305" i="5" l="1"/>
  <c r="H27" i="8" l="1"/>
  <c r="J27" i="8" l="1"/>
  <c r="J26" i="8"/>
  <c r="I27" i="8"/>
  <c r="I26" i="8"/>
  <c r="H26" i="8" l="1"/>
  <c r="H22" i="8" l="1"/>
  <c r="H21" i="8"/>
  <c r="P16" i="4"/>
  <c r="P29" i="4"/>
  <c r="N370" i="5"/>
  <c r="N94" i="5"/>
  <c r="P15" i="4"/>
  <c r="N29" i="5"/>
  <c r="H80" i="8"/>
  <c r="H36" i="8" l="1"/>
  <c r="H19" i="8" l="1"/>
  <c r="H17" i="8"/>
  <c r="S116" i="1" l="1"/>
  <c r="S237" i="1"/>
  <c r="S239" i="1"/>
  <c r="C114" i="1"/>
  <c r="K114" i="1"/>
  <c r="P114" i="1"/>
  <c r="Z114" i="1"/>
  <c r="D114" i="1" l="1"/>
  <c r="H86" i="8" l="1"/>
  <c r="E247" i="1" l="1"/>
  <c r="C247" i="1" s="1"/>
  <c r="F247" i="1"/>
  <c r="K247" i="1"/>
  <c r="P247" i="1"/>
  <c r="Z247" i="1"/>
  <c r="D247" i="1" l="1"/>
  <c r="U81" i="4"/>
  <c r="U78" i="4"/>
  <c r="P78" i="4"/>
  <c r="G8" i="9"/>
  <c r="Z75" i="4"/>
  <c r="U75" i="4"/>
  <c r="P75" i="4"/>
  <c r="H53" i="8" l="1"/>
  <c r="H37" i="8"/>
  <c r="E246" i="1" l="1"/>
  <c r="C246" i="1" s="1"/>
  <c r="F246" i="1"/>
  <c r="K246" i="1"/>
  <c r="P246" i="1"/>
  <c r="Z246" i="1"/>
  <c r="E245" i="1"/>
  <c r="C245" i="1" s="1"/>
  <c r="F245" i="1"/>
  <c r="K245" i="1"/>
  <c r="P245" i="1"/>
  <c r="Z245" i="1"/>
  <c r="C248" i="1"/>
  <c r="H248" i="1"/>
  <c r="F248" i="1" s="1"/>
  <c r="D248" i="1" s="1"/>
  <c r="I248" i="1"/>
  <c r="K248" i="1"/>
  <c r="P248" i="1"/>
  <c r="D246" i="1" l="1"/>
  <c r="D245" i="1"/>
  <c r="P113" i="1"/>
  <c r="M380" i="5"/>
  <c r="P58" i="4" l="1"/>
  <c r="E244" i="1"/>
  <c r="C244" i="1" s="1"/>
  <c r="F244" i="1"/>
  <c r="K244" i="1"/>
  <c r="P244" i="1"/>
  <c r="Z244" i="1"/>
  <c r="D244" i="1" l="1"/>
  <c r="S554" i="1" l="1"/>
  <c r="R554" i="1"/>
  <c r="Q45" i="4"/>
  <c r="P34" i="4"/>
  <c r="N406" i="5"/>
  <c r="P21" i="4"/>
  <c r="N151" i="5"/>
  <c r="P18" i="4"/>
  <c r="N131" i="5"/>
  <c r="P554" i="1" l="1"/>
  <c r="S435" i="1" l="1"/>
  <c r="P70" i="1"/>
  <c r="C462" i="1"/>
  <c r="F462" i="1"/>
  <c r="K462" i="1"/>
  <c r="P462" i="1"/>
  <c r="Z462" i="1"/>
  <c r="D462" i="1" l="1"/>
  <c r="G84" i="8" l="1"/>
  <c r="P262" i="1"/>
  <c r="P263" i="1"/>
  <c r="P264" i="1" l="1"/>
  <c r="F21" i="9" l="1"/>
  <c r="G10" i="9"/>
  <c r="H12" i="9"/>
  <c r="G12" i="9"/>
  <c r="I87" i="8"/>
  <c r="H87" i="8"/>
  <c r="J35" i="8"/>
  <c r="I35" i="8"/>
  <c r="H35" i="8"/>
  <c r="G33" i="8" l="1"/>
  <c r="G50" i="8"/>
  <c r="G48" i="8"/>
  <c r="J67" i="1"/>
  <c r="J40" i="1"/>
  <c r="N96" i="1" l="1"/>
  <c r="K87" i="1"/>
  <c r="K88" i="1"/>
  <c r="K89" i="1"/>
  <c r="K85" i="1"/>
  <c r="K86" i="1"/>
  <c r="P45" i="4"/>
  <c r="F72" i="1"/>
  <c r="K72" i="1"/>
  <c r="P72" i="1"/>
  <c r="M40" i="1"/>
  <c r="D72" i="1" l="1"/>
  <c r="H48" i="8"/>
  <c r="H9" i="9"/>
  <c r="G9" i="9"/>
  <c r="I8" i="9"/>
  <c r="H8" i="9"/>
  <c r="N297" i="1"/>
  <c r="N109" i="1"/>
  <c r="N165" i="1"/>
  <c r="Z288" i="1"/>
  <c r="U288" i="1"/>
  <c r="P288" i="1"/>
  <c r="K288" i="1"/>
  <c r="F288" i="1"/>
  <c r="C288" i="1"/>
  <c r="Z287" i="1"/>
  <c r="U287" i="1"/>
  <c r="P287" i="1"/>
  <c r="K287" i="1"/>
  <c r="F287" i="1"/>
  <c r="C287" i="1"/>
  <c r="Z286" i="1"/>
  <c r="U286" i="1"/>
  <c r="P286" i="1"/>
  <c r="K286" i="1"/>
  <c r="F286" i="1"/>
  <c r="C286" i="1"/>
  <c r="M117" i="1"/>
  <c r="M67" i="1"/>
  <c r="I406" i="5"/>
  <c r="I112" i="5"/>
  <c r="K34" i="4"/>
  <c r="K17" i="4"/>
  <c r="J15" i="8"/>
  <c r="I33" i="8"/>
  <c r="J33" i="8"/>
  <c r="H33" i="8"/>
  <c r="D286" i="1" l="1"/>
  <c r="D288" i="1"/>
  <c r="D287" i="1"/>
  <c r="I28" i="8" l="1"/>
  <c r="J28" i="8"/>
  <c r="H28" i="8"/>
  <c r="J17" i="8" l="1"/>
  <c r="I17" i="8"/>
  <c r="I108" i="8" l="1"/>
  <c r="H108" i="8"/>
  <c r="J94" i="8"/>
  <c r="J93" i="8" l="1"/>
  <c r="I93" i="8"/>
  <c r="H93" i="8"/>
  <c r="J86" i="8" l="1"/>
  <c r="I84" i="8"/>
  <c r="H84" i="8"/>
  <c r="J78" i="8"/>
  <c r="I78" i="8"/>
  <c r="H78" i="8"/>
  <c r="I53" i="8" l="1"/>
  <c r="H52" i="8"/>
  <c r="O64" i="1" l="1"/>
  <c r="I48" i="8"/>
  <c r="O22" i="1"/>
  <c r="O23" i="1"/>
  <c r="U77" i="1" l="1"/>
  <c r="X76" i="1"/>
  <c r="U76" i="1" s="1"/>
  <c r="X74" i="1"/>
  <c r="J99" i="8" l="1"/>
  <c r="I99" i="8"/>
  <c r="J113" i="8" l="1"/>
  <c r="J112" i="8"/>
  <c r="I36" i="8"/>
  <c r="I31" i="8"/>
  <c r="H31" i="8"/>
  <c r="H23" i="8" l="1"/>
  <c r="J22" i="8"/>
  <c r="I22" i="8"/>
  <c r="J19" i="8" l="1"/>
  <c r="I19" i="8"/>
  <c r="I15" i="8" l="1"/>
  <c r="Y529" i="1" l="1"/>
  <c r="Y435" i="1"/>
  <c r="V95" i="1" l="1"/>
  <c r="W95" i="1"/>
  <c r="X95" i="1"/>
  <c r="Y52" i="1"/>
  <c r="Z100" i="1"/>
  <c r="Z101" i="1"/>
  <c r="Z102" i="1"/>
  <c r="Z103" i="1"/>
  <c r="T471" i="1"/>
  <c r="AC432" i="1"/>
  <c r="U433" i="1"/>
  <c r="Q95" i="1" l="1"/>
  <c r="R95" i="1"/>
  <c r="P20" i="1"/>
  <c r="P40" i="1"/>
  <c r="S19" i="1"/>
  <c r="Z24" i="4" l="1"/>
  <c r="Z27" i="4"/>
  <c r="W305" i="5"/>
  <c r="AA47" i="4"/>
  <c r="Z47" i="4"/>
  <c r="C289" i="1"/>
  <c r="F289" i="1"/>
  <c r="K289" i="1"/>
  <c r="P289" i="1"/>
  <c r="U289" i="1"/>
  <c r="Z289" i="1"/>
  <c r="C290" i="1"/>
  <c r="F290" i="1"/>
  <c r="K290" i="1"/>
  <c r="P290" i="1"/>
  <c r="U290" i="1"/>
  <c r="Z290" i="1"/>
  <c r="C291" i="1"/>
  <c r="F291" i="1"/>
  <c r="K291" i="1"/>
  <c r="P291" i="1"/>
  <c r="U291" i="1"/>
  <c r="Z291" i="1"/>
  <c r="C292" i="1"/>
  <c r="F292" i="1"/>
  <c r="K292" i="1"/>
  <c r="P292" i="1"/>
  <c r="U292" i="1"/>
  <c r="Z292" i="1"/>
  <c r="C293" i="1"/>
  <c r="F293" i="1"/>
  <c r="K293" i="1"/>
  <c r="P293" i="1"/>
  <c r="U293" i="1"/>
  <c r="Z293" i="1"/>
  <c r="D293" i="1" l="1"/>
  <c r="D290" i="1"/>
  <c r="D292" i="1"/>
  <c r="D291" i="1"/>
  <c r="D289" i="1"/>
  <c r="Z243" i="1" l="1"/>
  <c r="P243" i="1"/>
  <c r="K243" i="1"/>
  <c r="F243" i="1"/>
  <c r="E243" i="1"/>
  <c r="C243" i="1" s="1"/>
  <c r="S74" i="1"/>
  <c r="S95" i="1" s="1"/>
  <c r="P42" i="4" s="1"/>
  <c r="Z236" i="1"/>
  <c r="P115" i="1"/>
  <c r="D243" i="1" l="1"/>
  <c r="J76" i="4"/>
  <c r="E76" i="4"/>
  <c r="Y76" i="4"/>
  <c r="T76" i="4"/>
  <c r="O76" i="4"/>
  <c r="AD76" i="4" l="1"/>
  <c r="O435" i="1" l="1"/>
  <c r="AC165" i="1" l="1"/>
  <c r="X165" i="1"/>
  <c r="S165" i="1"/>
  <c r="AC235" i="1"/>
  <c r="Z235" i="1" s="1"/>
  <c r="X235" i="1"/>
  <c r="S235" i="1"/>
  <c r="U237" i="1"/>
  <c r="U240" i="1"/>
  <c r="Z240" i="1"/>
  <c r="AC167" i="1"/>
  <c r="X167" i="1"/>
  <c r="S167" i="1"/>
  <c r="K166" i="1"/>
  <c r="K167" i="1"/>
  <c r="P116" i="1"/>
  <c r="K116" i="1"/>
  <c r="K115" i="1"/>
  <c r="Z116" i="1"/>
  <c r="F116" i="1"/>
  <c r="E116" i="1"/>
  <c r="C116" i="1" s="1"/>
  <c r="Z115" i="1"/>
  <c r="F115" i="1"/>
  <c r="E115" i="1"/>
  <c r="C115" i="1" s="1"/>
  <c r="S64" i="1"/>
  <c r="P24" i="1"/>
  <c r="P12" i="1"/>
  <c r="F93" i="1"/>
  <c r="N93" i="1"/>
  <c r="K93" i="1" s="1"/>
  <c r="P93" i="1"/>
  <c r="U93" i="1"/>
  <c r="Z93" i="1"/>
  <c r="F92" i="1"/>
  <c r="N92" i="1"/>
  <c r="K92" i="1" s="1"/>
  <c r="P92" i="1"/>
  <c r="U92" i="1"/>
  <c r="Z92" i="1"/>
  <c r="X43" i="1"/>
  <c r="S43" i="1"/>
  <c r="X406" i="5"/>
  <c r="Z34" i="4"/>
  <c r="Y34" i="4" s="1"/>
  <c r="S406" i="5"/>
  <c r="U34" i="4"/>
  <c r="T34" i="4" s="1"/>
  <c r="O34" i="4"/>
  <c r="AC81" i="4"/>
  <c r="AB81" i="4"/>
  <c r="X81" i="4"/>
  <c r="W81" i="4"/>
  <c r="S81" i="4"/>
  <c r="R81" i="4"/>
  <c r="P81" i="4"/>
  <c r="Y80" i="4"/>
  <c r="T80" i="4"/>
  <c r="O80" i="4"/>
  <c r="Y79" i="4"/>
  <c r="Y78" i="4"/>
  <c r="T79" i="4"/>
  <c r="T78" i="4"/>
  <c r="O79" i="4"/>
  <c r="O78" i="4"/>
  <c r="T75" i="4"/>
  <c r="O75" i="4"/>
  <c r="T74" i="4"/>
  <c r="O74" i="4"/>
  <c r="Y73" i="4"/>
  <c r="T73" i="4"/>
  <c r="O73" i="4"/>
  <c r="Y72" i="4"/>
  <c r="T72" i="4"/>
  <c r="O72" i="4"/>
  <c r="Y70" i="4"/>
  <c r="T70" i="4"/>
  <c r="O70" i="4"/>
  <c r="Y64" i="4"/>
  <c r="Y63" i="4"/>
  <c r="T64" i="4"/>
  <c r="T63" i="4"/>
  <c r="T62" i="4"/>
  <c r="T61" i="4"/>
  <c r="Y62" i="4"/>
  <c r="Y61" i="4"/>
  <c r="Y59" i="4"/>
  <c r="T59" i="4"/>
  <c r="O64" i="4"/>
  <c r="O63" i="4"/>
  <c r="O62" i="4"/>
  <c r="O61" i="4"/>
  <c r="O59" i="4"/>
  <c r="T30" i="4"/>
  <c r="O30" i="4"/>
  <c r="Y29" i="4"/>
  <c r="T29" i="4"/>
  <c r="O29" i="4"/>
  <c r="Y27" i="4"/>
  <c r="T27" i="4"/>
  <c r="O27" i="4"/>
  <c r="Y25" i="4"/>
  <c r="Y24" i="4"/>
  <c r="T24" i="4"/>
  <c r="O24" i="4"/>
  <c r="Y23" i="4"/>
  <c r="Y22" i="4"/>
  <c r="Y19" i="4"/>
  <c r="T19" i="4"/>
  <c r="O19" i="4"/>
  <c r="Y18" i="4"/>
  <c r="T18" i="4"/>
  <c r="Y17" i="4"/>
  <c r="T17" i="4"/>
  <c r="Y16" i="4"/>
  <c r="T16" i="4"/>
  <c r="Y15" i="4"/>
  <c r="Y14" i="4"/>
  <c r="Y13" i="4"/>
  <c r="T14" i="4"/>
  <c r="O14" i="4"/>
  <c r="X369" i="5"/>
  <c r="S369" i="5"/>
  <c r="N369" i="5"/>
  <c r="Z28" i="4"/>
  <c r="Y28" i="4" s="1"/>
  <c r="U28" i="4"/>
  <c r="T28" i="4" s="1"/>
  <c r="P28" i="4"/>
  <c r="O28" i="4" s="1"/>
  <c r="X367" i="5"/>
  <c r="S367" i="5"/>
  <c r="N367" i="5"/>
  <c r="Z26" i="4"/>
  <c r="Y26" i="4" s="1"/>
  <c r="U26" i="4"/>
  <c r="T26" i="4" s="1"/>
  <c r="P26" i="4"/>
  <c r="O26" i="4" s="1"/>
  <c r="X168" i="5"/>
  <c r="X167" i="5"/>
  <c r="X166" i="5"/>
  <c r="X165" i="5"/>
  <c r="X164" i="5"/>
  <c r="X163" i="5"/>
  <c r="X162" i="5"/>
  <c r="X161" i="5"/>
  <c r="X160" i="5"/>
  <c r="X159" i="5"/>
  <c r="X158" i="5"/>
  <c r="X157" i="5"/>
  <c r="X156" i="5"/>
  <c r="X155" i="5"/>
  <c r="X154" i="5"/>
  <c r="X153" i="5"/>
  <c r="X152" i="5"/>
  <c r="X151" i="5"/>
  <c r="Z21" i="4"/>
  <c r="Y21" i="4" s="1"/>
  <c r="S168" i="5"/>
  <c r="S167" i="5"/>
  <c r="S166" i="5"/>
  <c r="S165" i="5"/>
  <c r="S164" i="5"/>
  <c r="S163" i="5"/>
  <c r="S162" i="5"/>
  <c r="S161" i="5"/>
  <c r="S160" i="5"/>
  <c r="S159" i="5"/>
  <c r="S158" i="5"/>
  <c r="S157" i="5"/>
  <c r="S156" i="5"/>
  <c r="S155" i="5"/>
  <c r="S154" i="5"/>
  <c r="S153" i="5"/>
  <c r="S152" i="5"/>
  <c r="S151" i="5"/>
  <c r="U21" i="4"/>
  <c r="T21" i="4" s="1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O21" i="4"/>
  <c r="M349" i="5"/>
  <c r="T25" i="4"/>
  <c r="N361" i="5"/>
  <c r="P25" i="4"/>
  <c r="O25" i="4" s="1"/>
  <c r="W10" i="5"/>
  <c r="S25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U13" i="4"/>
  <c r="T13" i="4" s="1"/>
  <c r="N25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P13" i="4"/>
  <c r="O13" i="4" s="1"/>
  <c r="N112" i="5"/>
  <c r="P17" i="4"/>
  <c r="O17" i="4" s="1"/>
  <c r="N143" i="5"/>
  <c r="N142" i="5"/>
  <c r="N141" i="5"/>
  <c r="N137" i="5"/>
  <c r="N136" i="5"/>
  <c r="N135" i="5"/>
  <c r="N134" i="5"/>
  <c r="N133" i="5"/>
  <c r="N132" i="5"/>
  <c r="O18" i="4"/>
  <c r="W94" i="5"/>
  <c r="R94" i="5"/>
  <c r="M94" i="5"/>
  <c r="O16" i="4"/>
  <c r="U22" i="4"/>
  <c r="T22" i="4" s="1"/>
  <c r="N305" i="5"/>
  <c r="P22" i="4"/>
  <c r="O22" i="4" s="1"/>
  <c r="S366" i="5"/>
  <c r="S365" i="5"/>
  <c r="S364" i="5"/>
  <c r="S363" i="5"/>
  <c r="S362" i="5"/>
  <c r="N366" i="5"/>
  <c r="N365" i="5"/>
  <c r="N364" i="5"/>
  <c r="N363" i="5"/>
  <c r="N362" i="5"/>
  <c r="S340" i="5"/>
  <c r="U23" i="4"/>
  <c r="T23" i="4" s="1"/>
  <c r="N347" i="5"/>
  <c r="N346" i="5"/>
  <c r="N345" i="5"/>
  <c r="N344" i="5"/>
  <c r="N343" i="5"/>
  <c r="N342" i="5"/>
  <c r="N341" i="5"/>
  <c r="N340" i="5"/>
  <c r="P23" i="4"/>
  <c r="O23" i="4" s="1"/>
  <c r="W29" i="5"/>
  <c r="S29" i="5"/>
  <c r="U15" i="4"/>
  <c r="T15" i="4" s="1"/>
  <c r="Z58" i="4"/>
  <c r="Y58" i="4" s="1"/>
  <c r="U58" i="4"/>
  <c r="T58" i="4" s="1"/>
  <c r="O58" i="4"/>
  <c r="X295" i="1" l="1"/>
  <c r="AC295" i="1"/>
  <c r="D116" i="1"/>
  <c r="D115" i="1"/>
  <c r="D93" i="1"/>
  <c r="D92" i="1"/>
  <c r="Z74" i="4" l="1"/>
  <c r="Y74" i="4" s="1"/>
  <c r="G35" i="8" l="1"/>
  <c r="I369" i="5" l="1"/>
  <c r="I367" i="5"/>
  <c r="I340" i="5"/>
  <c r="I94" i="5"/>
  <c r="K16" i="4" l="1"/>
  <c r="K28" i="4"/>
  <c r="K26" i="4"/>
  <c r="N40" i="1" l="1"/>
  <c r="F11" i="9"/>
  <c r="N65" i="1" l="1"/>
  <c r="M65" i="1"/>
  <c r="J20" i="1"/>
  <c r="N20" i="1"/>
  <c r="M20" i="1"/>
  <c r="L73" i="4"/>
  <c r="K73" i="4"/>
  <c r="G86" i="8" l="1"/>
  <c r="N235" i="1" l="1"/>
  <c r="N237" i="1"/>
  <c r="N240" i="1"/>
  <c r="M122" i="1"/>
  <c r="L45" i="4"/>
  <c r="K117" i="1"/>
  <c r="K113" i="1"/>
  <c r="I10" i="5"/>
  <c r="K13" i="4"/>
  <c r="K23" i="4" l="1"/>
  <c r="G109" i="8" l="1"/>
  <c r="I81" i="4" l="1"/>
  <c r="L81" i="4"/>
  <c r="Q81" i="4"/>
  <c r="O81" i="4" s="1"/>
  <c r="V81" i="4"/>
  <c r="AA81" i="4"/>
  <c r="E80" i="4"/>
  <c r="J80" i="4"/>
  <c r="T81" i="4" l="1"/>
  <c r="AD80" i="4"/>
  <c r="H15" i="8" l="1"/>
  <c r="G52" i="8" l="1"/>
  <c r="K237" i="1" l="1"/>
  <c r="K240" i="1"/>
  <c r="N24" i="1"/>
  <c r="N91" i="1"/>
  <c r="N90" i="1"/>
  <c r="N26" i="1"/>
  <c r="N25" i="1"/>
  <c r="G36" i="8"/>
  <c r="I370" i="5" l="1"/>
  <c r="K29" i="4"/>
  <c r="K72" i="4"/>
  <c r="K73" i="1" l="1"/>
  <c r="U438" i="1"/>
  <c r="X471" i="1"/>
  <c r="W471" i="1"/>
  <c r="V471" i="1"/>
  <c r="U471" i="1" l="1"/>
  <c r="U473" i="1"/>
  <c r="U474" i="1"/>
  <c r="U475" i="1"/>
  <c r="U472" i="1"/>
  <c r="U477" i="1"/>
  <c r="X432" i="1"/>
  <c r="T432" i="1"/>
  <c r="U441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03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77" i="1"/>
  <c r="K476" i="1"/>
  <c r="K475" i="1"/>
  <c r="K474" i="1"/>
  <c r="K473" i="1"/>
  <c r="K472" i="1"/>
  <c r="K470" i="1"/>
  <c r="K469" i="1"/>
  <c r="K468" i="1"/>
  <c r="K467" i="1"/>
  <c r="K466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434" i="1"/>
  <c r="K433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30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479" i="1"/>
  <c r="F473" i="1"/>
  <c r="F474" i="1"/>
  <c r="F475" i="1"/>
  <c r="F476" i="1"/>
  <c r="F477" i="1"/>
  <c r="F472" i="1"/>
  <c r="F467" i="1"/>
  <c r="F468" i="1"/>
  <c r="F469" i="1"/>
  <c r="F470" i="1"/>
  <c r="F46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36" i="1"/>
  <c r="F434" i="1"/>
  <c r="F43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303" i="1"/>
  <c r="AC302" i="1"/>
  <c r="E95" i="1"/>
  <c r="AB95" i="1"/>
  <c r="AA95" i="1"/>
  <c r="Y95" i="1"/>
  <c r="T95" i="1"/>
  <c r="O95" i="1"/>
  <c r="M95" i="1"/>
  <c r="L95" i="1"/>
  <c r="J95" i="1"/>
  <c r="H95" i="1"/>
  <c r="G42" i="4" s="1"/>
  <c r="G95" i="1"/>
  <c r="F432" i="1" l="1"/>
  <c r="C285" i="1" l="1"/>
  <c r="F285" i="1"/>
  <c r="K285" i="1"/>
  <c r="P285" i="1"/>
  <c r="U285" i="1"/>
  <c r="Z285" i="1"/>
  <c r="N241" i="1"/>
  <c r="N295" i="1" s="1"/>
  <c r="P67" i="1"/>
  <c r="K19" i="4"/>
  <c r="U485" i="1"/>
  <c r="U476" i="1"/>
  <c r="T478" i="1"/>
  <c r="Y478" i="1"/>
  <c r="U436" i="1"/>
  <c r="T549" i="1" l="1"/>
  <c r="D285" i="1"/>
  <c r="J295" i="1"/>
  <c r="J19" i="1" l="1"/>
  <c r="N56" i="1"/>
  <c r="G64" i="8" l="1"/>
  <c r="M295" i="1"/>
  <c r="Z283" i="1" l="1"/>
  <c r="U283" i="1"/>
  <c r="P283" i="1"/>
  <c r="K283" i="1"/>
  <c r="F283" i="1"/>
  <c r="C283" i="1"/>
  <c r="D283" i="1" l="1"/>
  <c r="AC56" i="1" l="1"/>
  <c r="K60" i="1" l="1"/>
  <c r="N78" i="1"/>
  <c r="I151" i="5"/>
  <c r="H392" i="5"/>
  <c r="AB392" i="5" s="1"/>
  <c r="M406" i="5"/>
  <c r="R406" i="5"/>
  <c r="W406" i="5"/>
  <c r="O407" i="5"/>
  <c r="P407" i="5"/>
  <c r="Q407" i="5"/>
  <c r="T407" i="5"/>
  <c r="U407" i="5"/>
  <c r="V407" i="5"/>
  <c r="H381" i="5"/>
  <c r="AB381" i="5" s="1"/>
  <c r="H406" i="5"/>
  <c r="J31" i="4"/>
  <c r="J32" i="4"/>
  <c r="E32" i="4"/>
  <c r="O32" i="4"/>
  <c r="T32" i="4"/>
  <c r="Y32" i="4"/>
  <c r="K21" i="4"/>
  <c r="AD32" i="4" l="1"/>
  <c r="G32" i="8" l="1"/>
  <c r="G30" i="8"/>
  <c r="G22" i="8" l="1"/>
  <c r="K109" i="1" l="1"/>
  <c r="K75" i="4"/>
  <c r="K81" i="4" s="1"/>
  <c r="K25" i="4" l="1"/>
  <c r="I361" i="5"/>
  <c r="H380" i="5" l="1"/>
  <c r="AB380" i="5" s="1"/>
  <c r="D407" i="5"/>
  <c r="H370" i="5"/>
  <c r="H369" i="5"/>
  <c r="Y30" i="4"/>
  <c r="J30" i="4"/>
  <c r="E30" i="4"/>
  <c r="J21" i="4"/>
  <c r="Y31" i="4"/>
  <c r="T31" i="4"/>
  <c r="O31" i="4"/>
  <c r="E31" i="4"/>
  <c r="Z73" i="1"/>
  <c r="P73" i="1"/>
  <c r="C73" i="1"/>
  <c r="I131" i="5"/>
  <c r="K18" i="4"/>
  <c r="K62" i="4"/>
  <c r="E62" i="4"/>
  <c r="K91" i="1"/>
  <c r="K94" i="1"/>
  <c r="D73" i="1" l="1"/>
  <c r="AD30" i="4"/>
  <c r="AD31" i="4"/>
  <c r="J62" i="4"/>
  <c r="K65" i="4"/>
  <c r="P108" i="1"/>
  <c r="Z108" i="1"/>
  <c r="K110" i="1"/>
  <c r="P110" i="1"/>
  <c r="U110" i="1"/>
  <c r="F110" i="1"/>
  <c r="F109" i="1"/>
  <c r="AC109" i="1"/>
  <c r="AB109" i="1" s="1"/>
  <c r="AA109" i="1" s="1"/>
  <c r="Z109" i="1" s="1"/>
  <c r="Y109" i="1" s="1"/>
  <c r="X109" i="1" s="1"/>
  <c r="W109" i="1" s="1"/>
  <c r="V109" i="1" s="1"/>
  <c r="U109" i="1" s="1"/>
  <c r="T109" i="1" s="1"/>
  <c r="S109" i="1" s="1"/>
  <c r="R109" i="1" s="1"/>
  <c r="Q109" i="1" s="1"/>
  <c r="P109" i="1" s="1"/>
  <c r="O109" i="1" s="1"/>
  <c r="C106" i="1"/>
  <c r="C119" i="1"/>
  <c r="E110" i="1"/>
  <c r="C110" i="1" s="1"/>
  <c r="Z110" i="1"/>
  <c r="K105" i="1"/>
  <c r="U105" i="1"/>
  <c r="I105" i="1"/>
  <c r="H105" i="1"/>
  <c r="C105" i="1"/>
  <c r="F105" i="1" l="1"/>
  <c r="D105" i="1" s="1"/>
  <c r="D110" i="1"/>
  <c r="C109" i="1"/>
  <c r="K67" i="1"/>
  <c r="K78" i="1"/>
  <c r="N12" i="1"/>
  <c r="N11" i="1" s="1"/>
  <c r="K90" i="1"/>
  <c r="L44" i="4" l="1"/>
  <c r="F111" i="1"/>
  <c r="K111" i="1"/>
  <c r="D109" i="1" l="1"/>
  <c r="N42" i="1"/>
  <c r="I407" i="5"/>
  <c r="K35" i="4" l="1"/>
  <c r="K112" i="1"/>
  <c r="F112" i="1"/>
  <c r="C284" i="1" l="1"/>
  <c r="F284" i="1"/>
  <c r="K284" i="1"/>
  <c r="P284" i="1"/>
  <c r="U284" i="1"/>
  <c r="Z284" i="1"/>
  <c r="K235" i="1"/>
  <c r="L50" i="4"/>
  <c r="K50" i="4"/>
  <c r="K554" i="1"/>
  <c r="D284" i="1" l="1"/>
  <c r="N39" i="1" l="1"/>
  <c r="L19" i="1"/>
  <c r="N19" i="1"/>
  <c r="K40" i="1"/>
  <c r="K39" i="1" s="1"/>
  <c r="M39" i="1"/>
  <c r="N46" i="1" l="1"/>
  <c r="M46" i="1"/>
  <c r="L46" i="1"/>
  <c r="L64" i="1"/>
  <c r="M64" i="1"/>
  <c r="N64" i="1"/>
  <c r="K65" i="1"/>
  <c r="K64" i="1" s="1"/>
  <c r="L122" i="1"/>
  <c r="K49" i="1"/>
  <c r="K46" i="1" s="1"/>
  <c r="C49" i="1"/>
  <c r="F49" i="1"/>
  <c r="C281" i="1"/>
  <c r="F281" i="1"/>
  <c r="K281" i="1"/>
  <c r="P281" i="1"/>
  <c r="U281" i="1"/>
  <c r="Z281" i="1"/>
  <c r="D49" i="1" l="1"/>
  <c r="D281" i="1"/>
  <c r="AC529" i="1"/>
  <c r="AC465" i="1"/>
  <c r="AC471" i="1"/>
  <c r="AC478" i="1"/>
  <c r="I302" i="1"/>
  <c r="Z30" i="1"/>
  <c r="Z38" i="1"/>
  <c r="Z46" i="1"/>
  <c r="AC60" i="1"/>
  <c r="AC52" i="1"/>
  <c r="N478" i="1" l="1"/>
  <c r="Z436" i="1"/>
  <c r="D436" i="1" s="1"/>
  <c r="C461" i="1"/>
  <c r="P461" i="1"/>
  <c r="Z461" i="1"/>
  <c r="D461" i="1" l="1"/>
  <c r="U435" i="1"/>
  <c r="N435" i="1" l="1"/>
  <c r="P242" i="1"/>
  <c r="Z242" i="1"/>
  <c r="U242" i="1"/>
  <c r="K242" i="1"/>
  <c r="F242" i="1"/>
  <c r="C242" i="1"/>
  <c r="F50" i="4"/>
  <c r="C263" i="1"/>
  <c r="F263" i="1"/>
  <c r="K263" i="1"/>
  <c r="U263" i="1"/>
  <c r="J436" i="1" l="1"/>
  <c r="J435" i="1" s="1"/>
  <c r="D242" i="1"/>
  <c r="D263" i="1"/>
  <c r="E18" i="4" l="1"/>
  <c r="Z556" i="1"/>
  <c r="U556" i="1"/>
  <c r="P556" i="1"/>
  <c r="K556" i="1"/>
  <c r="F556" i="1"/>
  <c r="Z96" i="1"/>
  <c r="U96" i="1"/>
  <c r="P96" i="1"/>
  <c r="K96" i="1"/>
  <c r="F96" i="1"/>
  <c r="F74" i="1"/>
  <c r="F94" i="1"/>
  <c r="P94" i="1"/>
  <c r="U94" i="1"/>
  <c r="Z94" i="1"/>
  <c r="AC83" i="4"/>
  <c r="AB83" i="4"/>
  <c r="Z83" i="4"/>
  <c r="X83" i="4"/>
  <c r="W83" i="4"/>
  <c r="U83" i="4"/>
  <c r="S83" i="4"/>
  <c r="R83" i="4"/>
  <c r="P83" i="4"/>
  <c r="N83" i="4"/>
  <c r="M83" i="4"/>
  <c r="L83" i="4"/>
  <c r="K83" i="4"/>
  <c r="G83" i="4"/>
  <c r="H83" i="4"/>
  <c r="I83" i="4"/>
  <c r="F83" i="4"/>
  <c r="AC52" i="4"/>
  <c r="AB52" i="4"/>
  <c r="Z52" i="4"/>
  <c r="X52" i="4"/>
  <c r="W52" i="4"/>
  <c r="U52" i="4"/>
  <c r="S52" i="4"/>
  <c r="R52" i="4"/>
  <c r="P52" i="4"/>
  <c r="N52" i="4"/>
  <c r="M52" i="4"/>
  <c r="L52" i="4"/>
  <c r="K52" i="4"/>
  <c r="I52" i="4"/>
  <c r="G52" i="4"/>
  <c r="H52" i="4"/>
  <c r="F52" i="4"/>
  <c r="J43" i="4"/>
  <c r="E43" i="4"/>
  <c r="D556" i="1" l="1"/>
  <c r="E83" i="4"/>
  <c r="J83" i="4"/>
  <c r="D94" i="1"/>
  <c r="D96" i="1"/>
  <c r="E52" i="4"/>
  <c r="J52" i="4"/>
  <c r="V45" i="4" l="1"/>
  <c r="U45" i="4"/>
  <c r="V122" i="1"/>
  <c r="C278" i="1" l="1"/>
  <c r="F278" i="1"/>
  <c r="K278" i="1"/>
  <c r="P278" i="1"/>
  <c r="U278" i="1"/>
  <c r="Z278" i="1"/>
  <c r="C279" i="1"/>
  <c r="F279" i="1"/>
  <c r="K279" i="1"/>
  <c r="P279" i="1"/>
  <c r="U279" i="1"/>
  <c r="Z279" i="1"/>
  <c r="C280" i="1"/>
  <c r="F280" i="1"/>
  <c r="K280" i="1"/>
  <c r="P280" i="1"/>
  <c r="U280" i="1"/>
  <c r="Z280" i="1"/>
  <c r="C282" i="1"/>
  <c r="F282" i="1"/>
  <c r="K282" i="1"/>
  <c r="P282" i="1"/>
  <c r="U282" i="1"/>
  <c r="Z282" i="1"/>
  <c r="D279" i="1" l="1"/>
  <c r="D282" i="1"/>
  <c r="D280" i="1"/>
  <c r="D278" i="1"/>
  <c r="V52" i="1" l="1"/>
  <c r="K47" i="4" l="1"/>
  <c r="C531" i="1"/>
  <c r="C532" i="1"/>
  <c r="C533" i="1"/>
  <c r="C534" i="1"/>
  <c r="C535" i="1"/>
  <c r="C536" i="1"/>
  <c r="C539" i="1"/>
  <c r="C540" i="1"/>
  <c r="C541" i="1"/>
  <c r="C542" i="1"/>
  <c r="C543" i="1"/>
  <c r="C545" i="1"/>
  <c r="C548" i="1"/>
  <c r="C530" i="1"/>
  <c r="C524" i="1"/>
  <c r="C525" i="1"/>
  <c r="C526" i="1"/>
  <c r="C527" i="1"/>
  <c r="C528" i="1"/>
  <c r="C523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479" i="1"/>
  <c r="C473" i="1"/>
  <c r="C474" i="1"/>
  <c r="C475" i="1"/>
  <c r="C476" i="1"/>
  <c r="C477" i="1"/>
  <c r="C472" i="1"/>
  <c r="C470" i="1"/>
  <c r="C467" i="1"/>
  <c r="C468" i="1"/>
  <c r="C469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36" i="1"/>
  <c r="C434" i="1"/>
  <c r="C433" i="1"/>
  <c r="C304" i="1"/>
  <c r="C307" i="1"/>
  <c r="C311" i="1"/>
  <c r="C312" i="1"/>
  <c r="C313" i="1"/>
  <c r="C314" i="1"/>
  <c r="C315" i="1"/>
  <c r="C316" i="1"/>
  <c r="C319" i="1"/>
  <c r="C320" i="1"/>
  <c r="C321" i="1"/>
  <c r="C322" i="1"/>
  <c r="C324" i="1"/>
  <c r="C326" i="1"/>
  <c r="C327" i="1"/>
  <c r="C329" i="1"/>
  <c r="C332" i="1"/>
  <c r="C333" i="1"/>
  <c r="C336" i="1"/>
  <c r="C338" i="1"/>
  <c r="C339" i="1"/>
  <c r="C342" i="1"/>
  <c r="C343" i="1"/>
  <c r="C346" i="1"/>
  <c r="C349" i="1"/>
  <c r="C351" i="1"/>
  <c r="C354" i="1"/>
  <c r="C355" i="1"/>
  <c r="C356" i="1"/>
  <c r="C357" i="1"/>
  <c r="C359" i="1"/>
  <c r="C360" i="1"/>
  <c r="C363" i="1"/>
  <c r="C364" i="1"/>
  <c r="C365" i="1"/>
  <c r="C366" i="1"/>
  <c r="C367" i="1"/>
  <c r="C369" i="1"/>
  <c r="C370" i="1"/>
  <c r="C374" i="1"/>
  <c r="C376" i="1"/>
  <c r="C377" i="1"/>
  <c r="C378" i="1"/>
  <c r="C379" i="1"/>
  <c r="C380" i="1"/>
  <c r="C381" i="1"/>
  <c r="C382" i="1"/>
  <c r="C383" i="1"/>
  <c r="C386" i="1"/>
  <c r="C387" i="1"/>
  <c r="C388" i="1"/>
  <c r="C389" i="1"/>
  <c r="C391" i="1"/>
  <c r="C394" i="1"/>
  <c r="C395" i="1"/>
  <c r="C402" i="1"/>
  <c r="C403" i="1"/>
  <c r="C404" i="1"/>
  <c r="C407" i="1"/>
  <c r="C408" i="1"/>
  <c r="C410" i="1"/>
  <c r="C412" i="1"/>
  <c r="C413" i="1"/>
  <c r="C414" i="1"/>
  <c r="C416" i="1"/>
  <c r="C417" i="1"/>
  <c r="C419" i="1"/>
  <c r="C420" i="1"/>
  <c r="C423" i="1"/>
  <c r="C424" i="1"/>
  <c r="C425" i="1"/>
  <c r="C426" i="1"/>
  <c r="C427" i="1"/>
  <c r="C430" i="1"/>
  <c r="C431" i="1"/>
  <c r="Y295" i="1"/>
  <c r="C159" i="1"/>
  <c r="C160" i="1"/>
  <c r="C161" i="1"/>
  <c r="C158" i="1"/>
  <c r="C144" i="1"/>
  <c r="C145" i="1"/>
  <c r="C146" i="1"/>
  <c r="C147" i="1"/>
  <c r="C148" i="1"/>
  <c r="C149" i="1"/>
  <c r="C143" i="1"/>
  <c r="C127" i="1"/>
  <c r="C128" i="1"/>
  <c r="C129" i="1"/>
  <c r="C130" i="1"/>
  <c r="C131" i="1"/>
  <c r="C132" i="1"/>
  <c r="C126" i="1"/>
  <c r="U164" i="1"/>
  <c r="U163" i="1"/>
  <c r="U155" i="1"/>
  <c r="U156" i="1"/>
  <c r="U157" i="1"/>
  <c r="U158" i="1"/>
  <c r="U159" i="1"/>
  <c r="U160" i="1"/>
  <c r="U161" i="1"/>
  <c r="U162" i="1"/>
  <c r="U151" i="1"/>
  <c r="U152" i="1"/>
  <c r="U153" i="1"/>
  <c r="U154" i="1"/>
  <c r="U147" i="1"/>
  <c r="U148" i="1"/>
  <c r="U149" i="1"/>
  <c r="U150" i="1"/>
  <c r="U143" i="1"/>
  <c r="U144" i="1"/>
  <c r="U145" i="1"/>
  <c r="U146" i="1"/>
  <c r="U139" i="1"/>
  <c r="U140" i="1"/>
  <c r="U141" i="1"/>
  <c r="U142" i="1"/>
  <c r="U135" i="1"/>
  <c r="U136" i="1"/>
  <c r="U137" i="1"/>
  <c r="U138" i="1"/>
  <c r="U130" i="1"/>
  <c r="U131" i="1"/>
  <c r="U132" i="1"/>
  <c r="U133" i="1"/>
  <c r="U134" i="1"/>
  <c r="U125" i="1"/>
  <c r="U126" i="1"/>
  <c r="U127" i="1"/>
  <c r="U128" i="1"/>
  <c r="U129" i="1"/>
  <c r="U124" i="1"/>
  <c r="U99" i="1"/>
  <c r="U100" i="1"/>
  <c r="U101" i="1"/>
  <c r="D101" i="1" s="1"/>
  <c r="U102" i="1"/>
  <c r="U104" i="1"/>
  <c r="U106" i="1"/>
  <c r="U107" i="1"/>
  <c r="U108" i="1"/>
  <c r="C99" i="1"/>
  <c r="C100" i="1"/>
  <c r="C98" i="1"/>
  <c r="U98" i="1"/>
  <c r="P98" i="1"/>
  <c r="K98" i="1"/>
  <c r="C61" i="1"/>
  <c r="C62" i="1"/>
  <c r="C63" i="1"/>
  <c r="C58" i="1"/>
  <c r="C59" i="1"/>
  <c r="C57" i="1"/>
  <c r="Z75" i="1"/>
  <c r="X60" i="1"/>
  <c r="W60" i="1"/>
  <c r="V60" i="1"/>
  <c r="U60" i="1"/>
  <c r="T60" i="1"/>
  <c r="Z57" i="1"/>
  <c r="X56" i="1"/>
  <c r="W56" i="1"/>
  <c r="V56" i="1"/>
  <c r="U56" i="1"/>
  <c r="T56" i="1"/>
  <c r="U31" i="1"/>
  <c r="U21" i="1"/>
  <c r="U22" i="1"/>
  <c r="U20" i="1"/>
  <c r="AB19" i="1"/>
  <c r="X478" i="1"/>
  <c r="W478" i="1"/>
  <c r="V478" i="1"/>
  <c r="S478" i="1"/>
  <c r="Y432" i="1"/>
  <c r="AA432" i="1"/>
  <c r="AB432" i="1"/>
  <c r="Z76" i="1"/>
  <c r="Z54" i="1"/>
  <c r="Z55" i="1"/>
  <c r="Z53" i="1"/>
  <c r="AB52" i="1"/>
  <c r="Z33" i="1"/>
  <c r="Z34" i="1"/>
  <c r="Z32" i="1"/>
  <c r="AC31" i="1"/>
  <c r="AB31" i="1"/>
  <c r="Z29" i="1"/>
  <c r="Z28" i="1"/>
  <c r="Z20" i="1"/>
  <c r="X11" i="1"/>
  <c r="F90" i="1"/>
  <c r="P90" i="1"/>
  <c r="U90" i="1"/>
  <c r="Z90" i="1"/>
  <c r="F91" i="1"/>
  <c r="P91" i="1"/>
  <c r="U91" i="1"/>
  <c r="Z91" i="1"/>
  <c r="U241" i="1"/>
  <c r="C241" i="1"/>
  <c r="F241" i="1"/>
  <c r="K241" i="1"/>
  <c r="P241" i="1"/>
  <c r="C240" i="1"/>
  <c r="F240" i="1"/>
  <c r="P240" i="1"/>
  <c r="C239" i="1"/>
  <c r="F239" i="1"/>
  <c r="P239" i="1"/>
  <c r="C164" i="1"/>
  <c r="F164" i="1"/>
  <c r="K164" i="1"/>
  <c r="P164" i="1"/>
  <c r="Z164" i="1"/>
  <c r="F89" i="1"/>
  <c r="P89" i="1"/>
  <c r="U89" i="1"/>
  <c r="Z89" i="1"/>
  <c r="J26" i="4"/>
  <c r="C370" i="5"/>
  <c r="M370" i="5"/>
  <c r="R370" i="5"/>
  <c r="W370" i="5"/>
  <c r="E29" i="4"/>
  <c r="J29" i="4"/>
  <c r="E19" i="4"/>
  <c r="J19" i="4"/>
  <c r="W149" i="5"/>
  <c r="R149" i="5"/>
  <c r="M149" i="5"/>
  <c r="H149" i="5"/>
  <c r="C149" i="5"/>
  <c r="M367" i="5"/>
  <c r="H367" i="5"/>
  <c r="R361" i="5"/>
  <c r="H349" i="5"/>
  <c r="R340" i="5"/>
  <c r="R305" i="5"/>
  <c r="R112" i="5"/>
  <c r="R29" i="5"/>
  <c r="R10" i="5"/>
  <c r="J61" i="4"/>
  <c r="Q49" i="4"/>
  <c r="L49" i="4"/>
  <c r="J25" i="4"/>
  <c r="J24" i="4"/>
  <c r="J23" i="4"/>
  <c r="J22" i="4"/>
  <c r="J18" i="4"/>
  <c r="J17" i="4"/>
  <c r="J16" i="4"/>
  <c r="O15" i="4"/>
  <c r="J15" i="4"/>
  <c r="J13" i="4"/>
  <c r="U297" i="1"/>
  <c r="P297" i="1"/>
  <c r="K297" i="1"/>
  <c r="U236" i="1"/>
  <c r="P236" i="1"/>
  <c r="K236" i="1"/>
  <c r="U235" i="1"/>
  <c r="P235" i="1"/>
  <c r="U167" i="1"/>
  <c r="P167" i="1"/>
  <c r="U165" i="1"/>
  <c r="P165" i="1"/>
  <c r="K165" i="1"/>
  <c r="U74" i="1"/>
  <c r="P74" i="1"/>
  <c r="K74" i="1"/>
  <c r="K70" i="1"/>
  <c r="V43" i="1"/>
  <c r="U43" i="1" s="1"/>
  <c r="Q43" i="1"/>
  <c r="P43" i="1" s="1"/>
  <c r="L43" i="1"/>
  <c r="K43" i="1" s="1"/>
  <c r="U26" i="1"/>
  <c r="P26" i="1"/>
  <c r="K26" i="1"/>
  <c r="U25" i="1"/>
  <c r="P25" i="1"/>
  <c r="K25" i="1"/>
  <c r="M24" i="1"/>
  <c r="K24" i="1" s="1"/>
  <c r="U12" i="1"/>
  <c r="K12" i="1"/>
  <c r="AC95" i="1" l="1"/>
  <c r="X549" i="1"/>
  <c r="U549" i="1" s="1"/>
  <c r="U478" i="1"/>
  <c r="AD29" i="4"/>
  <c r="AB370" i="5"/>
  <c r="W68" i="1"/>
  <c r="Z27" i="1"/>
  <c r="Z31" i="1"/>
  <c r="Z52" i="1"/>
  <c r="X68" i="1"/>
  <c r="AB149" i="5"/>
  <c r="D90" i="1"/>
  <c r="D91" i="1"/>
  <c r="D241" i="1"/>
  <c r="D240" i="1"/>
  <c r="D239" i="1"/>
  <c r="D164" i="1"/>
  <c r="D89" i="1"/>
  <c r="AD19" i="4"/>
  <c r="H295" i="1"/>
  <c r="G78" i="4"/>
  <c r="H297" i="1"/>
  <c r="I88" i="1"/>
  <c r="H65" i="1"/>
  <c r="F58" i="4"/>
  <c r="E58" i="4" s="1"/>
  <c r="G47" i="4" l="1"/>
  <c r="G45" i="4" l="1"/>
  <c r="F45" i="4"/>
  <c r="E78" i="4" l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94" i="1"/>
  <c r="K250" i="1"/>
  <c r="W47" i="4" l="1"/>
  <c r="V47" i="4"/>
  <c r="U47" i="4"/>
  <c r="T47" i="4" l="1"/>
  <c r="C262" i="1"/>
  <c r="U262" i="1"/>
  <c r="C67" i="1" l="1"/>
  <c r="F67" i="1"/>
  <c r="D67" i="1" l="1"/>
  <c r="N119" i="1"/>
  <c r="C271" i="1"/>
  <c r="F271" i="1"/>
  <c r="P271" i="1"/>
  <c r="U271" i="1"/>
  <c r="Z271" i="1"/>
  <c r="K45" i="4" l="1"/>
  <c r="N122" i="1"/>
  <c r="K119" i="1"/>
  <c r="D271" i="1"/>
  <c r="F40" i="1" l="1"/>
  <c r="J64" i="4" l="1"/>
  <c r="J73" i="4"/>
  <c r="F13" i="4"/>
  <c r="J14" i="4"/>
  <c r="E14" i="4"/>
  <c r="AA407" i="5"/>
  <c r="Z407" i="5"/>
  <c r="Y407" i="5"/>
  <c r="L407" i="5"/>
  <c r="K407" i="5"/>
  <c r="J407" i="5"/>
  <c r="G407" i="5"/>
  <c r="F407" i="5"/>
  <c r="E407" i="5"/>
  <c r="W26" i="5"/>
  <c r="R26" i="5"/>
  <c r="M26" i="5"/>
  <c r="H26" i="5"/>
  <c r="C26" i="5"/>
  <c r="AD14" i="4" l="1"/>
  <c r="AB26" i="5"/>
  <c r="Q43" i="4"/>
  <c r="O43" i="4" s="1"/>
  <c r="V43" i="4"/>
  <c r="T43" i="4" s="1"/>
  <c r="AA43" i="4"/>
  <c r="Y43" i="4" s="1"/>
  <c r="Z88" i="1"/>
  <c r="U88" i="1"/>
  <c r="P88" i="1"/>
  <c r="F88" i="1"/>
  <c r="Z87" i="1"/>
  <c r="U87" i="1"/>
  <c r="P87" i="1"/>
  <c r="F87" i="1"/>
  <c r="Z163" i="1"/>
  <c r="P163" i="1"/>
  <c r="K163" i="1"/>
  <c r="F163" i="1"/>
  <c r="C163" i="1"/>
  <c r="Z162" i="1"/>
  <c r="P162" i="1"/>
  <c r="K162" i="1"/>
  <c r="F162" i="1"/>
  <c r="C162" i="1"/>
  <c r="V83" i="4" l="1"/>
  <c r="T83" i="4" s="1"/>
  <c r="V52" i="4"/>
  <c r="T52" i="4" s="1"/>
  <c r="Q83" i="4"/>
  <c r="O83" i="4" s="1"/>
  <c r="Q52" i="4"/>
  <c r="O52" i="4" s="1"/>
  <c r="AA83" i="4"/>
  <c r="Y83" i="4" s="1"/>
  <c r="AA52" i="4"/>
  <c r="Y52" i="4" s="1"/>
  <c r="D88" i="1"/>
  <c r="D87" i="1"/>
  <c r="D163" i="1"/>
  <c r="D162" i="1"/>
  <c r="P238" i="1"/>
  <c r="F238" i="1"/>
  <c r="C238" i="1"/>
  <c r="AD43" i="4" l="1"/>
  <c r="AD52" i="4"/>
  <c r="AD83" i="4"/>
  <c r="D238" i="1"/>
  <c r="AA45" i="4"/>
  <c r="Z45" i="4"/>
  <c r="AC122" i="1"/>
  <c r="AA122" i="1"/>
  <c r="AB122" i="1"/>
  <c r="Y122" i="1"/>
  <c r="T122" i="1"/>
  <c r="Q122" i="1"/>
  <c r="R122" i="1"/>
  <c r="S122" i="1"/>
  <c r="O122" i="1"/>
  <c r="J122" i="1"/>
  <c r="G122" i="1"/>
  <c r="E122" i="1"/>
  <c r="Z121" i="1"/>
  <c r="K121" i="1"/>
  <c r="C121" i="1"/>
  <c r="D121" i="1" l="1"/>
  <c r="AE94" i="4"/>
  <c r="AF94" i="4"/>
  <c r="AG94" i="4"/>
  <c r="AH94" i="4"/>
  <c r="AH92" i="4"/>
  <c r="AG92" i="4"/>
  <c r="AF92" i="4"/>
  <c r="AE92" i="4"/>
  <c r="AH90" i="4"/>
  <c r="AG90" i="4"/>
  <c r="AF90" i="4"/>
  <c r="AE90" i="4"/>
  <c r="AH88" i="4"/>
  <c r="AG88" i="4"/>
  <c r="AF88" i="4"/>
  <c r="AE88" i="4"/>
  <c r="AH86" i="4"/>
  <c r="AG86" i="4"/>
  <c r="AF86" i="4"/>
  <c r="AE86" i="4"/>
  <c r="P237" i="1"/>
  <c r="F237" i="1"/>
  <c r="C237" i="1"/>
  <c r="P65" i="4"/>
  <c r="P91" i="4" s="1"/>
  <c r="K91" i="4"/>
  <c r="G65" i="4"/>
  <c r="G91" i="4" s="1"/>
  <c r="H65" i="4"/>
  <c r="H91" i="4" s="1"/>
  <c r="I65" i="4"/>
  <c r="I91" i="4" s="1"/>
  <c r="L65" i="4"/>
  <c r="L91" i="4" s="1"/>
  <c r="M65" i="4"/>
  <c r="M91" i="4" s="1"/>
  <c r="N65" i="4"/>
  <c r="N91" i="4" s="1"/>
  <c r="Q65" i="4"/>
  <c r="Q91" i="4" s="1"/>
  <c r="R65" i="4"/>
  <c r="R91" i="4" s="1"/>
  <c r="S65" i="4"/>
  <c r="S91" i="4" s="1"/>
  <c r="V65" i="4"/>
  <c r="V91" i="4" s="1"/>
  <c r="W65" i="4"/>
  <c r="W91" i="4" s="1"/>
  <c r="X65" i="4"/>
  <c r="X91" i="4" s="1"/>
  <c r="AA65" i="4"/>
  <c r="AA91" i="4" s="1"/>
  <c r="AB65" i="4"/>
  <c r="AB91" i="4" s="1"/>
  <c r="AC65" i="4"/>
  <c r="AC91" i="4" s="1"/>
  <c r="E64" i="4"/>
  <c r="AD64" i="4" s="1"/>
  <c r="F61" i="4"/>
  <c r="AH91" i="4" l="1"/>
  <c r="AG91" i="4"/>
  <c r="AF91" i="4"/>
  <c r="D237" i="1"/>
  <c r="K107" i="1"/>
  <c r="F107" i="1"/>
  <c r="C107" i="1"/>
  <c r="D107" i="1" l="1"/>
  <c r="E435" i="1"/>
  <c r="G435" i="1"/>
  <c r="H435" i="1"/>
  <c r="I435" i="1"/>
  <c r="L435" i="1"/>
  <c r="M435" i="1"/>
  <c r="Q435" i="1"/>
  <c r="R435" i="1"/>
  <c r="T435" i="1"/>
  <c r="V435" i="1"/>
  <c r="W435" i="1"/>
  <c r="X435" i="1"/>
  <c r="AA435" i="1"/>
  <c r="AB435" i="1"/>
  <c r="AC435" i="1"/>
  <c r="H94" i="5" l="1"/>
  <c r="F227" i="1"/>
  <c r="F228" i="1"/>
  <c r="H554" i="1"/>
  <c r="Z460" i="1"/>
  <c r="P460" i="1"/>
  <c r="D460" i="1" l="1"/>
  <c r="C131" i="5"/>
  <c r="P112" i="1"/>
  <c r="C112" i="1"/>
  <c r="D112" i="1" l="1"/>
  <c r="E73" i="4"/>
  <c r="AD73" i="4" s="1"/>
  <c r="J72" i="4"/>
  <c r="E72" i="4"/>
  <c r="AD72" i="4" l="1"/>
  <c r="F75" i="4"/>
  <c r="F81" i="4" s="1"/>
  <c r="H64" i="1"/>
  <c r="I64" i="1"/>
  <c r="G64" i="1"/>
  <c r="C66" i="1"/>
  <c r="F66" i="1"/>
  <c r="D66" i="1" s="1"/>
  <c r="U65" i="1"/>
  <c r="P65" i="1"/>
  <c r="F65" i="1"/>
  <c r="C65" i="1"/>
  <c r="F60" i="1"/>
  <c r="I70" i="1"/>
  <c r="I95" i="1" s="1"/>
  <c r="F71" i="1"/>
  <c r="C367" i="5"/>
  <c r="C369" i="5"/>
  <c r="E26" i="4"/>
  <c r="F63" i="4"/>
  <c r="F65" i="4" s="1"/>
  <c r="F91" i="4" s="1"/>
  <c r="F236" i="1"/>
  <c r="C236" i="1"/>
  <c r="F42" i="4" l="1"/>
  <c r="D65" i="1"/>
  <c r="F64" i="1"/>
  <c r="D236" i="1"/>
  <c r="F226" i="1"/>
  <c r="W295" i="1"/>
  <c r="AB295" i="1"/>
  <c r="F223" i="1" l="1"/>
  <c r="F222" i="1"/>
  <c r="F219" i="1"/>
  <c r="F195" i="1"/>
  <c r="P47" i="4"/>
  <c r="F80" i="1"/>
  <c r="K106" i="1"/>
  <c r="F106" i="1"/>
  <c r="N15" i="1"/>
  <c r="C64" i="1"/>
  <c r="P64" i="1"/>
  <c r="U64" i="1"/>
  <c r="E46" i="1"/>
  <c r="J46" i="1"/>
  <c r="O46" i="1"/>
  <c r="P46" i="1"/>
  <c r="Q46" i="1"/>
  <c r="R46" i="1"/>
  <c r="S46" i="1"/>
  <c r="T46" i="1"/>
  <c r="U46" i="1"/>
  <c r="V46" i="1"/>
  <c r="W46" i="1"/>
  <c r="X46" i="1"/>
  <c r="Y46" i="1"/>
  <c r="AA46" i="1"/>
  <c r="AB46" i="1"/>
  <c r="AC46" i="1"/>
  <c r="I46" i="1"/>
  <c r="H46" i="1"/>
  <c r="G46" i="1"/>
  <c r="C48" i="1"/>
  <c r="C47" i="1"/>
  <c r="F48" i="1"/>
  <c r="D48" i="1" s="1"/>
  <c r="F47" i="1"/>
  <c r="J11" i="1"/>
  <c r="F235" i="1"/>
  <c r="C235" i="1"/>
  <c r="Q47" i="4"/>
  <c r="L47" i="4"/>
  <c r="I295" i="1"/>
  <c r="F46" i="4" s="1"/>
  <c r="Z119" i="1"/>
  <c r="P120" i="1"/>
  <c r="P119" i="1"/>
  <c r="D119" i="1" l="1"/>
  <c r="D106" i="1"/>
  <c r="D64" i="1"/>
  <c r="P273" i="1"/>
  <c r="F46" i="1"/>
  <c r="D47" i="1"/>
  <c r="D235" i="1"/>
  <c r="Z134" i="1"/>
  <c r="Z136" i="1"/>
  <c r="Z138" i="1"/>
  <c r="Z140" i="1"/>
  <c r="Z142" i="1"/>
  <c r="Z139" i="1"/>
  <c r="Z135" i="1"/>
  <c r="Z137" i="1"/>
  <c r="Z141" i="1"/>
  <c r="Z133" i="1"/>
  <c r="D46" i="1" l="1"/>
  <c r="Z277" i="1" l="1"/>
  <c r="U277" i="1"/>
  <c r="P277" i="1"/>
  <c r="F277" i="1"/>
  <c r="C277" i="1"/>
  <c r="Z276" i="1"/>
  <c r="U276" i="1"/>
  <c r="P276" i="1"/>
  <c r="F276" i="1"/>
  <c r="C276" i="1"/>
  <c r="Z275" i="1"/>
  <c r="U275" i="1"/>
  <c r="P275" i="1"/>
  <c r="F275" i="1"/>
  <c r="C275" i="1"/>
  <c r="Z274" i="1"/>
  <c r="U274" i="1"/>
  <c r="P274" i="1"/>
  <c r="F274" i="1"/>
  <c r="C274" i="1"/>
  <c r="Z273" i="1"/>
  <c r="U273" i="1"/>
  <c r="F273" i="1"/>
  <c r="C273" i="1"/>
  <c r="Z272" i="1"/>
  <c r="U272" i="1"/>
  <c r="P272" i="1"/>
  <c r="F272" i="1"/>
  <c r="C272" i="1"/>
  <c r="Z270" i="1"/>
  <c r="U270" i="1"/>
  <c r="P270" i="1"/>
  <c r="F270" i="1"/>
  <c r="C270" i="1"/>
  <c r="Z269" i="1"/>
  <c r="U269" i="1"/>
  <c r="P269" i="1"/>
  <c r="F269" i="1"/>
  <c r="C269" i="1"/>
  <c r="Z268" i="1"/>
  <c r="U268" i="1"/>
  <c r="P268" i="1"/>
  <c r="F268" i="1"/>
  <c r="C268" i="1"/>
  <c r="Z267" i="1"/>
  <c r="U267" i="1"/>
  <c r="P267" i="1"/>
  <c r="F267" i="1"/>
  <c r="C267" i="1"/>
  <c r="Z266" i="1"/>
  <c r="U266" i="1"/>
  <c r="P266" i="1"/>
  <c r="F266" i="1"/>
  <c r="C266" i="1"/>
  <c r="Z265" i="1"/>
  <c r="U265" i="1"/>
  <c r="P265" i="1"/>
  <c r="F265" i="1"/>
  <c r="C265" i="1"/>
  <c r="Z264" i="1"/>
  <c r="U264" i="1"/>
  <c r="F264" i="1"/>
  <c r="C264" i="1"/>
  <c r="F262" i="1"/>
  <c r="X53" i="4"/>
  <c r="X51" i="4" s="1"/>
  <c r="AC53" i="4"/>
  <c r="AC51" i="4" s="1"/>
  <c r="I53" i="4"/>
  <c r="N53" i="4"/>
  <c r="N51" i="4" s="1"/>
  <c r="S53" i="4"/>
  <c r="S51" i="4" s="1"/>
  <c r="AB47" i="4"/>
  <c r="R47" i="4"/>
  <c r="O47" i="4" s="1"/>
  <c r="M47" i="4"/>
  <c r="J47" i="4" s="1"/>
  <c r="H47" i="4"/>
  <c r="AB45" i="4"/>
  <c r="Y45" i="4" s="1"/>
  <c r="W45" i="4"/>
  <c r="T45" i="4" s="1"/>
  <c r="R45" i="4"/>
  <c r="O45" i="4" s="1"/>
  <c r="Y47" i="4" l="1"/>
  <c r="X89" i="4"/>
  <c r="N89" i="4"/>
  <c r="AC89" i="4"/>
  <c r="S89" i="4"/>
  <c r="I89" i="4"/>
  <c r="I51" i="4"/>
  <c r="D262" i="1"/>
  <c r="D274" i="1"/>
  <c r="D276" i="1"/>
  <c r="D277" i="1"/>
  <c r="D273" i="1"/>
  <c r="D270" i="1"/>
  <c r="D275" i="1"/>
  <c r="D272" i="1"/>
  <c r="D266" i="1"/>
  <c r="D265" i="1"/>
  <c r="D267" i="1"/>
  <c r="D269" i="1"/>
  <c r="D264" i="1"/>
  <c r="D268" i="1"/>
  <c r="AH89" i="4" l="1"/>
  <c r="H46" i="4"/>
  <c r="AA46" i="4" l="1"/>
  <c r="E112" i="8" l="1"/>
  <c r="P129" i="1" l="1"/>
  <c r="W349" i="5"/>
  <c r="R349" i="5"/>
  <c r="AB349" i="5" l="1"/>
  <c r="Z120" i="1"/>
  <c r="Z62" i="1"/>
  <c r="Z63" i="1"/>
  <c r="AB56" i="1"/>
  <c r="Z61" i="1"/>
  <c r="Z58" i="1"/>
  <c r="Z59" i="1"/>
  <c r="D61" i="1" l="1"/>
  <c r="Z60" i="1"/>
  <c r="Z56" i="1"/>
  <c r="U29" i="1"/>
  <c r="U30" i="1"/>
  <c r="U28" i="1"/>
  <c r="W23" i="1"/>
  <c r="X23" i="1"/>
  <c r="Z68" i="1" l="1"/>
  <c r="U27" i="1"/>
  <c r="C550" i="1"/>
  <c r="F550" i="1"/>
  <c r="K550" i="1"/>
  <c r="P550" i="1"/>
  <c r="U550" i="1"/>
  <c r="Z550" i="1"/>
  <c r="I554" i="1"/>
  <c r="D550" i="1" l="1"/>
  <c r="F47" i="4" l="1"/>
  <c r="E47" i="4" s="1"/>
  <c r="AD47" i="4" s="1"/>
  <c r="Z459" i="1"/>
  <c r="P459" i="1"/>
  <c r="D459" i="1" l="1"/>
  <c r="F15" i="8"/>
  <c r="AB50" i="4" l="1"/>
  <c r="AB53" i="4" s="1"/>
  <c r="AB51" i="4" s="1"/>
  <c r="AA50" i="4"/>
  <c r="Z50" i="4"/>
  <c r="W50" i="4"/>
  <c r="W53" i="4" s="1"/>
  <c r="W51" i="4" s="1"/>
  <c r="V50" i="4"/>
  <c r="U50" i="4"/>
  <c r="Q50" i="4"/>
  <c r="R53" i="4"/>
  <c r="R51" i="4" s="1"/>
  <c r="P50" i="4"/>
  <c r="M50" i="4"/>
  <c r="H50" i="4"/>
  <c r="G50" i="4"/>
  <c r="Z554" i="1"/>
  <c r="U554" i="1"/>
  <c r="F554" i="1"/>
  <c r="C554" i="1"/>
  <c r="Z553" i="1"/>
  <c r="U553" i="1"/>
  <c r="P553" i="1"/>
  <c r="K553" i="1"/>
  <c r="F553" i="1"/>
  <c r="C553" i="1"/>
  <c r="E295" i="1"/>
  <c r="G295" i="1"/>
  <c r="G46" i="4"/>
  <c r="E46" i="4" s="1"/>
  <c r="L295" i="1"/>
  <c r="O295" i="1"/>
  <c r="Q295" i="1"/>
  <c r="T295" i="1"/>
  <c r="V295" i="1"/>
  <c r="AA295" i="1"/>
  <c r="Y50" i="4" l="1"/>
  <c r="T50" i="4"/>
  <c r="O50" i="4"/>
  <c r="R89" i="4"/>
  <c r="W89" i="4"/>
  <c r="AB89" i="4"/>
  <c r="E50" i="4"/>
  <c r="J50" i="4"/>
  <c r="D554" i="1"/>
  <c r="D553" i="1"/>
  <c r="Z86" i="1"/>
  <c r="U86" i="1"/>
  <c r="P86" i="1"/>
  <c r="F86" i="1"/>
  <c r="Z85" i="1"/>
  <c r="U85" i="1"/>
  <c r="P85" i="1"/>
  <c r="F85" i="1"/>
  <c r="Z84" i="1"/>
  <c r="U84" i="1"/>
  <c r="P84" i="1"/>
  <c r="K84" i="1"/>
  <c r="F84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30" i="1"/>
  <c r="C228" i="1"/>
  <c r="C231" i="1"/>
  <c r="C232" i="1"/>
  <c r="C233" i="1"/>
  <c r="C229" i="1"/>
  <c r="C234" i="1"/>
  <c r="C111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1" i="1"/>
  <c r="F224" i="1"/>
  <c r="F225" i="1"/>
  <c r="F230" i="1"/>
  <c r="F231" i="1"/>
  <c r="F232" i="1"/>
  <c r="F233" i="1"/>
  <c r="F229" i="1"/>
  <c r="F234" i="1"/>
  <c r="P111" i="1"/>
  <c r="P234" i="1"/>
  <c r="P229" i="1"/>
  <c r="P233" i="1"/>
  <c r="P232" i="1"/>
  <c r="P231" i="1"/>
  <c r="P228" i="1"/>
  <c r="P230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K83" i="1"/>
  <c r="K82" i="1"/>
  <c r="K79" i="1"/>
  <c r="K80" i="1"/>
  <c r="K81" i="1"/>
  <c r="K76" i="1"/>
  <c r="K77" i="1"/>
  <c r="K75" i="1"/>
  <c r="K71" i="1"/>
  <c r="AD50" i="4" l="1"/>
  <c r="D85" i="1"/>
  <c r="D232" i="1"/>
  <c r="D225" i="1"/>
  <c r="D218" i="1"/>
  <c r="D210" i="1"/>
  <c r="D86" i="1"/>
  <c r="D111" i="1"/>
  <c r="D227" i="1"/>
  <c r="D221" i="1"/>
  <c r="D214" i="1"/>
  <c r="D229" i="1"/>
  <c r="D84" i="1"/>
  <c r="D206" i="1"/>
  <c r="D202" i="1"/>
  <c r="D198" i="1"/>
  <c r="D194" i="1"/>
  <c r="D190" i="1"/>
  <c r="D186" i="1"/>
  <c r="D182" i="1"/>
  <c r="D178" i="1"/>
  <c r="D174" i="1"/>
  <c r="D170" i="1"/>
  <c r="D234" i="1"/>
  <c r="D231" i="1"/>
  <c r="D224" i="1"/>
  <c r="D220" i="1"/>
  <c r="D217" i="1"/>
  <c r="D213" i="1"/>
  <c r="D209" i="1"/>
  <c r="D205" i="1"/>
  <c r="D201" i="1"/>
  <c r="D197" i="1"/>
  <c r="D193" i="1"/>
  <c r="D189" i="1"/>
  <c r="D185" i="1"/>
  <c r="D181" i="1"/>
  <c r="D177" i="1"/>
  <c r="D173" i="1"/>
  <c r="D169" i="1"/>
  <c r="D228" i="1"/>
  <c r="D223" i="1"/>
  <c r="D219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233" i="1"/>
  <c r="D230" i="1"/>
  <c r="D226" i="1"/>
  <c r="D222" i="1"/>
  <c r="D215" i="1"/>
  <c r="D211" i="1"/>
  <c r="D207" i="1"/>
  <c r="D203" i="1"/>
  <c r="D199" i="1"/>
  <c r="D195" i="1"/>
  <c r="D191" i="1"/>
  <c r="D187" i="1"/>
  <c r="D183" i="1"/>
  <c r="D179" i="1"/>
  <c r="D175" i="1"/>
  <c r="D171" i="1"/>
  <c r="Z83" i="1"/>
  <c r="U83" i="1"/>
  <c r="P83" i="1"/>
  <c r="F83" i="1"/>
  <c r="Z82" i="1"/>
  <c r="U82" i="1"/>
  <c r="P82" i="1"/>
  <c r="F82" i="1"/>
  <c r="D83" i="1" l="1"/>
  <c r="D82" i="1"/>
  <c r="C46" i="1"/>
  <c r="C45" i="1" l="1"/>
  <c r="P45" i="1"/>
  <c r="K45" i="1"/>
  <c r="F45" i="1"/>
  <c r="F44" i="1"/>
  <c r="K44" i="1"/>
  <c r="P44" i="1"/>
  <c r="H45" i="4"/>
  <c r="M45" i="4"/>
  <c r="D45" i="1" l="1"/>
  <c r="D44" i="1"/>
  <c r="C44" i="1"/>
  <c r="C250" i="1"/>
  <c r="F250" i="1"/>
  <c r="P250" i="1"/>
  <c r="U250" i="1"/>
  <c r="Z250" i="1"/>
  <c r="AD24" i="4"/>
  <c r="D250" i="1" l="1"/>
  <c r="R367" i="5"/>
  <c r="W367" i="5"/>
  <c r="M151" i="5"/>
  <c r="H151" i="5"/>
  <c r="C151" i="5"/>
  <c r="P35" i="4"/>
  <c r="F21" i="4"/>
  <c r="O15" i="1"/>
  <c r="AD26" i="4" l="1"/>
  <c r="AB367" i="5"/>
  <c r="R151" i="5"/>
  <c r="W151" i="5"/>
  <c r="AA43" i="1"/>
  <c r="F43" i="1"/>
  <c r="C43" i="1"/>
  <c r="F42" i="1"/>
  <c r="AB151" i="5" l="1"/>
  <c r="D43" i="1"/>
  <c r="Y75" i="4"/>
  <c r="Z81" i="4"/>
  <c r="Y81" i="4" s="1"/>
  <c r="P117" i="1" l="1"/>
  <c r="U117" i="1"/>
  <c r="C117" i="1"/>
  <c r="D117" i="1" l="1"/>
  <c r="S56" i="1" l="1"/>
  <c r="M15" i="1"/>
  <c r="S23" i="1"/>
  <c r="O60" i="1"/>
  <c r="R56" i="1"/>
  <c r="Z467" i="1"/>
  <c r="Z468" i="1"/>
  <c r="Z469" i="1"/>
  <c r="Z470" i="1"/>
  <c r="O471" i="1"/>
  <c r="F294" i="1" l="1"/>
  <c r="C251" i="1"/>
  <c r="P16" i="1" l="1"/>
  <c r="P15" i="1" s="1"/>
  <c r="S15" i="1"/>
  <c r="Z294" i="1" l="1"/>
  <c r="U294" i="1"/>
  <c r="P294" i="1"/>
  <c r="C294" i="1"/>
  <c r="D294" i="1" l="1"/>
  <c r="C42" i="1"/>
  <c r="C40" i="1"/>
  <c r="C39" i="1" s="1"/>
  <c r="E39" i="1"/>
  <c r="Z167" i="1" l="1"/>
  <c r="F167" i="1"/>
  <c r="C167" i="1"/>
  <c r="Z166" i="1"/>
  <c r="U166" i="1"/>
  <c r="P166" i="1"/>
  <c r="F166" i="1"/>
  <c r="C166" i="1"/>
  <c r="Z81" i="1"/>
  <c r="U81" i="1"/>
  <c r="P81" i="1"/>
  <c r="F81" i="1"/>
  <c r="Z80" i="1"/>
  <c r="U80" i="1"/>
  <c r="P80" i="1"/>
  <c r="Z79" i="1"/>
  <c r="U79" i="1"/>
  <c r="P79" i="1"/>
  <c r="F79" i="1"/>
  <c r="Z78" i="1"/>
  <c r="U78" i="1"/>
  <c r="P78" i="1"/>
  <c r="F78" i="1"/>
  <c r="D166" i="1" l="1"/>
  <c r="D80" i="1"/>
  <c r="D167" i="1"/>
  <c r="D79" i="1"/>
  <c r="D81" i="1"/>
  <c r="D78" i="1"/>
  <c r="F76" i="1"/>
  <c r="AC93" i="4" l="1"/>
  <c r="AB93" i="4"/>
  <c r="AA93" i="4"/>
  <c r="Z93" i="4"/>
  <c r="X93" i="4"/>
  <c r="W93" i="4"/>
  <c r="V93" i="4"/>
  <c r="U93" i="4"/>
  <c r="S93" i="4"/>
  <c r="R93" i="4"/>
  <c r="Q93" i="4"/>
  <c r="N81" i="4"/>
  <c r="N93" i="4" s="1"/>
  <c r="M81" i="4"/>
  <c r="M93" i="4" s="1"/>
  <c r="L93" i="4"/>
  <c r="I93" i="4"/>
  <c r="H81" i="4"/>
  <c r="H93" i="4" s="1"/>
  <c r="G81" i="4"/>
  <c r="G93" i="4" s="1"/>
  <c r="AH79" i="4"/>
  <c r="AG79" i="4"/>
  <c r="AF79" i="4"/>
  <c r="AE79" i="4"/>
  <c r="J78" i="4"/>
  <c r="P93" i="4"/>
  <c r="K93" i="4"/>
  <c r="J70" i="4"/>
  <c r="E70" i="4"/>
  <c r="J63" i="4"/>
  <c r="E63" i="4"/>
  <c r="AH61" i="4"/>
  <c r="AG61" i="4"/>
  <c r="AF61" i="4"/>
  <c r="E61" i="4"/>
  <c r="AH59" i="4"/>
  <c r="AG59" i="4"/>
  <c r="AF59" i="4"/>
  <c r="J59" i="4"/>
  <c r="AH58" i="4"/>
  <c r="AG58" i="4"/>
  <c r="AF58" i="4"/>
  <c r="J58" i="4"/>
  <c r="H44" i="4"/>
  <c r="H41" i="4"/>
  <c r="AC35" i="4"/>
  <c r="AC87" i="4" s="1"/>
  <c r="AB35" i="4"/>
  <c r="AB87" i="4" s="1"/>
  <c r="AA35" i="4"/>
  <c r="AA87" i="4" s="1"/>
  <c r="X35" i="4"/>
  <c r="X87" i="4" s="1"/>
  <c r="W35" i="4"/>
  <c r="W87" i="4" s="1"/>
  <c r="V35" i="4"/>
  <c r="V87" i="4" s="1"/>
  <c r="S35" i="4"/>
  <c r="S87" i="4" s="1"/>
  <c r="R35" i="4"/>
  <c r="R87" i="4" s="1"/>
  <c r="Q35" i="4"/>
  <c r="Q87" i="4" s="1"/>
  <c r="P87" i="4"/>
  <c r="N35" i="4"/>
  <c r="N87" i="4" s="1"/>
  <c r="M35" i="4"/>
  <c r="M87" i="4" s="1"/>
  <c r="L35" i="4"/>
  <c r="L87" i="4" s="1"/>
  <c r="K87" i="4"/>
  <c r="I35" i="4"/>
  <c r="I87" i="4" s="1"/>
  <c r="H35" i="4"/>
  <c r="H87" i="4" s="1"/>
  <c r="G35" i="4"/>
  <c r="G87" i="4" s="1"/>
  <c r="Z35" i="4"/>
  <c r="Z87" i="4" s="1"/>
  <c r="U35" i="4"/>
  <c r="U87" i="4" s="1"/>
  <c r="J34" i="4"/>
  <c r="E34" i="4"/>
  <c r="J28" i="4"/>
  <c r="E28" i="4"/>
  <c r="J27" i="4"/>
  <c r="E27" i="4"/>
  <c r="E25" i="4"/>
  <c r="AD25" i="4" s="1"/>
  <c r="E23" i="4"/>
  <c r="AD23" i="4" s="1"/>
  <c r="E22" i="4"/>
  <c r="AD22" i="4" s="1"/>
  <c r="E21" i="4"/>
  <c r="AD18" i="4"/>
  <c r="F35" i="4"/>
  <c r="F87" i="4" s="1"/>
  <c r="E16" i="4"/>
  <c r="AD16" i="4" s="1"/>
  <c r="E15" i="4"/>
  <c r="AD15" i="4" s="1"/>
  <c r="E13" i="4"/>
  <c r="AD13" i="4" s="1"/>
  <c r="Z548" i="1"/>
  <c r="P548" i="1"/>
  <c r="Z547" i="1"/>
  <c r="C547" i="1"/>
  <c r="P547" i="1"/>
  <c r="Z546" i="1"/>
  <c r="C546" i="1"/>
  <c r="P546" i="1"/>
  <c r="Z545" i="1"/>
  <c r="P545" i="1"/>
  <c r="Z544" i="1"/>
  <c r="C544" i="1"/>
  <c r="P544" i="1"/>
  <c r="Z543" i="1"/>
  <c r="P543" i="1"/>
  <c r="Z542" i="1"/>
  <c r="P542" i="1"/>
  <c r="Z541" i="1"/>
  <c r="P541" i="1"/>
  <c r="Z540" i="1"/>
  <c r="P540" i="1"/>
  <c r="Z539" i="1"/>
  <c r="P539" i="1"/>
  <c r="C538" i="1"/>
  <c r="P538" i="1"/>
  <c r="Z537" i="1"/>
  <c r="C537" i="1"/>
  <c r="P537" i="1"/>
  <c r="Z536" i="1"/>
  <c r="P536" i="1"/>
  <c r="Z535" i="1"/>
  <c r="P535" i="1"/>
  <c r="Z534" i="1"/>
  <c r="P534" i="1"/>
  <c r="Z533" i="1"/>
  <c r="P533" i="1"/>
  <c r="O529" i="1"/>
  <c r="Z532" i="1"/>
  <c r="P532" i="1"/>
  <c r="Z531" i="1"/>
  <c r="P531" i="1"/>
  <c r="Z530" i="1"/>
  <c r="P530" i="1"/>
  <c r="AB529" i="1"/>
  <c r="AA529" i="1"/>
  <c r="R529" i="1"/>
  <c r="Q529" i="1"/>
  <c r="N529" i="1"/>
  <c r="M529" i="1"/>
  <c r="L529" i="1"/>
  <c r="J529" i="1"/>
  <c r="I529" i="1"/>
  <c r="H529" i="1"/>
  <c r="G529" i="1"/>
  <c r="E529" i="1"/>
  <c r="Z528" i="1"/>
  <c r="P528" i="1"/>
  <c r="Z527" i="1"/>
  <c r="P527" i="1"/>
  <c r="Z526" i="1"/>
  <c r="P526" i="1"/>
  <c r="Z525" i="1"/>
  <c r="P525" i="1"/>
  <c r="Z524" i="1"/>
  <c r="P524" i="1"/>
  <c r="Z523" i="1"/>
  <c r="P523" i="1"/>
  <c r="Z522" i="1"/>
  <c r="P522" i="1"/>
  <c r="C522" i="1"/>
  <c r="Z521" i="1"/>
  <c r="P521" i="1"/>
  <c r="Z520" i="1"/>
  <c r="P520" i="1"/>
  <c r="Z519" i="1"/>
  <c r="P519" i="1"/>
  <c r="Z518" i="1"/>
  <c r="P518" i="1"/>
  <c r="Z517" i="1"/>
  <c r="P517" i="1"/>
  <c r="Z516" i="1"/>
  <c r="P516" i="1"/>
  <c r="Z515" i="1"/>
  <c r="P515" i="1"/>
  <c r="Z514" i="1"/>
  <c r="P514" i="1"/>
  <c r="Z513" i="1"/>
  <c r="P513" i="1"/>
  <c r="Z512" i="1"/>
  <c r="P512" i="1"/>
  <c r="Z511" i="1"/>
  <c r="P511" i="1"/>
  <c r="Z510" i="1"/>
  <c r="P510" i="1"/>
  <c r="Z509" i="1"/>
  <c r="P509" i="1"/>
  <c r="Z508" i="1"/>
  <c r="P508" i="1"/>
  <c r="Z507" i="1"/>
  <c r="P507" i="1"/>
  <c r="Z506" i="1"/>
  <c r="P506" i="1"/>
  <c r="Z505" i="1"/>
  <c r="P505" i="1"/>
  <c r="Z504" i="1"/>
  <c r="P504" i="1"/>
  <c r="Z503" i="1"/>
  <c r="P503" i="1"/>
  <c r="Z502" i="1"/>
  <c r="P502" i="1"/>
  <c r="Z501" i="1"/>
  <c r="P501" i="1"/>
  <c r="Z500" i="1"/>
  <c r="P500" i="1"/>
  <c r="Z499" i="1"/>
  <c r="P499" i="1"/>
  <c r="Z498" i="1"/>
  <c r="P498" i="1"/>
  <c r="Z497" i="1"/>
  <c r="P497" i="1"/>
  <c r="Z496" i="1"/>
  <c r="P496" i="1"/>
  <c r="Z495" i="1"/>
  <c r="P495" i="1"/>
  <c r="Z494" i="1"/>
  <c r="P494" i="1"/>
  <c r="Z493" i="1"/>
  <c r="P493" i="1"/>
  <c r="Z492" i="1"/>
  <c r="P492" i="1"/>
  <c r="Z491" i="1"/>
  <c r="P491" i="1"/>
  <c r="Z490" i="1"/>
  <c r="P490" i="1"/>
  <c r="Z489" i="1"/>
  <c r="P489" i="1"/>
  <c r="Z488" i="1"/>
  <c r="P488" i="1"/>
  <c r="Z487" i="1"/>
  <c r="P487" i="1"/>
  <c r="Z486" i="1"/>
  <c r="P486" i="1"/>
  <c r="Z485" i="1"/>
  <c r="P485" i="1"/>
  <c r="Z484" i="1"/>
  <c r="P484" i="1"/>
  <c r="Z483" i="1"/>
  <c r="P483" i="1"/>
  <c r="Z482" i="1"/>
  <c r="P482" i="1"/>
  <c r="Z481" i="1"/>
  <c r="P481" i="1"/>
  <c r="Z480" i="1"/>
  <c r="P480" i="1"/>
  <c r="Z479" i="1"/>
  <c r="P479" i="1"/>
  <c r="AB478" i="1"/>
  <c r="AA478" i="1"/>
  <c r="R478" i="1"/>
  <c r="Q478" i="1"/>
  <c r="M478" i="1"/>
  <c r="L478" i="1"/>
  <c r="J478" i="1"/>
  <c r="I478" i="1"/>
  <c r="H478" i="1"/>
  <c r="G478" i="1"/>
  <c r="E478" i="1"/>
  <c r="Z477" i="1"/>
  <c r="P477" i="1"/>
  <c r="Z476" i="1"/>
  <c r="P476" i="1"/>
  <c r="Z475" i="1"/>
  <c r="P475" i="1"/>
  <c r="Z474" i="1"/>
  <c r="P474" i="1"/>
  <c r="Z473" i="1"/>
  <c r="P473" i="1"/>
  <c r="Z472" i="1"/>
  <c r="P472" i="1"/>
  <c r="AB471" i="1"/>
  <c r="AA471" i="1"/>
  <c r="Y471" i="1"/>
  <c r="S471" i="1"/>
  <c r="R471" i="1"/>
  <c r="Q471" i="1"/>
  <c r="N471" i="1"/>
  <c r="M471" i="1"/>
  <c r="L471" i="1"/>
  <c r="J471" i="1"/>
  <c r="I471" i="1"/>
  <c r="H471" i="1"/>
  <c r="G471" i="1"/>
  <c r="E471" i="1"/>
  <c r="P470" i="1"/>
  <c r="D470" i="1" s="1"/>
  <c r="P469" i="1"/>
  <c r="D469" i="1" s="1"/>
  <c r="P468" i="1"/>
  <c r="D468" i="1" s="1"/>
  <c r="P467" i="1"/>
  <c r="D467" i="1" s="1"/>
  <c r="Z466" i="1"/>
  <c r="C466" i="1"/>
  <c r="P466" i="1"/>
  <c r="AB465" i="1"/>
  <c r="AA465" i="1"/>
  <c r="S465" i="1"/>
  <c r="R465" i="1"/>
  <c r="Q465" i="1"/>
  <c r="O465" i="1"/>
  <c r="N465" i="1"/>
  <c r="M465" i="1"/>
  <c r="L465" i="1"/>
  <c r="J465" i="1"/>
  <c r="I465" i="1"/>
  <c r="H465" i="1"/>
  <c r="G465" i="1"/>
  <c r="E465" i="1"/>
  <c r="Z458" i="1"/>
  <c r="P458" i="1"/>
  <c r="Z457" i="1"/>
  <c r="P457" i="1"/>
  <c r="Z456" i="1"/>
  <c r="P456" i="1"/>
  <c r="Z455" i="1"/>
  <c r="P455" i="1"/>
  <c r="Z454" i="1"/>
  <c r="P454" i="1"/>
  <c r="Z453" i="1"/>
  <c r="P453" i="1"/>
  <c r="Z452" i="1"/>
  <c r="P452" i="1"/>
  <c r="Z451" i="1"/>
  <c r="P451" i="1"/>
  <c r="Z450" i="1"/>
  <c r="P450" i="1"/>
  <c r="Z449" i="1"/>
  <c r="P449" i="1"/>
  <c r="Z448" i="1"/>
  <c r="P448" i="1"/>
  <c r="Z447" i="1"/>
  <c r="P447" i="1"/>
  <c r="Z446" i="1"/>
  <c r="P446" i="1"/>
  <c r="Z445" i="1"/>
  <c r="P445" i="1"/>
  <c r="Z444" i="1"/>
  <c r="P444" i="1"/>
  <c r="Z443" i="1"/>
  <c r="P443" i="1"/>
  <c r="Z442" i="1"/>
  <c r="P442" i="1"/>
  <c r="Z441" i="1"/>
  <c r="P441" i="1"/>
  <c r="Z440" i="1"/>
  <c r="P440" i="1"/>
  <c r="Z439" i="1"/>
  <c r="P439" i="1"/>
  <c r="Z438" i="1"/>
  <c r="P438" i="1"/>
  <c r="Z437" i="1"/>
  <c r="P437" i="1"/>
  <c r="K435" i="1"/>
  <c r="Z434" i="1"/>
  <c r="P434" i="1"/>
  <c r="Z433" i="1"/>
  <c r="P433" i="1"/>
  <c r="W432" i="1"/>
  <c r="V432" i="1"/>
  <c r="S432" i="1"/>
  <c r="R432" i="1"/>
  <c r="Q432" i="1"/>
  <c r="O432" i="1"/>
  <c r="N432" i="1"/>
  <c r="M432" i="1"/>
  <c r="L432" i="1"/>
  <c r="J432" i="1"/>
  <c r="I432" i="1"/>
  <c r="I463" i="1" s="1"/>
  <c r="H432" i="1"/>
  <c r="G432" i="1"/>
  <c r="E432" i="1"/>
  <c r="Z431" i="1"/>
  <c r="D431" i="1" s="1"/>
  <c r="Z430" i="1"/>
  <c r="D430" i="1" s="1"/>
  <c r="Z429" i="1"/>
  <c r="D429" i="1" s="1"/>
  <c r="C429" i="1"/>
  <c r="Z428" i="1"/>
  <c r="D428" i="1" s="1"/>
  <c r="C428" i="1"/>
  <c r="Z427" i="1"/>
  <c r="D427" i="1" s="1"/>
  <c r="Z426" i="1"/>
  <c r="D426" i="1" s="1"/>
  <c r="Z425" i="1"/>
  <c r="D425" i="1" s="1"/>
  <c r="Z424" i="1"/>
  <c r="D424" i="1" s="1"/>
  <c r="Z423" i="1"/>
  <c r="D423" i="1" s="1"/>
  <c r="Z422" i="1"/>
  <c r="D422" i="1" s="1"/>
  <c r="C422" i="1"/>
  <c r="Z421" i="1"/>
  <c r="D421" i="1" s="1"/>
  <c r="C421" i="1"/>
  <c r="Z420" i="1"/>
  <c r="D420" i="1" s="1"/>
  <c r="Z419" i="1"/>
  <c r="D419" i="1" s="1"/>
  <c r="Z418" i="1"/>
  <c r="D418" i="1" s="1"/>
  <c r="C418" i="1"/>
  <c r="Z417" i="1"/>
  <c r="D417" i="1" s="1"/>
  <c r="Z416" i="1"/>
  <c r="D416" i="1" s="1"/>
  <c r="Z415" i="1"/>
  <c r="D415" i="1" s="1"/>
  <c r="C415" i="1"/>
  <c r="Z414" i="1"/>
  <c r="D414" i="1" s="1"/>
  <c r="Z413" i="1"/>
  <c r="D413" i="1" s="1"/>
  <c r="Z412" i="1"/>
  <c r="D412" i="1" s="1"/>
  <c r="Z411" i="1"/>
  <c r="D411" i="1" s="1"/>
  <c r="C411" i="1"/>
  <c r="Z410" i="1"/>
  <c r="D410" i="1" s="1"/>
  <c r="Z409" i="1"/>
  <c r="D409" i="1" s="1"/>
  <c r="C409" i="1"/>
  <c r="Z408" i="1"/>
  <c r="D408" i="1" s="1"/>
  <c r="Z407" i="1"/>
  <c r="D407" i="1" s="1"/>
  <c r="Z406" i="1"/>
  <c r="D406" i="1" s="1"/>
  <c r="C406" i="1"/>
  <c r="Z405" i="1"/>
  <c r="D405" i="1" s="1"/>
  <c r="C405" i="1"/>
  <c r="Z404" i="1"/>
  <c r="D404" i="1" s="1"/>
  <c r="Z403" i="1"/>
  <c r="D403" i="1" s="1"/>
  <c r="Z402" i="1"/>
  <c r="D402" i="1" s="1"/>
  <c r="Z401" i="1"/>
  <c r="D401" i="1" s="1"/>
  <c r="C401" i="1"/>
  <c r="Z400" i="1"/>
  <c r="D400" i="1" s="1"/>
  <c r="C400" i="1"/>
  <c r="Z399" i="1"/>
  <c r="D399" i="1" s="1"/>
  <c r="C399" i="1"/>
  <c r="Z398" i="1"/>
  <c r="D398" i="1" s="1"/>
  <c r="C398" i="1"/>
  <c r="Z397" i="1"/>
  <c r="D397" i="1" s="1"/>
  <c r="C397" i="1"/>
  <c r="Z396" i="1"/>
  <c r="D396" i="1" s="1"/>
  <c r="C396" i="1"/>
  <c r="Z395" i="1"/>
  <c r="D395" i="1" s="1"/>
  <c r="Z394" i="1"/>
  <c r="D394" i="1" s="1"/>
  <c r="Z393" i="1"/>
  <c r="D393" i="1" s="1"/>
  <c r="C393" i="1"/>
  <c r="Z392" i="1"/>
  <c r="D392" i="1" s="1"/>
  <c r="C392" i="1"/>
  <c r="Z391" i="1"/>
  <c r="D391" i="1" s="1"/>
  <c r="Z390" i="1"/>
  <c r="D390" i="1" s="1"/>
  <c r="C390" i="1"/>
  <c r="Z389" i="1"/>
  <c r="D389" i="1" s="1"/>
  <c r="Z388" i="1"/>
  <c r="D388" i="1" s="1"/>
  <c r="Z387" i="1"/>
  <c r="D387" i="1" s="1"/>
  <c r="Z386" i="1"/>
  <c r="D386" i="1" s="1"/>
  <c r="Z385" i="1"/>
  <c r="D385" i="1" s="1"/>
  <c r="C385" i="1"/>
  <c r="Z384" i="1"/>
  <c r="D384" i="1" s="1"/>
  <c r="C384" i="1"/>
  <c r="Z383" i="1"/>
  <c r="D383" i="1" s="1"/>
  <c r="Z382" i="1"/>
  <c r="D382" i="1" s="1"/>
  <c r="Z381" i="1"/>
  <c r="D381" i="1" s="1"/>
  <c r="Z380" i="1"/>
  <c r="D380" i="1" s="1"/>
  <c r="Z379" i="1"/>
  <c r="D379" i="1" s="1"/>
  <c r="Z378" i="1"/>
  <c r="D378" i="1" s="1"/>
  <c r="Z377" i="1"/>
  <c r="D377" i="1" s="1"/>
  <c r="Z376" i="1"/>
  <c r="D376" i="1" s="1"/>
  <c r="Z375" i="1"/>
  <c r="D375" i="1" s="1"/>
  <c r="C375" i="1"/>
  <c r="Z374" i="1"/>
  <c r="D374" i="1" s="1"/>
  <c r="Z373" i="1"/>
  <c r="D373" i="1" s="1"/>
  <c r="C373" i="1"/>
  <c r="Z372" i="1"/>
  <c r="D372" i="1" s="1"/>
  <c r="C372" i="1"/>
  <c r="Z371" i="1"/>
  <c r="D371" i="1" s="1"/>
  <c r="C371" i="1"/>
  <c r="Z370" i="1"/>
  <c r="D370" i="1" s="1"/>
  <c r="Z369" i="1"/>
  <c r="D369" i="1" s="1"/>
  <c r="Z368" i="1"/>
  <c r="D368" i="1" s="1"/>
  <c r="C368" i="1"/>
  <c r="Z367" i="1"/>
  <c r="D367" i="1" s="1"/>
  <c r="Z366" i="1"/>
  <c r="D366" i="1" s="1"/>
  <c r="Z365" i="1"/>
  <c r="D365" i="1" s="1"/>
  <c r="Z364" i="1"/>
  <c r="D364" i="1" s="1"/>
  <c r="Z363" i="1"/>
  <c r="D363" i="1" s="1"/>
  <c r="Z362" i="1"/>
  <c r="D362" i="1" s="1"/>
  <c r="C362" i="1"/>
  <c r="Z361" i="1"/>
  <c r="D361" i="1" s="1"/>
  <c r="C361" i="1"/>
  <c r="Z360" i="1"/>
  <c r="D360" i="1" s="1"/>
  <c r="Z359" i="1"/>
  <c r="D359" i="1" s="1"/>
  <c r="Z358" i="1"/>
  <c r="D358" i="1" s="1"/>
  <c r="C358" i="1"/>
  <c r="Z357" i="1"/>
  <c r="D357" i="1" s="1"/>
  <c r="Z356" i="1"/>
  <c r="D356" i="1" s="1"/>
  <c r="Z355" i="1"/>
  <c r="D355" i="1" s="1"/>
  <c r="Z354" i="1"/>
  <c r="D354" i="1" s="1"/>
  <c r="C353" i="1"/>
  <c r="Z352" i="1"/>
  <c r="D352" i="1" s="1"/>
  <c r="C352" i="1"/>
  <c r="Z351" i="1"/>
  <c r="D351" i="1" s="1"/>
  <c r="Z350" i="1"/>
  <c r="D350" i="1" s="1"/>
  <c r="C350" i="1"/>
  <c r="Z349" i="1"/>
  <c r="D349" i="1" s="1"/>
  <c r="Z348" i="1"/>
  <c r="D348" i="1" s="1"/>
  <c r="C348" i="1"/>
  <c r="Z347" i="1"/>
  <c r="D347" i="1" s="1"/>
  <c r="C347" i="1"/>
  <c r="Z346" i="1"/>
  <c r="D346" i="1" s="1"/>
  <c r="Z345" i="1"/>
  <c r="D345" i="1" s="1"/>
  <c r="C345" i="1"/>
  <c r="Z344" i="1"/>
  <c r="D344" i="1" s="1"/>
  <c r="C344" i="1"/>
  <c r="Z343" i="1"/>
  <c r="D343" i="1" s="1"/>
  <c r="Z342" i="1"/>
  <c r="D342" i="1" s="1"/>
  <c r="Z341" i="1"/>
  <c r="D341" i="1" s="1"/>
  <c r="C341" i="1"/>
  <c r="Z340" i="1"/>
  <c r="D340" i="1" s="1"/>
  <c r="C340" i="1"/>
  <c r="Z339" i="1"/>
  <c r="D339" i="1" s="1"/>
  <c r="Z338" i="1"/>
  <c r="D338" i="1" s="1"/>
  <c r="Z337" i="1"/>
  <c r="D337" i="1" s="1"/>
  <c r="C337" i="1"/>
  <c r="Z336" i="1"/>
  <c r="D336" i="1" s="1"/>
  <c r="Z335" i="1"/>
  <c r="D335" i="1" s="1"/>
  <c r="C335" i="1"/>
  <c r="Z334" i="1"/>
  <c r="D334" i="1" s="1"/>
  <c r="C334" i="1"/>
  <c r="Z333" i="1"/>
  <c r="D333" i="1" s="1"/>
  <c r="Z332" i="1"/>
  <c r="D332" i="1" s="1"/>
  <c r="Z331" i="1"/>
  <c r="D331" i="1" s="1"/>
  <c r="C331" i="1"/>
  <c r="Z330" i="1"/>
  <c r="D330" i="1" s="1"/>
  <c r="C330" i="1"/>
  <c r="Z329" i="1"/>
  <c r="D329" i="1" s="1"/>
  <c r="Z328" i="1"/>
  <c r="D328" i="1" s="1"/>
  <c r="C328" i="1"/>
  <c r="Z327" i="1"/>
  <c r="D327" i="1" s="1"/>
  <c r="Z326" i="1"/>
  <c r="D326" i="1" s="1"/>
  <c r="Z325" i="1"/>
  <c r="D325" i="1" s="1"/>
  <c r="C325" i="1"/>
  <c r="Z324" i="1"/>
  <c r="D324" i="1" s="1"/>
  <c r="Z323" i="1"/>
  <c r="D323" i="1" s="1"/>
  <c r="C323" i="1"/>
  <c r="Z322" i="1"/>
  <c r="D322" i="1" s="1"/>
  <c r="Z321" i="1"/>
  <c r="D321" i="1" s="1"/>
  <c r="Z320" i="1"/>
  <c r="D320" i="1" s="1"/>
  <c r="Z319" i="1"/>
  <c r="D319" i="1" s="1"/>
  <c r="Z318" i="1"/>
  <c r="D318" i="1" s="1"/>
  <c r="C318" i="1"/>
  <c r="Z317" i="1"/>
  <c r="D317" i="1" s="1"/>
  <c r="C317" i="1"/>
  <c r="Z316" i="1"/>
  <c r="D316" i="1" s="1"/>
  <c r="Z315" i="1"/>
  <c r="D315" i="1" s="1"/>
  <c r="Z314" i="1"/>
  <c r="D314" i="1" s="1"/>
  <c r="Z313" i="1"/>
  <c r="D313" i="1" s="1"/>
  <c r="Z312" i="1"/>
  <c r="D312" i="1" s="1"/>
  <c r="Z311" i="1"/>
  <c r="D311" i="1" s="1"/>
  <c r="Z310" i="1"/>
  <c r="D310" i="1" s="1"/>
  <c r="C310" i="1"/>
  <c r="Z309" i="1"/>
  <c r="D309" i="1" s="1"/>
  <c r="C309" i="1"/>
  <c r="Z308" i="1"/>
  <c r="D308" i="1" s="1"/>
  <c r="C308" i="1"/>
  <c r="Z307" i="1"/>
  <c r="D307" i="1" s="1"/>
  <c r="Z306" i="1"/>
  <c r="D306" i="1" s="1"/>
  <c r="C306" i="1"/>
  <c r="Z305" i="1"/>
  <c r="D305" i="1" s="1"/>
  <c r="C305" i="1"/>
  <c r="Z304" i="1"/>
  <c r="D304" i="1" s="1"/>
  <c r="Z303" i="1"/>
  <c r="C303" i="1"/>
  <c r="AB302" i="1"/>
  <c r="AA302" i="1"/>
  <c r="W302" i="1"/>
  <c r="V302" i="1"/>
  <c r="S302" i="1"/>
  <c r="R302" i="1"/>
  <c r="Q302" i="1"/>
  <c r="O302" i="1"/>
  <c r="N302" i="1"/>
  <c r="M302" i="1"/>
  <c r="L302" i="1"/>
  <c r="J302" i="1"/>
  <c r="H302" i="1"/>
  <c r="G302" i="1"/>
  <c r="E302" i="1"/>
  <c r="AA299" i="1"/>
  <c r="Y299" i="1"/>
  <c r="V299" i="1"/>
  <c r="T299" i="1"/>
  <c r="S299" i="1"/>
  <c r="P48" i="4" s="1"/>
  <c r="R299" i="1"/>
  <c r="Q48" i="4" s="1"/>
  <c r="Q299" i="1"/>
  <c r="O299" i="1"/>
  <c r="N299" i="1"/>
  <c r="K48" i="4" s="1"/>
  <c r="M299" i="1"/>
  <c r="L48" i="4" s="1"/>
  <c r="L299" i="1"/>
  <c r="J299" i="1"/>
  <c r="I299" i="1"/>
  <c r="F48" i="4" s="1"/>
  <c r="H299" i="1"/>
  <c r="G48" i="4" s="1"/>
  <c r="G299" i="1"/>
  <c r="E299" i="1"/>
  <c r="Z298" i="1"/>
  <c r="U298" i="1"/>
  <c r="K298" i="1"/>
  <c r="AC299" i="1"/>
  <c r="Z48" i="4" s="1"/>
  <c r="X299" i="1"/>
  <c r="U48" i="4" s="1"/>
  <c r="P299" i="1"/>
  <c r="F297" i="1"/>
  <c r="F299" i="1" s="1"/>
  <c r="C297" i="1"/>
  <c r="C299" i="1" s="1"/>
  <c r="Z165" i="1"/>
  <c r="F165" i="1"/>
  <c r="C165" i="1"/>
  <c r="Z254" i="1"/>
  <c r="U254" i="1"/>
  <c r="P254" i="1"/>
  <c r="F254" i="1"/>
  <c r="C254" i="1"/>
  <c r="Z260" i="1"/>
  <c r="U260" i="1"/>
  <c r="P260" i="1"/>
  <c r="F260" i="1"/>
  <c r="C260" i="1"/>
  <c r="Z259" i="1"/>
  <c r="U259" i="1"/>
  <c r="P259" i="1"/>
  <c r="F259" i="1"/>
  <c r="C259" i="1"/>
  <c r="Z261" i="1"/>
  <c r="U261" i="1"/>
  <c r="P261" i="1"/>
  <c r="F261" i="1"/>
  <c r="C261" i="1"/>
  <c r="Z251" i="1"/>
  <c r="U251" i="1"/>
  <c r="P251" i="1"/>
  <c r="F251" i="1"/>
  <c r="P161" i="1"/>
  <c r="K161" i="1"/>
  <c r="F161" i="1"/>
  <c r="P160" i="1"/>
  <c r="K160" i="1"/>
  <c r="F160" i="1"/>
  <c r="P159" i="1"/>
  <c r="K159" i="1"/>
  <c r="F159" i="1"/>
  <c r="P158" i="1"/>
  <c r="K158" i="1"/>
  <c r="F158" i="1"/>
  <c r="P157" i="1"/>
  <c r="K157" i="1"/>
  <c r="F157" i="1"/>
  <c r="C157" i="1"/>
  <c r="P156" i="1"/>
  <c r="K156" i="1"/>
  <c r="F156" i="1"/>
  <c r="C156" i="1"/>
  <c r="P155" i="1"/>
  <c r="K155" i="1"/>
  <c r="F155" i="1"/>
  <c r="C155" i="1"/>
  <c r="P154" i="1"/>
  <c r="K154" i="1"/>
  <c r="F154" i="1"/>
  <c r="C154" i="1"/>
  <c r="P153" i="1"/>
  <c r="K153" i="1"/>
  <c r="F153" i="1"/>
  <c r="C153" i="1"/>
  <c r="P152" i="1"/>
  <c r="K152" i="1"/>
  <c r="F152" i="1"/>
  <c r="C152" i="1"/>
  <c r="P151" i="1"/>
  <c r="K151" i="1"/>
  <c r="F151" i="1"/>
  <c r="C151" i="1"/>
  <c r="P150" i="1"/>
  <c r="K150" i="1"/>
  <c r="F150" i="1"/>
  <c r="C150" i="1"/>
  <c r="P149" i="1"/>
  <c r="K149" i="1"/>
  <c r="F149" i="1"/>
  <c r="P148" i="1"/>
  <c r="K148" i="1"/>
  <c r="F148" i="1"/>
  <c r="P147" i="1"/>
  <c r="K147" i="1"/>
  <c r="F147" i="1"/>
  <c r="P146" i="1"/>
  <c r="K146" i="1"/>
  <c r="F146" i="1"/>
  <c r="P145" i="1"/>
  <c r="K145" i="1"/>
  <c r="F145" i="1"/>
  <c r="P144" i="1"/>
  <c r="K144" i="1"/>
  <c r="F144" i="1"/>
  <c r="P143" i="1"/>
  <c r="K143" i="1"/>
  <c r="F143" i="1"/>
  <c r="K142" i="1"/>
  <c r="F142" i="1"/>
  <c r="C142" i="1"/>
  <c r="K141" i="1"/>
  <c r="F141" i="1"/>
  <c r="C141" i="1"/>
  <c r="K140" i="1"/>
  <c r="F140" i="1"/>
  <c r="C140" i="1"/>
  <c r="K139" i="1"/>
  <c r="F139" i="1"/>
  <c r="C139" i="1"/>
  <c r="K138" i="1"/>
  <c r="F138" i="1"/>
  <c r="C138" i="1"/>
  <c r="K137" i="1"/>
  <c r="F137" i="1"/>
  <c r="C137" i="1"/>
  <c r="K136" i="1"/>
  <c r="F136" i="1"/>
  <c r="C136" i="1"/>
  <c r="K135" i="1"/>
  <c r="F135" i="1"/>
  <c r="C135" i="1"/>
  <c r="K134" i="1"/>
  <c r="F134" i="1"/>
  <c r="C134" i="1"/>
  <c r="K133" i="1"/>
  <c r="F133" i="1"/>
  <c r="C133" i="1"/>
  <c r="K132" i="1"/>
  <c r="F132" i="1"/>
  <c r="S131" i="1"/>
  <c r="R131" i="1"/>
  <c r="F131" i="1"/>
  <c r="D131" i="1" s="1"/>
  <c r="P130" i="1"/>
  <c r="F130" i="1"/>
  <c r="F129" i="1"/>
  <c r="D129" i="1" s="1"/>
  <c r="P128" i="1"/>
  <c r="F128" i="1"/>
  <c r="P127" i="1"/>
  <c r="F127" i="1"/>
  <c r="P126" i="1"/>
  <c r="F126" i="1"/>
  <c r="Z258" i="1"/>
  <c r="U258" i="1"/>
  <c r="P258" i="1"/>
  <c r="F258" i="1"/>
  <c r="C258" i="1"/>
  <c r="Z125" i="1"/>
  <c r="P125" i="1"/>
  <c r="K125" i="1"/>
  <c r="F125" i="1"/>
  <c r="C125" i="1"/>
  <c r="Z255" i="1"/>
  <c r="U255" i="1"/>
  <c r="P255" i="1"/>
  <c r="F255" i="1"/>
  <c r="C255" i="1"/>
  <c r="Z252" i="1"/>
  <c r="U252" i="1"/>
  <c r="P252" i="1"/>
  <c r="F252" i="1"/>
  <c r="C252" i="1"/>
  <c r="Z124" i="1"/>
  <c r="P124" i="1"/>
  <c r="K124" i="1"/>
  <c r="F124" i="1"/>
  <c r="C124" i="1"/>
  <c r="Z253" i="1"/>
  <c r="U253" i="1"/>
  <c r="P253" i="1"/>
  <c r="F253" i="1"/>
  <c r="C253" i="1"/>
  <c r="Z256" i="1"/>
  <c r="U256" i="1"/>
  <c r="P256" i="1"/>
  <c r="F256" i="1"/>
  <c r="C256" i="1"/>
  <c r="Z257" i="1"/>
  <c r="U257" i="1"/>
  <c r="P257" i="1"/>
  <c r="F257" i="1"/>
  <c r="C257" i="1"/>
  <c r="K104" i="1"/>
  <c r="D104" i="1" s="1"/>
  <c r="C104" i="1"/>
  <c r="K103" i="1"/>
  <c r="C103" i="1"/>
  <c r="K102" i="1"/>
  <c r="C102" i="1"/>
  <c r="C101" i="1"/>
  <c r="D100" i="1"/>
  <c r="K99" i="1"/>
  <c r="Z98" i="1"/>
  <c r="D98" i="1" s="1"/>
  <c r="P122" i="1"/>
  <c r="K108" i="1"/>
  <c r="C108" i="1"/>
  <c r="P44" i="4"/>
  <c r="Q44" i="4"/>
  <c r="K120" i="1"/>
  <c r="D120" i="1" s="1"/>
  <c r="C120" i="1"/>
  <c r="Z113" i="1"/>
  <c r="C113" i="1"/>
  <c r="Z42" i="4"/>
  <c r="AA42" i="4"/>
  <c r="U42" i="4"/>
  <c r="V42" i="4"/>
  <c r="Q42" i="4"/>
  <c r="L42" i="4"/>
  <c r="Z77" i="1"/>
  <c r="P77" i="1"/>
  <c r="P76" i="1"/>
  <c r="Z74" i="1"/>
  <c r="P71" i="1"/>
  <c r="F70" i="1"/>
  <c r="N95" i="1"/>
  <c r="C95" i="1"/>
  <c r="P63" i="1"/>
  <c r="D63" i="1" s="1"/>
  <c r="P62" i="1"/>
  <c r="D62" i="1" s="1"/>
  <c r="AC68" i="1"/>
  <c r="AB60" i="1"/>
  <c r="AB68" i="1" s="1"/>
  <c r="AA60" i="1"/>
  <c r="Y60" i="1"/>
  <c r="S60" i="1"/>
  <c r="R60" i="1"/>
  <c r="Q60" i="1"/>
  <c r="N60" i="1"/>
  <c r="M60" i="1"/>
  <c r="L60" i="1"/>
  <c r="J60" i="1"/>
  <c r="I60" i="1"/>
  <c r="H60" i="1"/>
  <c r="G60" i="1"/>
  <c r="E60" i="1"/>
  <c r="P59" i="1"/>
  <c r="K59" i="1"/>
  <c r="P58" i="1"/>
  <c r="K58" i="1"/>
  <c r="P57" i="1"/>
  <c r="M57" i="1"/>
  <c r="K57" i="1" s="1"/>
  <c r="AA56" i="1"/>
  <c r="Y56" i="1"/>
  <c r="Q56" i="1"/>
  <c r="O56" i="1"/>
  <c r="L56" i="1"/>
  <c r="J56" i="1"/>
  <c r="I56" i="1"/>
  <c r="H56" i="1"/>
  <c r="G56" i="1"/>
  <c r="H48" i="4" s="1"/>
  <c r="F56" i="1"/>
  <c r="E56" i="1"/>
  <c r="K55" i="1"/>
  <c r="K54" i="1"/>
  <c r="S53" i="1"/>
  <c r="S52" i="1" s="1"/>
  <c r="R53" i="1"/>
  <c r="R52" i="1" s="1"/>
  <c r="M53" i="1"/>
  <c r="K53" i="1" s="1"/>
  <c r="C53" i="1"/>
  <c r="C52" i="1" s="1"/>
  <c r="AA52" i="1"/>
  <c r="T52" i="1"/>
  <c r="Q52" i="1"/>
  <c r="P52" i="1"/>
  <c r="O52" i="1"/>
  <c r="N52" i="1"/>
  <c r="L52" i="1"/>
  <c r="J52" i="1"/>
  <c r="I52" i="1"/>
  <c r="H52" i="1"/>
  <c r="G52" i="1"/>
  <c r="F52" i="1"/>
  <c r="E52" i="1"/>
  <c r="F41" i="1"/>
  <c r="AC41" i="1"/>
  <c r="AB41" i="1"/>
  <c r="Z41" i="1"/>
  <c r="Y41" i="1"/>
  <c r="X41" i="1"/>
  <c r="W41" i="1"/>
  <c r="U41" i="1"/>
  <c r="T41" i="1"/>
  <c r="S41" i="1"/>
  <c r="R41" i="1"/>
  <c r="P41" i="1"/>
  <c r="O41" i="1"/>
  <c r="N41" i="1"/>
  <c r="M41" i="1"/>
  <c r="J41" i="1"/>
  <c r="I41" i="1"/>
  <c r="H41" i="1"/>
  <c r="G41" i="1"/>
  <c r="C41" i="1"/>
  <c r="D40" i="1"/>
  <c r="D39" i="1" s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L39" i="1"/>
  <c r="J39" i="1"/>
  <c r="I39" i="1"/>
  <c r="H39" i="1"/>
  <c r="G39" i="1"/>
  <c r="K38" i="1"/>
  <c r="C38" i="1"/>
  <c r="Z37" i="1"/>
  <c r="K37" i="1"/>
  <c r="C37" i="1"/>
  <c r="AC35" i="1"/>
  <c r="K36" i="1"/>
  <c r="C36" i="1"/>
  <c r="AA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J35" i="1"/>
  <c r="I35" i="1"/>
  <c r="H35" i="1"/>
  <c r="G35" i="1"/>
  <c r="F35" i="1"/>
  <c r="E35" i="1"/>
  <c r="P34" i="1"/>
  <c r="K34" i="1"/>
  <c r="C34" i="1"/>
  <c r="P33" i="1"/>
  <c r="K33" i="1"/>
  <c r="C33" i="1"/>
  <c r="S31" i="1"/>
  <c r="R31" i="1"/>
  <c r="K32" i="1"/>
  <c r="D32" i="1" s="1"/>
  <c r="C32" i="1"/>
  <c r="AA31" i="1"/>
  <c r="Y31" i="1"/>
  <c r="V31" i="1"/>
  <c r="T31" i="1"/>
  <c r="Q31" i="1"/>
  <c r="N31" i="1"/>
  <c r="M31" i="1"/>
  <c r="L31" i="1"/>
  <c r="J31" i="1"/>
  <c r="I31" i="1"/>
  <c r="H31" i="1"/>
  <c r="G31" i="1"/>
  <c r="F31" i="1"/>
  <c r="E31" i="1"/>
  <c r="P30" i="1"/>
  <c r="D30" i="1" s="1"/>
  <c r="P29" i="1"/>
  <c r="K29" i="1"/>
  <c r="C29" i="1"/>
  <c r="M28" i="1"/>
  <c r="C28" i="1"/>
  <c r="AC27" i="1"/>
  <c r="AB27" i="1"/>
  <c r="AA27" i="1"/>
  <c r="Y27" i="1"/>
  <c r="X27" i="1"/>
  <c r="W27" i="1"/>
  <c r="V27" i="1"/>
  <c r="T27" i="1"/>
  <c r="S27" i="1"/>
  <c r="R27" i="1"/>
  <c r="Q27" i="1"/>
  <c r="O27" i="1"/>
  <c r="L27" i="1"/>
  <c r="J27" i="1"/>
  <c r="I27" i="1"/>
  <c r="H27" i="1"/>
  <c r="G27" i="1"/>
  <c r="F27" i="1"/>
  <c r="E27" i="1"/>
  <c r="D26" i="1"/>
  <c r="C26" i="1"/>
  <c r="D25" i="1"/>
  <c r="C25" i="1"/>
  <c r="M23" i="1"/>
  <c r="D24" i="1"/>
  <c r="C24" i="1"/>
  <c r="AC23" i="1"/>
  <c r="AB23" i="1"/>
  <c r="AA23" i="1"/>
  <c r="Z23" i="1"/>
  <c r="Y23" i="1"/>
  <c r="V23" i="1"/>
  <c r="U23" i="1"/>
  <c r="T23" i="1"/>
  <c r="R23" i="1"/>
  <c r="Q23" i="1"/>
  <c r="N23" i="1"/>
  <c r="L23" i="1"/>
  <c r="K23" i="1"/>
  <c r="J23" i="1"/>
  <c r="I23" i="1"/>
  <c r="H23" i="1"/>
  <c r="G23" i="1"/>
  <c r="F23" i="1"/>
  <c r="E23" i="1"/>
  <c r="AC22" i="1"/>
  <c r="Z22" i="1" s="1"/>
  <c r="AC21" i="1"/>
  <c r="C21" i="1"/>
  <c r="C20" i="1"/>
  <c r="X19" i="1"/>
  <c r="W19" i="1"/>
  <c r="K20" i="1"/>
  <c r="K19" i="1" s="1"/>
  <c r="AA19" i="1"/>
  <c r="V19" i="1"/>
  <c r="T19" i="1"/>
  <c r="R19" i="1"/>
  <c r="Q19" i="1"/>
  <c r="P19" i="1"/>
  <c r="M19" i="1"/>
  <c r="I19" i="1"/>
  <c r="H19" i="1"/>
  <c r="G19" i="1"/>
  <c r="F19" i="1"/>
  <c r="E19" i="1"/>
  <c r="K18" i="1"/>
  <c r="D18" i="1" s="1"/>
  <c r="E18" i="1"/>
  <c r="E15" i="1" s="1"/>
  <c r="K17" i="1"/>
  <c r="C17" i="1"/>
  <c r="D16" i="1"/>
  <c r="C16" i="1"/>
  <c r="AC15" i="1"/>
  <c r="AB15" i="1"/>
  <c r="AA15" i="1"/>
  <c r="Z15" i="1"/>
  <c r="Y15" i="1"/>
  <c r="X15" i="1"/>
  <c r="W15" i="1"/>
  <c r="V15" i="1"/>
  <c r="U15" i="1"/>
  <c r="T15" i="1"/>
  <c r="R15" i="1"/>
  <c r="Q15" i="1"/>
  <c r="L15" i="1"/>
  <c r="J15" i="1"/>
  <c r="I15" i="1"/>
  <c r="H15" i="1"/>
  <c r="G15" i="1"/>
  <c r="F15" i="1"/>
  <c r="Z14" i="1"/>
  <c r="U14" i="1"/>
  <c r="P14" i="1"/>
  <c r="K14" i="1"/>
  <c r="C14" i="1"/>
  <c r="Z13" i="1"/>
  <c r="U13" i="1"/>
  <c r="P13" i="1"/>
  <c r="K13" i="1"/>
  <c r="F13" i="1"/>
  <c r="C13" i="1"/>
  <c r="Z12" i="1"/>
  <c r="S11" i="1"/>
  <c r="R11" i="1"/>
  <c r="C12" i="1"/>
  <c r="AC11" i="1"/>
  <c r="AB11" i="1"/>
  <c r="AA11" i="1"/>
  <c r="Y11" i="1"/>
  <c r="W11" i="1"/>
  <c r="V11" i="1"/>
  <c r="T11" i="1"/>
  <c r="Q11" i="1"/>
  <c r="O11" i="1"/>
  <c r="M11" i="1"/>
  <c r="L11" i="1"/>
  <c r="I11" i="1"/>
  <c r="H11" i="1"/>
  <c r="G11" i="1"/>
  <c r="E11" i="1"/>
  <c r="C406" i="5"/>
  <c r="W369" i="5"/>
  <c r="R369" i="5"/>
  <c r="M369" i="5"/>
  <c r="W368" i="5"/>
  <c r="R368" i="5"/>
  <c r="M368" i="5"/>
  <c r="H368" i="5"/>
  <c r="C368" i="5"/>
  <c r="M361" i="5"/>
  <c r="H361" i="5"/>
  <c r="C361" i="5"/>
  <c r="M340" i="5"/>
  <c r="H340" i="5"/>
  <c r="C340" i="5"/>
  <c r="M305" i="5"/>
  <c r="H305" i="5"/>
  <c r="C305" i="5"/>
  <c r="W131" i="5"/>
  <c r="R131" i="5"/>
  <c r="M131" i="5"/>
  <c r="H131" i="5"/>
  <c r="M112" i="5"/>
  <c r="H112" i="5"/>
  <c r="C112" i="5"/>
  <c r="C94" i="5"/>
  <c r="AB94" i="5" s="1"/>
  <c r="M29" i="5"/>
  <c r="H29" i="5"/>
  <c r="C29" i="5"/>
  <c r="M10" i="5"/>
  <c r="H10" i="5"/>
  <c r="C10" i="5"/>
  <c r="S463" i="1" l="1"/>
  <c r="D537" i="1"/>
  <c r="J463" i="1"/>
  <c r="O463" i="1"/>
  <c r="P435" i="1"/>
  <c r="P432" i="1"/>
  <c r="J549" i="1"/>
  <c r="J551" i="1" s="1"/>
  <c r="P95" i="1"/>
  <c r="U95" i="1"/>
  <c r="D546" i="1"/>
  <c r="O42" i="4"/>
  <c r="Y42" i="4"/>
  <c r="O48" i="4"/>
  <c r="P11" i="1"/>
  <c r="M407" i="5"/>
  <c r="D492" i="1"/>
  <c r="D490" i="1"/>
  <c r="D488" i="1"/>
  <c r="D486" i="1"/>
  <c r="D484" i="1"/>
  <c r="D482" i="1"/>
  <c r="D480" i="1"/>
  <c r="D494" i="1"/>
  <c r="D496" i="1"/>
  <c r="D498" i="1"/>
  <c r="D500" i="1"/>
  <c r="D502" i="1"/>
  <c r="D504" i="1"/>
  <c r="D506" i="1"/>
  <c r="D508" i="1"/>
  <c r="D510" i="1"/>
  <c r="T42" i="4"/>
  <c r="O44" i="4"/>
  <c r="D512" i="1"/>
  <c r="D514" i="1"/>
  <c r="AD78" i="4"/>
  <c r="Y93" i="4"/>
  <c r="T93" i="4"/>
  <c r="D438" i="1"/>
  <c r="D440" i="1"/>
  <c r="D442" i="1"/>
  <c r="D444" i="1"/>
  <c r="D446" i="1"/>
  <c r="D448" i="1"/>
  <c r="D450" i="1"/>
  <c r="D452" i="1"/>
  <c r="D454" i="1"/>
  <c r="D456" i="1"/>
  <c r="D458" i="1"/>
  <c r="D479" i="1"/>
  <c r="D481" i="1"/>
  <c r="D483" i="1"/>
  <c r="D485" i="1"/>
  <c r="D487" i="1"/>
  <c r="D489" i="1"/>
  <c r="D491" i="1"/>
  <c r="D493" i="1"/>
  <c r="D495" i="1"/>
  <c r="D497" i="1"/>
  <c r="D499" i="1"/>
  <c r="D501" i="1"/>
  <c r="D503" i="1"/>
  <c r="D505" i="1"/>
  <c r="D507" i="1"/>
  <c r="D509" i="1"/>
  <c r="D511" i="1"/>
  <c r="Z529" i="1"/>
  <c r="D531" i="1"/>
  <c r="D540" i="1"/>
  <c r="D437" i="1"/>
  <c r="D439" i="1"/>
  <c r="D441" i="1"/>
  <c r="D443" i="1"/>
  <c r="D445" i="1"/>
  <c r="D447" i="1"/>
  <c r="D449" i="1"/>
  <c r="D451" i="1"/>
  <c r="D453" i="1"/>
  <c r="D455" i="1"/>
  <c r="D457" i="1"/>
  <c r="F95" i="1"/>
  <c r="D539" i="1"/>
  <c r="Z95" i="1"/>
  <c r="D466" i="1"/>
  <c r="D465" i="1" s="1"/>
  <c r="K471" i="1"/>
  <c r="D544" i="1"/>
  <c r="D547" i="1"/>
  <c r="D523" i="1"/>
  <c r="D525" i="1"/>
  <c r="D533" i="1"/>
  <c r="D535" i="1"/>
  <c r="D522" i="1"/>
  <c r="D524" i="1"/>
  <c r="D526" i="1"/>
  <c r="D528" i="1"/>
  <c r="D534" i="1"/>
  <c r="D545" i="1"/>
  <c r="J65" i="4"/>
  <c r="J91" i="4" s="1"/>
  <c r="D513" i="1"/>
  <c r="D515" i="1"/>
  <c r="D517" i="1"/>
  <c r="D519" i="1"/>
  <c r="D521" i="1"/>
  <c r="D542" i="1"/>
  <c r="D433" i="1"/>
  <c r="D472" i="1"/>
  <c r="D474" i="1"/>
  <c r="D476" i="1"/>
  <c r="D527" i="1"/>
  <c r="K56" i="1"/>
  <c r="D303" i="1"/>
  <c r="Z432" i="1"/>
  <c r="D516" i="1"/>
  <c r="D518" i="1"/>
  <c r="D520" i="1"/>
  <c r="D530" i="1"/>
  <c r="D532" i="1"/>
  <c r="D541" i="1"/>
  <c r="D543" i="1"/>
  <c r="D434" i="1"/>
  <c r="D473" i="1"/>
  <c r="D475" i="1"/>
  <c r="D477" i="1"/>
  <c r="D536" i="1"/>
  <c r="D548" i="1"/>
  <c r="AD27" i="4"/>
  <c r="W407" i="5"/>
  <c r="N463" i="1"/>
  <c r="K295" i="1"/>
  <c r="K42" i="4"/>
  <c r="J42" i="4" s="1"/>
  <c r="C60" i="1"/>
  <c r="N50" i="1"/>
  <c r="R407" i="5"/>
  <c r="H407" i="5"/>
  <c r="AD28" i="4"/>
  <c r="AD21" i="4"/>
  <c r="K122" i="1"/>
  <c r="N68" i="1"/>
  <c r="K41" i="4" s="1"/>
  <c r="J35" i="4"/>
  <c r="J87" i="4" s="1"/>
  <c r="J45" i="4"/>
  <c r="K44" i="4"/>
  <c r="K478" i="1"/>
  <c r="F435" i="1"/>
  <c r="D126" i="1"/>
  <c r="D128" i="1"/>
  <c r="AA68" i="1"/>
  <c r="U295" i="1"/>
  <c r="D102" i="1"/>
  <c r="D127" i="1"/>
  <c r="D58" i="1"/>
  <c r="R549" i="1"/>
  <c r="AC19" i="1"/>
  <c r="AC50" i="1" s="1"/>
  <c r="Y68" i="1"/>
  <c r="D57" i="1"/>
  <c r="D59" i="1"/>
  <c r="D108" i="1"/>
  <c r="D130" i="1"/>
  <c r="C302" i="1"/>
  <c r="AG93" i="4"/>
  <c r="F68" i="1"/>
  <c r="J68" i="1"/>
  <c r="I68" i="1"/>
  <c r="F41" i="4" s="1"/>
  <c r="O68" i="1"/>
  <c r="G68" i="1"/>
  <c r="H68" i="1"/>
  <c r="G41" i="4" s="1"/>
  <c r="D261" i="1"/>
  <c r="Z41" i="4"/>
  <c r="S68" i="1"/>
  <c r="P41" i="4" s="1"/>
  <c r="T68" i="1"/>
  <c r="AB131" i="5"/>
  <c r="AF87" i="4"/>
  <c r="AE87" i="4"/>
  <c r="F295" i="1"/>
  <c r="E68" i="1"/>
  <c r="L68" i="1"/>
  <c r="Q68" i="1"/>
  <c r="V68" i="1"/>
  <c r="AA41" i="4"/>
  <c r="R68" i="1"/>
  <c r="Q41" i="4" s="1"/>
  <c r="V41" i="4"/>
  <c r="O65" i="4"/>
  <c r="O91" i="4" s="1"/>
  <c r="AH93" i="4"/>
  <c r="F122" i="1"/>
  <c r="AF93" i="4"/>
  <c r="AH87" i="4"/>
  <c r="AG87" i="4"/>
  <c r="AE81" i="4"/>
  <c r="F93" i="4"/>
  <c r="AE93" i="4" s="1"/>
  <c r="C407" i="5"/>
  <c r="H122" i="1"/>
  <c r="G44" i="4" s="1"/>
  <c r="C122" i="1"/>
  <c r="I122" i="1"/>
  <c r="F44" i="4" s="1"/>
  <c r="E65" i="4"/>
  <c r="E91" i="4" s="1"/>
  <c r="U65" i="4"/>
  <c r="U91" i="4" s="1"/>
  <c r="C435" i="1"/>
  <c r="Z435" i="1"/>
  <c r="S50" i="1"/>
  <c r="T50" i="1"/>
  <c r="X50" i="1"/>
  <c r="U40" i="4" s="1"/>
  <c r="I50" i="1"/>
  <c r="W50" i="1"/>
  <c r="R50" i="1"/>
  <c r="K15" i="1"/>
  <c r="D15" i="1" s="1"/>
  <c r="G50" i="1"/>
  <c r="H50" i="1"/>
  <c r="J50" i="1"/>
  <c r="H42" i="4"/>
  <c r="E42" i="4" s="1"/>
  <c r="Q42" i="1"/>
  <c r="Q41" i="1" s="1"/>
  <c r="Q50" i="1" s="1"/>
  <c r="E41" i="1"/>
  <c r="E50" i="1" s="1"/>
  <c r="C15" i="1"/>
  <c r="U52" i="1"/>
  <c r="U68" i="1" s="1"/>
  <c r="H549" i="1"/>
  <c r="I549" i="1"/>
  <c r="I551" i="1" s="1"/>
  <c r="N549" i="1"/>
  <c r="AA549" i="1"/>
  <c r="E549" i="1"/>
  <c r="Q549" i="1"/>
  <c r="AB549" i="1"/>
  <c r="M549" i="1"/>
  <c r="G549" i="1"/>
  <c r="L549" i="1"/>
  <c r="C432" i="1"/>
  <c r="Z44" i="4"/>
  <c r="K46" i="4"/>
  <c r="S295" i="1"/>
  <c r="P46" i="4" s="1"/>
  <c r="V46" i="4"/>
  <c r="U46" i="4"/>
  <c r="C295" i="1"/>
  <c r="L46" i="4"/>
  <c r="R295" i="1"/>
  <c r="Q46" i="4" s="1"/>
  <c r="Z46" i="4"/>
  <c r="Y46" i="4" s="1"/>
  <c r="F39" i="1"/>
  <c r="AA44" i="4"/>
  <c r="H463" i="1"/>
  <c r="M463" i="1"/>
  <c r="AB463" i="1"/>
  <c r="Z143" i="1"/>
  <c r="D143" i="1" s="1"/>
  <c r="C27" i="1"/>
  <c r="Z144" i="1"/>
  <c r="D144" i="1" s="1"/>
  <c r="E463" i="1"/>
  <c r="AA463" i="1"/>
  <c r="AG81" i="4"/>
  <c r="Z36" i="1"/>
  <c r="AD63" i="4"/>
  <c r="AH65" i="4"/>
  <c r="AH81" i="4"/>
  <c r="X302" i="1"/>
  <c r="X463" i="1" s="1"/>
  <c r="X551" i="1" s="1"/>
  <c r="AB340" i="5"/>
  <c r="Z471" i="1"/>
  <c r="AF65" i="4"/>
  <c r="AB29" i="5"/>
  <c r="AB305" i="5"/>
  <c r="P138" i="1"/>
  <c r="D138" i="1" s="1"/>
  <c r="P142" i="1"/>
  <c r="D142" i="1" s="1"/>
  <c r="AF35" i="4"/>
  <c r="AD70" i="4"/>
  <c r="G463" i="1"/>
  <c r="Q463" i="1"/>
  <c r="Z11" i="1"/>
  <c r="K35" i="1"/>
  <c r="M52" i="1"/>
  <c r="P471" i="1"/>
  <c r="C56" i="1"/>
  <c r="D14" i="1"/>
  <c r="U19" i="1"/>
  <c r="AB368" i="5"/>
  <c r="AB112" i="5"/>
  <c r="AB369" i="5"/>
  <c r="AB361" i="5"/>
  <c r="AD74" i="4"/>
  <c r="E75" i="4"/>
  <c r="AF81" i="4"/>
  <c r="E17" i="4"/>
  <c r="AD17" i="4" s="1"/>
  <c r="Y35" i="4"/>
  <c r="Y87" i="4" s="1"/>
  <c r="AG35" i="4"/>
  <c r="I84" i="4"/>
  <c r="AH49" i="4"/>
  <c r="S84" i="4"/>
  <c r="AC84" i="4"/>
  <c r="T65" i="4"/>
  <c r="T91" i="4" s="1"/>
  <c r="O35" i="4"/>
  <c r="O87" i="4" s="1"/>
  <c r="AH35" i="4"/>
  <c r="J75" i="4"/>
  <c r="J81" i="4" s="1"/>
  <c r="AD62" i="4"/>
  <c r="AG65" i="4"/>
  <c r="U11" i="1"/>
  <c r="C18" i="1"/>
  <c r="D22" i="1"/>
  <c r="AE35" i="4"/>
  <c r="D12" i="1"/>
  <c r="Y19" i="1"/>
  <c r="D54" i="1"/>
  <c r="M56" i="1"/>
  <c r="D71" i="1"/>
  <c r="Z149" i="1"/>
  <c r="D149" i="1" s="1"/>
  <c r="Z150" i="1"/>
  <c r="D150" i="1" s="1"/>
  <c r="Z154" i="1"/>
  <c r="D154" i="1" s="1"/>
  <c r="W84" i="4"/>
  <c r="AB35" i="1"/>
  <c r="AB50" i="1" s="1"/>
  <c r="D75" i="1"/>
  <c r="Z147" i="1"/>
  <c r="D147" i="1" s="1"/>
  <c r="Z152" i="1"/>
  <c r="D152" i="1" s="1"/>
  <c r="Z156" i="1"/>
  <c r="D156" i="1" s="1"/>
  <c r="K432" i="1"/>
  <c r="T35" i="4"/>
  <c r="T87" i="4" s="1"/>
  <c r="N84" i="4"/>
  <c r="X84" i="4"/>
  <c r="AD59" i="4"/>
  <c r="AD61" i="4"/>
  <c r="AB10" i="5"/>
  <c r="Z161" i="1"/>
  <c r="D161" i="1" s="1"/>
  <c r="P302" i="1"/>
  <c r="R84" i="4"/>
  <c r="AB84" i="4"/>
  <c r="P31" i="1"/>
  <c r="D34" i="1"/>
  <c r="D29" i="1"/>
  <c r="P56" i="1"/>
  <c r="D76" i="1"/>
  <c r="C31" i="1"/>
  <c r="D38" i="1"/>
  <c r="P134" i="1"/>
  <c r="D134" i="1" s="1"/>
  <c r="P136" i="1"/>
  <c r="D136" i="1" s="1"/>
  <c r="P139" i="1"/>
  <c r="D139" i="1" s="1"/>
  <c r="Z145" i="1"/>
  <c r="D145" i="1" s="1"/>
  <c r="Z148" i="1"/>
  <c r="D148" i="1" s="1"/>
  <c r="Z159" i="1"/>
  <c r="D159" i="1" s="1"/>
  <c r="Z160" i="1"/>
  <c r="D160" i="1" s="1"/>
  <c r="D165" i="1"/>
  <c r="D55" i="1"/>
  <c r="D298" i="1"/>
  <c r="K299" i="1"/>
  <c r="D256" i="1"/>
  <c r="D255" i="1"/>
  <c r="D258" i="1"/>
  <c r="K95" i="1"/>
  <c r="D70" i="1"/>
  <c r="K11" i="1"/>
  <c r="L42" i="1"/>
  <c r="V42" i="1"/>
  <c r="V41" i="1" s="1"/>
  <c r="V50" i="1" s="1"/>
  <c r="P132" i="1"/>
  <c r="D132" i="1" s="1"/>
  <c r="P135" i="1"/>
  <c r="D135" i="1" s="1"/>
  <c r="P140" i="1"/>
  <c r="D140" i="1" s="1"/>
  <c r="Z146" i="1"/>
  <c r="D146" i="1" s="1"/>
  <c r="Z151" i="1"/>
  <c r="D151" i="1" s="1"/>
  <c r="Z153" i="1"/>
  <c r="D153" i="1" s="1"/>
  <c r="Z155" i="1"/>
  <c r="D155" i="1" s="1"/>
  <c r="Z157" i="1"/>
  <c r="D157" i="1" s="1"/>
  <c r="Z158" i="1"/>
  <c r="D158" i="1" s="1"/>
  <c r="D251" i="1"/>
  <c r="D260" i="1"/>
  <c r="D254" i="1"/>
  <c r="U299" i="1"/>
  <c r="Y302" i="1"/>
  <c r="Y463" i="1" s="1"/>
  <c r="K465" i="1"/>
  <c r="P465" i="1"/>
  <c r="P478" i="1"/>
  <c r="Z478" i="1"/>
  <c r="S529" i="1"/>
  <c r="S549" i="1" s="1"/>
  <c r="D124" i="1"/>
  <c r="D252" i="1"/>
  <c r="C11" i="1"/>
  <c r="D13" i="1"/>
  <c r="F11" i="1"/>
  <c r="Z21" i="1"/>
  <c r="P23" i="1"/>
  <c r="D23" i="1" s="1"/>
  <c r="AA42" i="1"/>
  <c r="AA41" i="1" s="1"/>
  <c r="AA50" i="1" s="1"/>
  <c r="D257" i="1"/>
  <c r="W299" i="1"/>
  <c r="K31" i="1"/>
  <c r="D33" i="1"/>
  <c r="D37" i="1"/>
  <c r="D74" i="1"/>
  <c r="D77" i="1"/>
  <c r="Z99" i="1"/>
  <c r="D99" i="1" s="1"/>
  <c r="D253" i="1"/>
  <c r="D125" i="1"/>
  <c r="P133" i="1"/>
  <c r="D133" i="1" s="1"/>
  <c r="P137" i="1"/>
  <c r="D137" i="1" s="1"/>
  <c r="P141" i="1"/>
  <c r="D141" i="1" s="1"/>
  <c r="D259" i="1"/>
  <c r="F302" i="1"/>
  <c r="W463" i="1"/>
  <c r="C471" i="1"/>
  <c r="U432" i="1"/>
  <c r="D53" i="1"/>
  <c r="K52" i="1"/>
  <c r="P60" i="1"/>
  <c r="D60" i="1" s="1"/>
  <c r="D113" i="1"/>
  <c r="V463" i="1"/>
  <c r="K529" i="1"/>
  <c r="F529" i="1"/>
  <c r="D17" i="1"/>
  <c r="K28" i="1"/>
  <c r="M27" i="1"/>
  <c r="M50" i="1" s="1"/>
  <c r="P27" i="1"/>
  <c r="C35" i="1"/>
  <c r="AB299" i="1"/>
  <c r="Z297" i="1"/>
  <c r="E48" i="4"/>
  <c r="L463" i="1"/>
  <c r="K302" i="1"/>
  <c r="R463" i="1"/>
  <c r="T302" i="1"/>
  <c r="T463" i="1" s="1"/>
  <c r="T551" i="1" s="1"/>
  <c r="Z353" i="1"/>
  <c r="D353" i="1" s="1"/>
  <c r="AC463" i="1"/>
  <c r="Z465" i="1"/>
  <c r="F478" i="1"/>
  <c r="O478" i="1"/>
  <c r="O549" i="1" s="1"/>
  <c r="C478" i="1"/>
  <c r="J48" i="4"/>
  <c r="C465" i="1"/>
  <c r="Y465" i="1"/>
  <c r="Y549" i="1" s="1"/>
  <c r="F465" i="1"/>
  <c r="F471" i="1"/>
  <c r="Z538" i="1"/>
  <c r="D538" i="1" s="1"/>
  <c r="AH53" i="4"/>
  <c r="D432" i="1" l="1"/>
  <c r="D435" i="1"/>
  <c r="P295" i="1"/>
  <c r="O551" i="1"/>
  <c r="P463" i="1"/>
  <c r="Y41" i="4"/>
  <c r="O46" i="4"/>
  <c r="O41" i="4"/>
  <c r="T46" i="4"/>
  <c r="Y44" i="4"/>
  <c r="K68" i="1"/>
  <c r="O93" i="4"/>
  <c r="T557" i="1"/>
  <c r="T555" i="1" s="1"/>
  <c r="J557" i="1"/>
  <c r="J555" i="1" s="1"/>
  <c r="D478" i="1"/>
  <c r="D529" i="1"/>
  <c r="Z302" i="1"/>
  <c r="G40" i="4"/>
  <c r="V40" i="4"/>
  <c r="T40" i="4" s="1"/>
  <c r="D471" i="1"/>
  <c r="H40" i="4"/>
  <c r="I557" i="1"/>
  <c r="I555" i="1" s="1"/>
  <c r="D302" i="1"/>
  <c r="U49" i="4"/>
  <c r="AA551" i="1"/>
  <c r="AA557" i="1" s="1"/>
  <c r="AA555" i="1" s="1"/>
  <c r="Y551" i="1"/>
  <c r="AD34" i="4"/>
  <c r="AD35" i="4" s="1"/>
  <c r="AB406" i="5"/>
  <c r="AB407" i="5" s="1"/>
  <c r="AD42" i="4"/>
  <c r="L41" i="1"/>
  <c r="K42" i="1"/>
  <c r="D42" i="1" s="1"/>
  <c r="D41" i="1" s="1"/>
  <c r="J93" i="4"/>
  <c r="I95" i="4"/>
  <c r="I82" i="4"/>
  <c r="AC95" i="4"/>
  <c r="AC82" i="4"/>
  <c r="N95" i="4"/>
  <c r="N82" i="4"/>
  <c r="X95" i="4"/>
  <c r="X82" i="4"/>
  <c r="S95" i="4"/>
  <c r="S82" i="4"/>
  <c r="D36" i="1"/>
  <c r="Z35" i="1"/>
  <c r="D35" i="1" s="1"/>
  <c r="F463" i="1"/>
  <c r="C463" i="1"/>
  <c r="R95" i="4"/>
  <c r="R82" i="4"/>
  <c r="W95" i="4"/>
  <c r="W82" i="4"/>
  <c r="AB95" i="4"/>
  <c r="AB82" i="4"/>
  <c r="E81" i="4"/>
  <c r="E93" i="4" s="1"/>
  <c r="Y50" i="1"/>
  <c r="AB551" i="1"/>
  <c r="AA49" i="4" s="1"/>
  <c r="D56" i="1"/>
  <c r="D21" i="1"/>
  <c r="Z19" i="1"/>
  <c r="S551" i="1"/>
  <c r="P49" i="4" s="1"/>
  <c r="O49" i="4" s="1"/>
  <c r="Z122" i="1"/>
  <c r="M68" i="1"/>
  <c r="L41" i="4" s="1"/>
  <c r="J41" i="4" s="1"/>
  <c r="E35" i="4"/>
  <c r="E87" i="4" s="1"/>
  <c r="P68" i="1"/>
  <c r="C68" i="1"/>
  <c r="AE58" i="4"/>
  <c r="Z65" i="4"/>
  <c r="Z91" i="4" s="1"/>
  <c r="AE91" i="4" s="1"/>
  <c r="Y65" i="4"/>
  <c r="Y91" i="4" s="1"/>
  <c r="F50" i="1"/>
  <c r="Z295" i="1"/>
  <c r="U50" i="1"/>
  <c r="J46" i="4"/>
  <c r="P50" i="1"/>
  <c r="E45" i="4"/>
  <c r="AD45" i="4" s="1"/>
  <c r="N551" i="1"/>
  <c r="K49" i="4" s="1"/>
  <c r="J49" i="4" s="1"/>
  <c r="L551" i="1"/>
  <c r="G551" i="1"/>
  <c r="G557" i="1" s="1"/>
  <c r="R551" i="1"/>
  <c r="R557" i="1" s="1"/>
  <c r="V551" i="1"/>
  <c r="V557" i="1" s="1"/>
  <c r="Q551" i="1"/>
  <c r="Q557" i="1" s="1"/>
  <c r="H551" i="1"/>
  <c r="H557" i="1" s="1"/>
  <c r="W551" i="1"/>
  <c r="V49" i="4" s="1"/>
  <c r="M551" i="1"/>
  <c r="E551" i="1"/>
  <c r="E557" i="1" s="1"/>
  <c r="K549" i="1"/>
  <c r="F549" i="1"/>
  <c r="P549" i="1"/>
  <c r="AC549" i="1"/>
  <c r="Z549" i="1" s="1"/>
  <c r="P529" i="1"/>
  <c r="Q40" i="4"/>
  <c r="P40" i="4"/>
  <c r="F40" i="4"/>
  <c r="F53" i="4" s="1"/>
  <c r="F51" i="4" s="1"/>
  <c r="AD58" i="4"/>
  <c r="AD65" i="4" s="1"/>
  <c r="AD91" i="4" s="1"/>
  <c r="D95" i="1"/>
  <c r="U302" i="1"/>
  <c r="C529" i="1"/>
  <c r="C549" i="1" s="1"/>
  <c r="AH84" i="4"/>
  <c r="AH95" i="4" s="1"/>
  <c r="D11" i="1"/>
  <c r="Z40" i="4"/>
  <c r="AA48" i="4"/>
  <c r="Y48" i="4" s="1"/>
  <c r="V48" i="4"/>
  <c r="T48" i="4" s="1"/>
  <c r="AD75" i="4"/>
  <c r="AD81" i="4" s="1"/>
  <c r="U41" i="4"/>
  <c r="T41" i="4" s="1"/>
  <c r="E44" i="4"/>
  <c r="AE61" i="4"/>
  <c r="AE59" i="4"/>
  <c r="D52" i="1"/>
  <c r="D31" i="1"/>
  <c r="E41" i="4"/>
  <c r="L40" i="4"/>
  <c r="K40" i="4"/>
  <c r="K463" i="1"/>
  <c r="Z299" i="1"/>
  <c r="D299" i="1" s="1"/>
  <c r="D297" i="1"/>
  <c r="K27" i="1"/>
  <c r="D28" i="1"/>
  <c r="D27" i="1" s="1"/>
  <c r="U463" i="1"/>
  <c r="U551" i="1" s="1"/>
  <c r="D20" i="1"/>
  <c r="D463" i="1" l="1"/>
  <c r="O40" i="4"/>
  <c r="T49" i="4"/>
  <c r="AD93" i="4"/>
  <c r="Y557" i="1"/>
  <c r="Y555" i="1" s="1"/>
  <c r="E555" i="1"/>
  <c r="S557" i="1"/>
  <c r="AB557" i="1"/>
  <c r="AB555" i="1" s="1"/>
  <c r="Q555" i="1"/>
  <c r="M557" i="1"/>
  <c r="M555" i="1" s="1"/>
  <c r="V555" i="1"/>
  <c r="N557" i="1"/>
  <c r="N555" i="1" s="1"/>
  <c r="D549" i="1"/>
  <c r="Z50" i="1"/>
  <c r="L50" i="1"/>
  <c r="K41" i="1"/>
  <c r="K50" i="1" s="1"/>
  <c r="D68" i="1"/>
  <c r="AC551" i="1"/>
  <c r="D295" i="1"/>
  <c r="AD46" i="4"/>
  <c r="AD87" i="4"/>
  <c r="AE65" i="4"/>
  <c r="AD41" i="4"/>
  <c r="AD48" i="4"/>
  <c r="K53" i="4"/>
  <c r="F551" i="1"/>
  <c r="Q53" i="4"/>
  <c r="Q51" i="4" s="1"/>
  <c r="L53" i="4"/>
  <c r="L51" i="4" s="1"/>
  <c r="K551" i="1"/>
  <c r="P551" i="1"/>
  <c r="P557" i="1" s="1"/>
  <c r="P555" i="1" s="1"/>
  <c r="C551" i="1"/>
  <c r="E40" i="4"/>
  <c r="P53" i="4"/>
  <c r="R555" i="1"/>
  <c r="H49" i="4"/>
  <c r="H53" i="4" s="1"/>
  <c r="H51" i="4" s="1"/>
  <c r="G555" i="1"/>
  <c r="G49" i="4"/>
  <c r="G53" i="4" s="1"/>
  <c r="G51" i="4" s="1"/>
  <c r="H555" i="1"/>
  <c r="AA40" i="4"/>
  <c r="AA53" i="4" s="1"/>
  <c r="AA51" i="4" s="1"/>
  <c r="Z463" i="1"/>
  <c r="Z551" i="1" s="1"/>
  <c r="D19" i="1"/>
  <c r="D50" i="1" s="1"/>
  <c r="J44" i="4"/>
  <c r="Y40" i="4" l="1"/>
  <c r="P51" i="4"/>
  <c r="O51" i="4" s="1"/>
  <c r="O53" i="4"/>
  <c r="D551" i="1"/>
  <c r="Z557" i="1"/>
  <c r="Z555" i="1" s="1"/>
  <c r="E51" i="4"/>
  <c r="K557" i="1"/>
  <c r="K555" i="1" s="1"/>
  <c r="M40" i="4"/>
  <c r="M53" i="4" s="1"/>
  <c r="M51" i="4" s="1"/>
  <c r="L557" i="1"/>
  <c r="L555" i="1" s="1"/>
  <c r="K84" i="4"/>
  <c r="K82" i="4" s="1"/>
  <c r="K51" i="4"/>
  <c r="F557" i="1"/>
  <c r="F555" i="1" s="1"/>
  <c r="AC557" i="1"/>
  <c r="AC555" i="1" s="1"/>
  <c r="Z49" i="4"/>
  <c r="Y49" i="4" s="1"/>
  <c r="P89" i="4"/>
  <c r="K89" i="4"/>
  <c r="AA89" i="4"/>
  <c r="H89" i="4"/>
  <c r="L84" i="4"/>
  <c r="L89" i="4"/>
  <c r="Q84" i="4"/>
  <c r="Q89" i="4"/>
  <c r="P84" i="4"/>
  <c r="S555" i="1"/>
  <c r="E49" i="4"/>
  <c r="AA84" i="4"/>
  <c r="AG49" i="4"/>
  <c r="H84" i="4"/>
  <c r="O84" i="4" l="1"/>
  <c r="J40" i="4"/>
  <c r="J53" i="4" s="1"/>
  <c r="J84" i="4" s="1"/>
  <c r="J82" i="4" s="1"/>
  <c r="M84" i="4"/>
  <c r="M95" i="4" s="1"/>
  <c r="AG53" i="4"/>
  <c r="AG84" i="4" s="1"/>
  <c r="AG95" i="4" s="1"/>
  <c r="M89" i="4"/>
  <c r="AG89" i="4" s="1"/>
  <c r="J51" i="4"/>
  <c r="Z53" i="4"/>
  <c r="E53" i="4"/>
  <c r="E84" i="4" s="1"/>
  <c r="E82" i="4" s="1"/>
  <c r="AD49" i="4"/>
  <c r="AA95" i="4"/>
  <c r="P95" i="4"/>
  <c r="P82" i="4"/>
  <c r="Q95" i="4"/>
  <c r="Q82" i="4"/>
  <c r="K95" i="4"/>
  <c r="L95" i="4"/>
  <c r="L82" i="4"/>
  <c r="H95" i="4"/>
  <c r="H82" i="4"/>
  <c r="AE49" i="4"/>
  <c r="F89" i="4"/>
  <c r="AF49" i="4"/>
  <c r="G89" i="4"/>
  <c r="F84" i="4"/>
  <c r="G84" i="4"/>
  <c r="Y53" i="4"/>
  <c r="O82" i="4" l="1"/>
  <c r="J89" i="4"/>
  <c r="AD40" i="4"/>
  <c r="M82" i="4"/>
  <c r="Z51" i="4"/>
  <c r="Y51" i="4" s="1"/>
  <c r="Z89" i="4"/>
  <c r="Z84" i="4"/>
  <c r="G95" i="4"/>
  <c r="G82" i="4"/>
  <c r="F95" i="4"/>
  <c r="F82" i="4"/>
  <c r="J95" i="4"/>
  <c r="E89" i="4"/>
  <c r="E95" i="4"/>
  <c r="O89" i="4"/>
  <c r="Y89" i="4"/>
  <c r="W122" i="1"/>
  <c r="Z95" i="4" l="1"/>
  <c r="Y84" i="4"/>
  <c r="Y95" i="4" s="1"/>
  <c r="V44" i="4"/>
  <c r="V53" i="4" s="1"/>
  <c r="V51" i="4" s="1"/>
  <c r="W557" i="1"/>
  <c r="W555" i="1" s="1"/>
  <c r="Z82" i="4"/>
  <c r="Y82" i="4" s="1"/>
  <c r="O95" i="4"/>
  <c r="U103" i="1"/>
  <c r="D103" i="1" s="1"/>
  <c r="X122" i="1"/>
  <c r="AF53" i="4" l="1"/>
  <c r="AF84" i="4" s="1"/>
  <c r="AF95" i="4" s="1"/>
  <c r="V84" i="4"/>
  <c r="V95" i="4" s="1"/>
  <c r="V89" i="4"/>
  <c r="AF89" i="4" s="1"/>
  <c r="U44" i="4"/>
  <c r="T44" i="4" s="1"/>
  <c r="X557" i="1"/>
  <c r="X555" i="1" s="1"/>
  <c r="D122" i="1"/>
  <c r="D557" i="1" s="1"/>
  <c r="D555" i="1" s="1"/>
  <c r="U122" i="1"/>
  <c r="V82" i="4" l="1"/>
  <c r="U53" i="4"/>
  <c r="U557" i="1"/>
  <c r="U555" i="1" s="1"/>
  <c r="AD44" i="4"/>
  <c r="AD53" i="4" s="1"/>
  <c r="AD84" i="4" s="1"/>
  <c r="U51" i="4" l="1"/>
  <c r="T53" i="4"/>
  <c r="T89" i="4" s="1"/>
  <c r="AE53" i="4"/>
  <c r="AE84" i="4" s="1"/>
  <c r="AE95" i="4" s="1"/>
  <c r="U84" i="4"/>
  <c r="U89" i="4"/>
  <c r="AE89" i="4" s="1"/>
  <c r="AD95" i="4"/>
  <c r="AD89" i="4"/>
  <c r="T51" i="4" l="1"/>
  <c r="AD51" i="4" s="1"/>
  <c r="U95" i="4"/>
  <c r="T84" i="4"/>
  <c r="T95" i="4" s="1"/>
  <c r="U82" i="4"/>
  <c r="T82" i="4" s="1"/>
  <c r="AD82" i="4" s="1"/>
  <c r="C23" i="1"/>
  <c r="C22" i="1"/>
  <c r="O19" i="1"/>
  <c r="O50" i="1" s="1"/>
  <c r="O557" i="1" s="1"/>
  <c r="O555" i="1" s="1"/>
  <c r="C19" i="1" l="1"/>
  <c r="C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krasnova.ai</author>
  </authors>
  <commentList>
    <comment ref="B10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перенос с 2022 года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krasnova.ai</author>
  </authors>
  <commentList>
    <comment ref="Y3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перенос с 2024</t>
        </r>
      </text>
    </comment>
    <comment ref="B8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наименование!</t>
        </r>
      </text>
    </comment>
    <comment ref="B9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2 проекта (когда добавят областное финансирование добавить 1 индикатор)</t>
        </r>
      </text>
    </comment>
    <comment ref="B91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3 проекта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krasnova.ai</author>
  </authors>
  <commentList>
    <comment ref="I56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krasnova.ai:</t>
        </r>
        <r>
          <rPr>
            <sz val="9"/>
            <color indexed="81"/>
            <rFont val="Tahoma"/>
            <charset val="1"/>
          </rPr>
          <t xml:space="preserve">
план на резерв (16 млн)</t>
        </r>
      </text>
    </comment>
    <comment ref="G84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ремонт и дворы</t>
        </r>
      </text>
    </comment>
  </commentList>
</comments>
</file>

<file path=xl/sharedStrings.xml><?xml version="1.0" encoding="utf-8"?>
<sst xmlns="http://schemas.openxmlformats.org/spreadsheetml/2006/main" count="2507" uniqueCount="1753">
  <si>
    <t>Наименование мероприятий по объектам</t>
  </si>
  <si>
    <t>1.1.</t>
  </si>
  <si>
    <t>2.1.</t>
  </si>
  <si>
    <t>4.2.</t>
  </si>
  <si>
    <t>Капитальный ремонт автодороги по ул. Радищева (от ул. Октябрьская до ул. Новозаводская)</t>
  </si>
  <si>
    <t>всего, тыс.руб.</t>
  </si>
  <si>
    <t>областной бюджет, тыс.руб.</t>
  </si>
  <si>
    <t>Осуществление строительного контроля на объекте: Капитальный ремонт автодороги по ул. Радищева (от ул. Октябрьская до ул. Новозаводская)</t>
  </si>
  <si>
    <t>1.1.1.</t>
  </si>
  <si>
    <t>2.1.1.</t>
  </si>
  <si>
    <t>1.2.</t>
  </si>
  <si>
    <t>1.2.1.</t>
  </si>
  <si>
    <t>1.2.2.</t>
  </si>
  <si>
    <t>местный бюджет, тыс.руб.</t>
  </si>
  <si>
    <t>Южное шоссе (от ул. Полякова до ул. Тополиной)</t>
  </si>
  <si>
    <t>Южное шоссе (от ул. Тополиной до Автозаводского шоссе)</t>
  </si>
  <si>
    <t>пр-т Степана Разина от проспекта Ленинский до ул. Спортивной, иск. КТР б-р Приморский - пр-т Степана Разина, пр-т Ленинский - пр-т Степана Разина</t>
  </si>
  <si>
    <t>ул. 40 лет Победы от Южного шоссе до ул. Дзержинского</t>
  </si>
  <si>
    <t>б-р 50 лет Октября (от ул. Новозаводская до Автозаводского шоссе)</t>
  </si>
  <si>
    <t>Хрящевское шоссе от Обводного шоссе до пересечения Южного и Автозаводского шоссе</t>
  </si>
  <si>
    <t>Хрящевское шоссе от Обводного шоссе до г.о. Тольятти</t>
  </si>
  <si>
    <t>Стоимость работ по годам, тыс.руб.</t>
  </si>
  <si>
    <t>ул. Диагональная от ул. Баныкина до ул. Кунеевская</t>
  </si>
  <si>
    <t>Комсомольское шоссе</t>
  </si>
  <si>
    <t>Южное шоссе от ул. Заставная до границы г.о. Тольятти</t>
  </si>
  <si>
    <t>1.1.2.</t>
  </si>
  <si>
    <t>1.3.</t>
  </si>
  <si>
    <t>1.2.3.</t>
  </si>
  <si>
    <t>Ремонт дворовых территорий многоквартирных домов и проездов к дворовым территориям многоквартирных домов городского округа Тольятти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</si>
  <si>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на объектах  ремонта дворовых территорий многоквартирных домов и проездов к дворовым территориям многоквартирных домов </t>
  </si>
  <si>
    <t>Оказание услуг по диагностике и оценке транспортно-эксплуатационного состояния автомобильных дорог общего пользования местного значения городского округа Тольятти</t>
  </si>
  <si>
    <t>Оказание услуг по техническому учету и паспортизации автомобильных дорог общего пользования местного значения городского округа Тольятти</t>
  </si>
  <si>
    <t>2021 год</t>
  </si>
  <si>
    <t>2022 год</t>
  </si>
  <si>
    <t>2023 год</t>
  </si>
  <si>
    <t>2024 год</t>
  </si>
  <si>
    <t>2025 год</t>
  </si>
  <si>
    <t>1.1.3.</t>
  </si>
  <si>
    <t xml:space="preserve">Строительство магистральной улицы общегородского значения регулируемого движения в продолжение ул. Фермерской до Южного шоссе </t>
  </si>
  <si>
    <t>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</si>
  <si>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Осуществление строительного контроля на объекте: 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</si>
  <si>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Осуществление строительного контроля на объекте: 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движения.)</t>
  </si>
  <si>
    <t>Строительство улицы Казачья в жилой застройке  микрорайона Жигулевское море от ул. Ивана Красюка  до ул. Бориса Коваленко</t>
  </si>
  <si>
    <t>Осуществление строительного контроля на объекте: Строительство улицы Казачья в жилой застройке  микрорайона Жигулевское море от ул. Ивана Красюка  до ул. Бориса Коваленко</t>
  </si>
  <si>
    <t>Осуществление авторского надзора на объекте: Строительство улицы Казачья в жилой застройке  микрорайона Жигулевское море от ул. Ивана Красюка  до ул. Бориса Коваленко</t>
  </si>
  <si>
    <t>улица Нижнегородская от Майского проезда до ГСК "Полина"</t>
  </si>
  <si>
    <t>Капитальный ремонт автодороги по ул. Октябрьская (от ул. Комсомольская до б-ра 50 лет Октября, г. Тольятти, Самарской области)</t>
  </si>
  <si>
    <t>Осуществление строительного контроля на объекте: Капитальный ремонт автодороги по ул. Октябрьская (от ул. Комсомольская до б-ра 50 лет Октября, г. Тольятти, Самарской области)</t>
  </si>
  <si>
    <t>автодорога по улице Скрябина от улицы Олимпийская до улицы Вавилова</t>
  </si>
  <si>
    <t>автодорога к турбазе "Волна" от Комсомольского шоссе до турбазы "Волна"</t>
  </si>
  <si>
    <t>автодорога  Поволжское шоссе от улицы Громовой до СНТ "Наука"</t>
  </si>
  <si>
    <t>автодорога Поволжское шоссе от СНТ "Наука" до Тольятти - Азот</t>
  </si>
  <si>
    <t>автодорога по улице Ровная от ул. Железнодорожная до УР 65/16</t>
  </si>
  <si>
    <t>подъездная дорога к детскому саду "Олимпия" от улицы Коммунистическая до д/сада "Олимпия"</t>
  </si>
  <si>
    <t>автодорога по бульвару Островского от улицы Краснодонцев до улицы Коммунистическая</t>
  </si>
  <si>
    <t>Осуществление строительного контроля на объекте: Капитальный ремонт автодороги по улице Никонова от  улицы Железнодорожная  до улицы Ингельберга</t>
  </si>
  <si>
    <t>Капитальный ремонт автодороги по улице Никонова от  улицы Железнодорожная  до улицы Ингельберга</t>
  </si>
  <si>
    <t>Капитальный ремонт автодороги по улице Базовая от ул. Комсомольская до улицы Ларина</t>
  </si>
  <si>
    <t>Осуществление строительного контроля на объекте: Капитальный ремонт автодороги по улице Базовая от ул. Комсомольская до улицы Ларина</t>
  </si>
  <si>
    <t>автодорога по улице Революционная от улицы Дзержинского по проспекта Ленинский</t>
  </si>
  <si>
    <t>автодорога по улице Энергетиков от улицы Куйбышева до строения №23 по ул. Энергетиков</t>
  </si>
  <si>
    <t xml:space="preserve">автодорога по улице Менделеева от улицы Калужской до улицы Бориса Коваленко </t>
  </si>
  <si>
    <t>автодорога по улице Учительская от улицы Ингельберга до проезда Ученический</t>
  </si>
  <si>
    <t>автодорога по улице Грибоедова от улицы Ингельберга до улицы Краснознамённая</t>
  </si>
  <si>
    <t>автодорога по переулку 1 Горный от улицы Пионерской до улицы Попова</t>
  </si>
  <si>
    <t>автодорога по Лесопарковому шоссе от улицы Спортивной до Лесопаркового шоссе,42</t>
  </si>
  <si>
    <t>автодорога по улице Коммунистической от улицы Есенина до улицы Куйбышева</t>
  </si>
  <si>
    <t>автодорога по улице Никонова до границы шлюза 23-24</t>
  </si>
  <si>
    <t>автодорога по улице Академика Вавилова (от дома по улице Скрябина,13) до ул. Пескалинская</t>
  </si>
  <si>
    <t>автодорога по Обводной дороге в МКР Прибрежный</t>
  </si>
  <si>
    <t>автодорога к троллейбусному депо №30</t>
  </si>
  <si>
    <t>автодорога от улицы Громовой к проходной ООО "ТЗПО"</t>
  </si>
  <si>
    <t>автодорога от ул. Громовой до здания "Фабрика качества"</t>
  </si>
  <si>
    <t>местный бюджет, тыс. руб.</t>
  </si>
  <si>
    <t>4.1.</t>
  </si>
  <si>
    <t>4.3.</t>
  </si>
  <si>
    <t>Капитальный ремонт автодороги по ул. Северная от дома №39 по улице Северная до улицы Цеховая</t>
  </si>
  <si>
    <t>Осуществление строительного контроля на объекте: Капитальный ремонт автодороги по ул. Северная от дома №39 по улице Северная до улицы Цеховая</t>
  </si>
  <si>
    <t>2.1.2.</t>
  </si>
  <si>
    <t>Строительство улично-дорожной сети западнее Московского проспекта - первая очередь</t>
  </si>
  <si>
    <t>Осуществление строительного контроля на объекте: Строительство улично-дорожной сети западнее Московского проспекта - первая очередь</t>
  </si>
  <si>
    <t>Осуществление авторского надзора на объекте: Строительство улично-дорожной сети западнее Московского проспекта - первая очередь</t>
  </si>
  <si>
    <t>3.1.</t>
  </si>
  <si>
    <t>3.2.</t>
  </si>
  <si>
    <t>Строительство магистральной улицы общегородского значения регулируемого движения в продолжение ул. Фермерской до Южного шоссе</t>
  </si>
  <si>
    <t xml:space="preserve">Осуществление авторского надзора на объекте: Строительство магистральной улицы общегородского значения регулируемого движения в продолжение ул. Фермерской до Южного шоссе </t>
  </si>
  <si>
    <t>Осуществление авторского надзора на объекте: 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</si>
  <si>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</si>
  <si>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Осуществление строительного контроля на объекте: 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</si>
  <si>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движения)</t>
  </si>
  <si>
    <t>ИТОГО ПО ПОДПРОГРАММЕ "РГПТ"</t>
  </si>
  <si>
    <t>2021-2025</t>
  </si>
  <si>
    <t xml:space="preserve">Департамент дорожного хозяйства и транспорта администрации городского округа Тольятти </t>
  </si>
  <si>
    <t xml:space="preserve">Изготовление и установка табличек на остановочных пунктах                                                     </t>
  </si>
  <si>
    <t>Цель подпрограммы: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</si>
  <si>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Департамент дорожного хозяйства и транспорта  администрации городского округа Тольятти</t>
  </si>
  <si>
    <t>Содержание МКУ "ЦОДД  ГОТ"</t>
  </si>
  <si>
    <t>Департамент дорожного хозяйства и транспорта            администрации городского округа Тольятти</t>
  </si>
  <si>
    <t>Департамент дорожного хозяйства и транспорта  администрации городского округа Тольятти                                                МКУ "ЦОДД ГОТ"</t>
  </si>
  <si>
    <t xml:space="preserve">Приобретение материалов для содержания ТСОДД, ремонта остановочных павильонов   </t>
  </si>
  <si>
    <t>Департамент дорожного хозяйства и транспорта  администрации городского округа Тольятти                                                    МКУ "ЦОДД ГОТ"</t>
  </si>
  <si>
    <t>Приобретение спецтехники</t>
  </si>
  <si>
    <t>Департамент дорожного хозяйства и транспорта администрации городского округа Тольятти</t>
  </si>
  <si>
    <t xml:space="preserve">Проектирование устройства и переноса остановок общественного транспорта, в т.ч. экспертиза выполненных работ   </t>
  </si>
  <si>
    <t>Устройство пешеходных дорожек</t>
  </si>
  <si>
    <t xml:space="preserve">Департамент дорожного хозяйства и транспорта  администрации городского округа Тольятти                           </t>
  </si>
  <si>
    <t>Устройство  искусственных дорожных неровностей, в т.ч. экспертиза выполненных работ</t>
  </si>
  <si>
    <t>Департамент дорожного хозяйства и транспорта  администрации городского округа Тольятти                              МКУ "ЦОДД ГОТ"</t>
  </si>
  <si>
    <t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</si>
  <si>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Задача 1 муниципальной 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</si>
  <si>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Внебюджетные средства</t>
  </si>
  <si>
    <t>федеральный   бюджет</t>
  </si>
  <si>
    <t>областной  бюджет</t>
  </si>
  <si>
    <t>местный      бюджет</t>
  </si>
  <si>
    <t>Всего</t>
  </si>
  <si>
    <t xml:space="preserve"> План на 2025 год</t>
  </si>
  <si>
    <t xml:space="preserve"> План на 2024 год</t>
  </si>
  <si>
    <t xml:space="preserve"> План на 2023 год</t>
  </si>
  <si>
    <t xml:space="preserve"> План на 2022 год</t>
  </si>
  <si>
    <t xml:space="preserve"> План на 2021 год</t>
  </si>
  <si>
    <t>Итого</t>
  </si>
  <si>
    <t>Финансовое обеспечение реализации муниципальной программы, тыс. руб.</t>
  </si>
  <si>
    <t>Ответственный 
исполнитель</t>
  </si>
  <si>
    <t xml:space="preserve">
Наименование целей, задач и мероприятий муниципальной программы</t>
  </si>
  <si>
    <t>№</t>
  </si>
  <si>
    <t>внебюд-жетные средства</t>
  </si>
  <si>
    <t>федераль-ный   бюджет</t>
  </si>
  <si>
    <t xml:space="preserve">Подпрограмма "Повышение безопасности дорожного движения на период 2021-2025 гг."                       </t>
  </si>
  <si>
    <t xml:space="preserve">ИТОГО ПО ПОДПРОГРАММЕ "ПБДД"   </t>
  </si>
  <si>
    <t>Реконструкция автомобильных дорог общего пользования местного значения городского округа Тольятти</t>
  </si>
  <si>
    <t>Выполнение работ по ремонту автомобильных  дорог общего пользования местного значения городского округа Тольятти</t>
  </si>
  <si>
    <t xml:space="preserve">Содержание   надземных и подземных пешеходных переходов </t>
  </si>
  <si>
    <t>Нанесение горизонтальной дорожной разметки</t>
  </si>
  <si>
    <t>ИТОГО ПО ПОДПРОГРАММЕ "СУДС"</t>
  </si>
  <si>
    <t>Сроки реали-зации</t>
  </si>
  <si>
    <t>Цель муниципальной программы: Развитие дорожно-транспортной инфраструктуры в городском округе Тольятти, обеспечение безопасных условий дорожного движения</t>
  </si>
  <si>
    <t>Центральный район:</t>
  </si>
  <si>
    <t xml:space="preserve">Автодорога по проезду Валентины Ступиной </t>
  </si>
  <si>
    <t xml:space="preserve">Автодорога по ул. Минской от ул. 50 лет Октября до ул. Мичурина </t>
  </si>
  <si>
    <t>Автодорога по улице Щорса</t>
  </si>
  <si>
    <t>Автодорога по улице 25 лет Октября</t>
  </si>
  <si>
    <t>Автодорога по ул. Интернациональная (от проезда Декабристов до ул. Ларина)</t>
  </si>
  <si>
    <t>Автодорога по проезду Ленский</t>
  </si>
  <si>
    <t>Автодорога по проезду Кутузова</t>
  </si>
  <si>
    <t>Автодорога по проезду Некрасова</t>
  </si>
  <si>
    <t>Автодорога по проезду Сызранский ( от ул. Октябрьская до ул. Самарская)</t>
  </si>
  <si>
    <t>Автодорога по проезду Урожайный</t>
  </si>
  <si>
    <t>Автодорога по проезду Профсоюзов (от ул. Гайдара до проезда Тургенева)</t>
  </si>
  <si>
    <t>Автодороги по переулкам Онежский (1-9)</t>
  </si>
  <si>
    <t>Автодорога по проезду Зеленому</t>
  </si>
  <si>
    <t xml:space="preserve">Автодорога по проезду Учительскому </t>
  </si>
  <si>
    <t xml:space="preserve">Автодорога по проезду Коммунальному </t>
  </si>
  <si>
    <t>Автодорога по улице Блюхера ( от ул. Садовая до проезда Коммунальный)</t>
  </si>
  <si>
    <t>Автодорога по ул. Жигулевская ( от ул. Первомайская до проезда Охотничий)</t>
  </si>
  <si>
    <t>Автодорога по проезду Алтайскому</t>
  </si>
  <si>
    <t>Автодорога по проезду Тургенева</t>
  </si>
  <si>
    <t xml:space="preserve">Автодорога по проезду Колхозному </t>
  </si>
  <si>
    <t xml:space="preserve">Автодорога по проезду Молодежному </t>
  </si>
  <si>
    <t>Автодорогу по проезду Енисейскому (от улицы Кирова до бульвара 50 лет Октября)</t>
  </si>
  <si>
    <t>Автодорога по проезду Печерскому  (от б-ра 50 лет октября до ул. Кирова;                         (от ул. Кирова до ул. Л. Толстого)</t>
  </si>
  <si>
    <t>Автодорога по проезду Бородинскому</t>
  </si>
  <si>
    <t>Автодорога по улице Маяковского</t>
  </si>
  <si>
    <t>Автодорога по проезду Свободы</t>
  </si>
  <si>
    <t>Автодорога по улице Марии Ульяновой</t>
  </si>
  <si>
    <t>Автодорога по улице Дмитрия Ульянова</t>
  </si>
  <si>
    <t>Автодорога по проезду Строителей</t>
  </si>
  <si>
    <t>Автодорога по улице Гайдара ( от ул. Чапаева до проезда Водников)</t>
  </si>
  <si>
    <t>Автодорога по переулку 1-й Парковый</t>
  </si>
  <si>
    <t>Автодорога по переулку 3-й Парковый</t>
  </si>
  <si>
    <t>Автодорога по переулку 5-й Парковый</t>
  </si>
  <si>
    <t>Автодорога по переулку6-й Парковый</t>
  </si>
  <si>
    <t>Автодорога по переулку 7-й Парковый</t>
  </si>
  <si>
    <t>Автодорога по проезду Линейный</t>
  </si>
  <si>
    <t>Автодорога по проезду Репина</t>
  </si>
  <si>
    <t>Автодорога по проезду2-й Сосновый</t>
  </si>
  <si>
    <t>Автодорога по проезду 1-й Пугачевский</t>
  </si>
  <si>
    <t>Автодорога по проезду 2-й Пугачевский</t>
  </si>
  <si>
    <t>Автодорога по проезду Донской (1- 7)</t>
  </si>
  <si>
    <t>Автодорога по проезду 1-й Минский</t>
  </si>
  <si>
    <t>Автодорога по проезду 2-й Минский</t>
  </si>
  <si>
    <t>Автодорога по проезду Ягодный</t>
  </si>
  <si>
    <t>Автодорога по проезду Амурский</t>
  </si>
  <si>
    <t>Автодорога по улице Чкалова (от ул. Кирова до д.94 по ул. Чкалова)</t>
  </si>
  <si>
    <t>Автодорога по проезду  9 января</t>
  </si>
  <si>
    <t>Автодорога по улице Уральская ( от ул. Мичурина до б-ра 50 лет Октября)</t>
  </si>
  <si>
    <t>Автодорога по проезду Тверской</t>
  </si>
  <si>
    <t>Автодорога по проезду Короткий</t>
  </si>
  <si>
    <t>Автодорога по проезду Кавалерийский</t>
  </si>
  <si>
    <t>Автодорога по проезду Солнечный</t>
  </si>
  <si>
    <t>Автодорога по проезду Лунный</t>
  </si>
  <si>
    <t>Автодорога по проезду Сосновый</t>
  </si>
  <si>
    <t>Проезд Яблоневый</t>
  </si>
  <si>
    <t>Автодорога по проезду Донской</t>
  </si>
  <si>
    <t>Автодорога по проезду Студенческий</t>
  </si>
  <si>
    <t>Автодорога по проезду Кирпичный</t>
  </si>
  <si>
    <t>Автодорога по проезду Добролюбова</t>
  </si>
  <si>
    <t>Автодорога по проезду Декабристов</t>
  </si>
  <si>
    <t>Автодорога по проезду Ключевой</t>
  </si>
  <si>
    <t>Автодорога по проезду Полярников</t>
  </si>
  <si>
    <t>Автодорога по проезду Молдавский</t>
  </si>
  <si>
    <t>Автодорога по проезду Камский</t>
  </si>
  <si>
    <t>Автодорога по проезду Торновый</t>
  </si>
  <si>
    <t>Автодорога по проезду Березовый</t>
  </si>
  <si>
    <t>Автодорога по проезду Озерный</t>
  </si>
  <si>
    <t>Автодорога по проезду Пехотный</t>
  </si>
  <si>
    <t>Автодорога по проезду Невский</t>
  </si>
  <si>
    <t>Автодорога по проезду Гастелло</t>
  </si>
  <si>
    <t>Автодорога по проезду 1-й Лесной</t>
  </si>
  <si>
    <t>Автодорога по проезду 2-й Лесной</t>
  </si>
  <si>
    <t>Автодорога по проезду 3-й Лесной</t>
  </si>
  <si>
    <t>Автодорога по проезду 4-й Лесной</t>
  </si>
  <si>
    <t>Автодорога по проезду 5-й Лесной</t>
  </si>
  <si>
    <t>Автодорога по проезду 6-й Лесной</t>
  </si>
  <si>
    <t>Автодорога по проезду 7-й Лесной</t>
  </si>
  <si>
    <t>Автодорога по проезду 8-й Лесной</t>
  </si>
  <si>
    <t>Автодорога по проезду Гражданский</t>
  </si>
  <si>
    <t>Автодорога по проезду Детский</t>
  </si>
  <si>
    <t>Переулок 1-й Заводской</t>
  </si>
  <si>
    <t>Переулок 2-й Заводской</t>
  </si>
  <si>
    <t>Автодорога по проезду Заводской</t>
  </si>
  <si>
    <t>Автодорога по проезду  Книжный</t>
  </si>
  <si>
    <t>Автодорога по проезду  Крымский</t>
  </si>
  <si>
    <t>Автодорога по проезду  Котельный</t>
  </si>
  <si>
    <t xml:space="preserve">ул. Клавдии Вавиловой                        </t>
  </si>
  <si>
    <t>Автодорога по проезду Славы</t>
  </si>
  <si>
    <t>Автодорога по переулку 2-й Парковый</t>
  </si>
  <si>
    <t>Автодорога по переулку 4-й Парковый</t>
  </si>
  <si>
    <t>Автодорога по переулку 8-й Парковый</t>
  </si>
  <si>
    <t>Автодорога по переулку 9-й Парковый</t>
  </si>
  <si>
    <t>Автодорога по переулку 10-й Парковый</t>
  </si>
  <si>
    <t>Автодорога по переулку 11-й Парковый</t>
  </si>
  <si>
    <t>Автодорога по переулку 12-й Парковый</t>
  </si>
  <si>
    <t>Автодорога по переулку Трудовой</t>
  </si>
  <si>
    <t>Автодорога по переулку Армейский</t>
  </si>
  <si>
    <t>Автодорога по проезду Дорожный</t>
  </si>
  <si>
    <t>Автодорога по проезду Фурманова</t>
  </si>
  <si>
    <t xml:space="preserve">Автодорога по проезду Степной </t>
  </si>
  <si>
    <t xml:space="preserve">Автодорога по проезду Гвардейский </t>
  </si>
  <si>
    <t>Автодорога по проезду Лесной  (переулок Спортивный)</t>
  </si>
  <si>
    <t>Автодорога по переулку Молодогвардейский</t>
  </si>
  <si>
    <t>Автодорога по проезду Луговой</t>
  </si>
  <si>
    <t>Автодорога по проезду Вишневый</t>
  </si>
  <si>
    <t>Автодорога по проезду 2-й Озерный</t>
  </si>
  <si>
    <t xml:space="preserve">Автодорога по проезду Пионерский </t>
  </si>
  <si>
    <t>Автодорога по проезду Красный</t>
  </si>
  <si>
    <t>Автодорога по проезду Кольцевой</t>
  </si>
  <si>
    <t>Автодорога по проезду Рыночный</t>
  </si>
  <si>
    <t>Автодорога по проезду Торговый  (от пр. Пожарского до ул. Комсомольская)</t>
  </si>
  <si>
    <t>Автодорога по проезду Колхозный ( от проезда Профсоюзов до ул. Чапаева)</t>
  </si>
  <si>
    <t>Автодорога по проезду Хлебный</t>
  </si>
  <si>
    <t>Автодорога по улице Киевская</t>
  </si>
  <si>
    <t>Автодорога по улице  Голоднова (от пр. Делового до границы Городского округа)</t>
  </si>
  <si>
    <t>Автодорога по улице  Лапшева;</t>
  </si>
  <si>
    <t xml:space="preserve"> Автодорога по проезду Ясный;</t>
  </si>
  <si>
    <t>Автодорога по проезду Веры;</t>
  </si>
  <si>
    <t>Автодорога по проезду Надежды;</t>
  </si>
  <si>
    <t xml:space="preserve"> Автодорога по проезду Крутой;</t>
  </si>
  <si>
    <t>Проезд Посадский;</t>
  </si>
  <si>
    <t>Автодорога по проезду Деловой</t>
  </si>
  <si>
    <t>Автодорога по проезду Звездный;</t>
  </si>
  <si>
    <t>Автодорога по проезду Большой;</t>
  </si>
  <si>
    <t>Автодорога по проезду Розовый;</t>
  </si>
  <si>
    <t>Автодорога по проезду Нежный;</t>
  </si>
  <si>
    <t>Автодорога по проезду Межевой;</t>
  </si>
  <si>
    <t>Комсомольский район:</t>
  </si>
  <si>
    <t>Автодорога по переулку Ученический</t>
  </si>
  <si>
    <t>Автодорога по улице Удалецкая</t>
  </si>
  <si>
    <t>Автодорога по улице Весенняя ( от ул. Вавилова до ул. Пескалинская)</t>
  </si>
  <si>
    <t>Автодорога по ул. Дворцовая</t>
  </si>
  <si>
    <t xml:space="preserve">Автодорога по ул. Осенняя </t>
  </si>
  <si>
    <t>Автодорога по проезду Памяти</t>
  </si>
  <si>
    <t>Автодорога по проезду Дымчатый</t>
  </si>
  <si>
    <t>Автодорога по улице Калужская</t>
  </si>
  <si>
    <t>Автодорога по проезду Розы Люксембург</t>
  </si>
  <si>
    <t xml:space="preserve">Автодорога по переулку Пионерский </t>
  </si>
  <si>
    <t>Автодорога по переулку Лобачевского</t>
  </si>
  <si>
    <t>Автодорога по ул. Телеграфная (от ООТ "Туберкулезный диспансер" до ул. Фадеева</t>
  </si>
  <si>
    <t>Автодорога по ул. 1-я линейная</t>
  </si>
  <si>
    <t xml:space="preserve">Автодорога по ул. 2-я Линейная                                                              </t>
  </si>
  <si>
    <t xml:space="preserve">Автодорога по проезду 1-й Тракторный  </t>
  </si>
  <si>
    <t>Проезд 3-й Тракторный</t>
  </si>
  <si>
    <t xml:space="preserve">Проезд 4-й Тракторный                </t>
  </si>
  <si>
    <t>Проезд 5-й Тракторный</t>
  </si>
  <si>
    <t>Автодорога по улице Наумова</t>
  </si>
  <si>
    <t>Автодорога по улице Задельная</t>
  </si>
  <si>
    <t>Автодорога по проезду Иркутский</t>
  </si>
  <si>
    <t>Автодорога по проезду Оренбургский</t>
  </si>
  <si>
    <t xml:space="preserve">Автодорога по улице Восточная </t>
  </si>
  <si>
    <t xml:space="preserve">Автодорога по ул. Фадеева       </t>
  </si>
  <si>
    <t>Автодорога по улице  Пушкина</t>
  </si>
  <si>
    <t>Автодорога по улице Дачная</t>
  </si>
  <si>
    <t>Автодорога по улице Горная</t>
  </si>
  <si>
    <t xml:space="preserve">Автодорога по улице Пионерская                                           </t>
  </si>
  <si>
    <t>Автодорога по улице Родниковая</t>
  </si>
  <si>
    <t>Автодорога по переулку Ростовскому</t>
  </si>
  <si>
    <t>Автодорога по улице  Тракторная</t>
  </si>
  <si>
    <t>Автодорога по улице  Заречная</t>
  </si>
  <si>
    <t>Автодорога по улице Воронежская</t>
  </si>
  <si>
    <t xml:space="preserve">Автодорога по улице Орловская </t>
  </si>
  <si>
    <t xml:space="preserve">Автодорога по ул. Песчаная                             </t>
  </si>
  <si>
    <t>Автодорога по проезду Сибирский</t>
  </si>
  <si>
    <t>Автодорога по проезду Западный</t>
  </si>
  <si>
    <t>Автодорога по проезду Достоевского</t>
  </si>
  <si>
    <t xml:space="preserve">Автодорога по проезду 1-й Мирный </t>
  </si>
  <si>
    <t>Автодорога по улице Пархоменко</t>
  </si>
  <si>
    <t xml:space="preserve">Автодорога по проезду 2-й Мирный </t>
  </si>
  <si>
    <t xml:space="preserve">Автодорога по проезду 3-й Мирный </t>
  </si>
  <si>
    <t>Автодорога по улице Брестская</t>
  </si>
  <si>
    <t>Автодорога по проезду Осиновый</t>
  </si>
  <si>
    <t>Автодорога по улице Федоровская</t>
  </si>
  <si>
    <t>Автодорога по переулку Гаражный</t>
  </si>
  <si>
    <t xml:space="preserve">Автодорога по улице  Димитрова         </t>
  </si>
  <si>
    <t>Автодорога по улице  Клары Цеткин</t>
  </si>
  <si>
    <t>Автодорога по переулку Учительскому</t>
  </si>
  <si>
    <t>Автодорога по ул. Краснознаменная</t>
  </si>
  <si>
    <t>Автодорога по улице  Попова</t>
  </si>
  <si>
    <t>Автодорога по переулку Луговой</t>
  </si>
  <si>
    <t>Автодорога по переулку Южный</t>
  </si>
  <si>
    <t>Автодорога по улице  Клубная</t>
  </si>
  <si>
    <t>Переулок между ул. Ингельберга и ул. Кооперативной</t>
  </si>
  <si>
    <t>Автодорога по проезду Малый</t>
  </si>
  <si>
    <t xml:space="preserve">Автодорога по улице  Окольная                                           </t>
  </si>
  <si>
    <t>Автодорога по переулку Одинокий</t>
  </si>
  <si>
    <t xml:space="preserve"> Автодорога по ул. Кооперативная  </t>
  </si>
  <si>
    <t>Автодорога по улице Академика Скрябина ( от ул. Вавилова до ул. Пескалинская)</t>
  </si>
  <si>
    <t xml:space="preserve">Автодорога по улице Сиреневая </t>
  </si>
  <si>
    <t>Автодорога по проезду Рижский</t>
  </si>
  <si>
    <t>Автодорога по улице Варваринская</t>
  </si>
  <si>
    <t>Автодорога по ул. Алексея Улесова</t>
  </si>
  <si>
    <t>Автодорога по ул. Казачья</t>
  </si>
  <si>
    <t>Автодорога по пер. Малый</t>
  </si>
  <si>
    <t>Автодорога по ул. Молодецкая</t>
  </si>
  <si>
    <t>Автодорога по ул. Ивана Красюка</t>
  </si>
  <si>
    <t>Автодорога по пер. Семейный</t>
  </si>
  <si>
    <t>Автодорога по пер. Новоселов</t>
  </si>
  <si>
    <t>Оказание услуг по подготовке экспертных заключений о соответствии результатов выполненных работ по отсыпке автомобильных дорог городского округа Тольятти, расположенных в зоне застройки индивидуальными жилыми домами асфальтогранулятом</t>
  </si>
  <si>
    <t>Итого по Комсомольскому району:</t>
  </si>
  <si>
    <t xml:space="preserve">Автодороги Центральной части Центрального района </t>
  </si>
  <si>
    <t>автодорога по ул. Рабочая</t>
  </si>
  <si>
    <t>Автодороги микрорайона Тимофеевка-2</t>
  </si>
  <si>
    <t xml:space="preserve">Автодорога по проезду Запорожский </t>
  </si>
  <si>
    <t xml:space="preserve">Автодорога по проезду Рабочий  </t>
  </si>
  <si>
    <t>Автодорога по проезду Сахалинский</t>
  </si>
  <si>
    <t xml:space="preserve">Автодорога по проезду Суворова </t>
  </si>
  <si>
    <t>Автодорога по проезду Шевченко</t>
  </si>
  <si>
    <t>Автодорога по проезду Пожарского</t>
  </si>
  <si>
    <t xml:space="preserve">Автодорога по проезду Пролетарский </t>
  </si>
  <si>
    <t xml:space="preserve">Автодорога по улице Крупской </t>
  </si>
  <si>
    <t xml:space="preserve">автодорога от ул. Рабочей до ул. Новозаводской </t>
  </si>
  <si>
    <t xml:space="preserve">Автодорога по ул. Белинского </t>
  </si>
  <si>
    <t>Автодороги микрорайона Федоровка</t>
  </si>
  <si>
    <t xml:space="preserve">Автодорога по ул. Саранская </t>
  </si>
  <si>
    <t>Автодороги микрорайона Новоматюшкино</t>
  </si>
  <si>
    <t>Автодороги микрорайона Поволжский</t>
  </si>
  <si>
    <t xml:space="preserve">Автодороги мкр. Жигулевское море </t>
  </si>
  <si>
    <t>Автодорога по ул. Кожевенная</t>
  </si>
  <si>
    <t>Итого Центральный район:</t>
  </si>
  <si>
    <t>Автодорога по проезду 8 Марта</t>
  </si>
  <si>
    <t>Автодорога по проезду от Хрящевского шоссе до ул. Грачева, 41</t>
  </si>
  <si>
    <t xml:space="preserve">Автодорога по проезду 2-й Тракторный                                               </t>
  </si>
  <si>
    <t>Автодороги микрорайона Загородный</t>
  </si>
  <si>
    <t>Автодорога по проезду 1-й Одесский (от ул. Кирова до ул. Ларина)</t>
  </si>
  <si>
    <t xml:space="preserve">ИТОГО ПО ПОДПРОГРАММЕ "ПБДД"  </t>
  </si>
  <si>
    <t>Задача 4 муниципальной 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</si>
  <si>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местный бюджет</t>
  </si>
  <si>
    <t>областной бюджет</t>
  </si>
  <si>
    <t>Финансовые ресурсы, тыс. руб.</t>
  </si>
  <si>
    <t>Наименование мероприятий</t>
  </si>
  <si>
    <t>Наименование целей, задач и мероприятий муниципальной программы</t>
  </si>
  <si>
    <t>Наименование показателей (индикаторов)</t>
  </si>
  <si>
    <t>Единица измере-ния</t>
  </si>
  <si>
    <t>Базовое значение</t>
  </si>
  <si>
    <t>Значение показателей (индикаторов) по годам</t>
  </si>
  <si>
    <t xml:space="preserve"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                       </t>
  </si>
  <si>
    <t>шт.</t>
  </si>
  <si>
    <t>-</t>
  </si>
  <si>
    <t>Устройство  искусственных дорожных  неровностей, в т.ч. экспертиза выполненных работ</t>
  </si>
  <si>
    <t>Количество устроенных искусственных дорожных неровностей</t>
  </si>
  <si>
    <t>Количество проведенных проверок достоверности определения сметной стоимости проекта</t>
  </si>
  <si>
    <t>Количество построенных пешеходных дорожек</t>
  </si>
  <si>
    <t>тыс.м.п.</t>
  </si>
  <si>
    <t>Количество обустроенных светофорных объектов</t>
  </si>
  <si>
    <t xml:space="preserve">Проектирование устройства и переноса остановок общественного транспорта, в т.ч. экспертиза выполненных работ </t>
  </si>
  <si>
    <t>Приобретение  спецтехники</t>
  </si>
  <si>
    <t>Количество приобретенных единиц спецтехники</t>
  </si>
  <si>
    <t>ед.</t>
  </si>
  <si>
    <t>Приобретение материалов для содержания ТСОДД, ремонта остановочных павильонов</t>
  </si>
  <si>
    <t>Количество приобретенных видов материалов для содержания ТСОДД, ремонта остановочных павильонов</t>
  </si>
  <si>
    <t xml:space="preserve">Уровень исполнения бюджетной сметы расходов учреждения </t>
  </si>
  <si>
    <t>%</t>
  </si>
  <si>
    <t>Количество установленных табличек</t>
  </si>
  <si>
    <t>Количество автомобильных дорог общего пользования местного значения городского округа Тольятти, на которых проведён технический учёт и паспортизация</t>
  </si>
  <si>
    <t>км</t>
  </si>
  <si>
    <t>тыс. м2</t>
  </si>
  <si>
    <t>тыс.м2</t>
  </si>
  <si>
    <t>2 988,20</t>
  </si>
  <si>
    <t>1 222,64</t>
  </si>
  <si>
    <t>Площадь содержания автомобильных дорог</t>
  </si>
  <si>
    <t xml:space="preserve">Содержание надземных и подземных пешеходных переходов </t>
  </si>
  <si>
    <t>Количество типов дорожной разметки</t>
  </si>
  <si>
    <t xml:space="preserve">Устройство линий наружного электроосвещения мест концентрации ДТП     </t>
  </si>
  <si>
    <t xml:space="preserve">Количество устроенных линий наружного электроосвещения мест концентрации ДТП    </t>
  </si>
  <si>
    <t>Проектно-изыскательские работы по объекту: Реконструкция магистральной улицы городского значения регулируемого движения по ул.Спортивной на участке от ул.Степана Разина до ул. Юбилейная (строительство бокового проезда) в 8 квартале Автозаводского района г.Тольятти</t>
  </si>
  <si>
    <t>Осуществление строительного контроля на объекте: Капитальный ремонт  ул.Васильевская от ул.Калмыцкая до ул.Обводное шоссе</t>
  </si>
  <si>
    <t>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</si>
  <si>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 xml:space="preserve">Реконструкция магистральной улицы общегородского значения регулируемого движения по ул.Спортивной нра участке от пр-та Степана Разина до ул. Юбилейная (строительство бокового проезда) в 8 квартале Автозаводского района       </t>
  </si>
  <si>
    <t>Проектно-изыскательские работы по объекту: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</si>
  <si>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строительного контроля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</si>
  <si>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авторского надзора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</si>
  <si>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авторского надзора на объекте: 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</si>
  <si>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Осуществление авторского надзора на объекте: 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движения.)</t>
  </si>
  <si>
    <t>2.1.3.</t>
  </si>
  <si>
    <t>1.3.1.</t>
  </si>
  <si>
    <t>общего пользования?</t>
  </si>
  <si>
    <t>Выполнение работ по осуществлению регулярных перевозок пассажиров и багажа по регулируемым тарифам</t>
  </si>
  <si>
    <t>Подпрограмма "Развитие  городского пассажирского транспорта в городском округе Тольятти на период 2021-2025 гг."</t>
  </si>
  <si>
    <t xml:space="preserve"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</si>
  <si>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</si>
  <si>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>отсыпка</t>
  </si>
  <si>
    <t xml:space="preserve"> -</t>
  </si>
  <si>
    <t>автодорога по улице Кунеевская от улицы Баныкина до улицы Громовой</t>
  </si>
  <si>
    <t>Регулярность выполнения перевозок по заключенным муниципальным контрактам</t>
  </si>
  <si>
    <t>Количество перевезенных пассажиров льготной категории граждан</t>
  </si>
  <si>
    <t>тыс.пас.</t>
  </si>
  <si>
    <t>2022-2025</t>
  </si>
  <si>
    <t>разные площади</t>
  </si>
  <si>
    <t>Устройство  искусственных дорожных неровностей, экспертиза выполненных работ, в т.ч.:</t>
  </si>
  <si>
    <t xml:space="preserve">план на 2021: </t>
  </si>
  <si>
    <t>план на 2022:</t>
  </si>
  <si>
    <t xml:space="preserve">ул. Офицерская (на участке от ул. Полякова до ул. Ботаническая); </t>
  </si>
  <si>
    <t>ул. Радищева (на участке от ул. Победы до ул. Новозаводская);</t>
  </si>
  <si>
    <t>ул. Северная (на участке от ул. Борковская до дома № 105 по ул. Северная);</t>
  </si>
  <si>
    <t>ул. Диагональная (на участке от ул. Баныкина до ул. Кунеевская);</t>
  </si>
  <si>
    <t>ул. Ларина (на участке от ул. Васильевская до ул. Ломоносова)</t>
  </si>
  <si>
    <t>Устройство пешеходных дорожек, в т.ч.:</t>
  </si>
  <si>
    <t>в районе ООТ "70 лет Октября" по ул.70 лет Октября;</t>
  </si>
  <si>
    <t>Проектирование устройства и переноса остановок общественного транспорта, в т.ч. экспертиза выполненных работ, в т.ч.:</t>
  </si>
  <si>
    <t>план на 2021:</t>
  </si>
  <si>
    <t>Устройство и перенос остановок общественного транспорта  на территории городского округа Тольятти, в т.ч.:</t>
  </si>
  <si>
    <t>ООТ "Молокозавод" на ул. Коммунальная;</t>
  </si>
  <si>
    <t>ООТ "Санаторий Волжские зори" на ул. Комзина</t>
  </si>
  <si>
    <t>Устройство парковочных площадок, карманов  и стоянок, в т.ч.:</t>
  </si>
  <si>
    <t xml:space="preserve">устройство парковочной площадки по пр-ту Степана Разина, в районе дома №93 </t>
  </si>
  <si>
    <t xml:space="preserve">в районе ООТ "Приморский бульвар" по ул.Революционная; </t>
  </si>
  <si>
    <t>в районе ООТ "Озерки" по Поволжскому шоссе;</t>
  </si>
  <si>
    <t xml:space="preserve">в районе ООТ "Сосновый бор" по Поволжскому шоссе; </t>
  </si>
  <si>
    <t>в районе пересечения бульвара 50 лет Октября - ул.Герцена - ул.Украинская;</t>
  </si>
  <si>
    <t>в районе ООТ "Гаражи" по ул.Ботаническая</t>
  </si>
  <si>
    <t>ООТ "Телецентр" по пр-ту Степана Разина</t>
  </si>
  <si>
    <t xml:space="preserve"> Ремонт дворовых территорий многоквартирных домов, проездов к дворовым территориям многоквартирных домов  городского округа Тольятти</t>
  </si>
  <si>
    <t>Цель подпрограммы: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</si>
  <si>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>Задача 3 муниципальной 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</si>
  <si>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>Количество разработанной проектно-сметной документации по капитальному ремонту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</si>
  <si>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ремонту автомобильных дорог общего пользования местного значения городского округа Тольятти</t>
  </si>
  <si>
    <t>Цель подпрограммы: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</si>
  <si>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2 муниципальной 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</si>
  <si>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Отсыпка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</si>
  <si>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Площадь отремонтированных путем ремонта дворовых территорий многоквартирных домов, проездов к дворовым территориям многоквартирных домов городского округа Тольятти</t>
  </si>
  <si>
    <t>Автодорога по проезду Школьный (от Учительского проезда до ул. Пионерская)</t>
  </si>
  <si>
    <t>Автодорога по переулку Кирилла Белова</t>
  </si>
  <si>
    <t>Автодорога по проезду Охотничьему</t>
  </si>
  <si>
    <t>Автодорога по улице  Казачкова;</t>
  </si>
  <si>
    <t>Автодорога по улице Грачева</t>
  </si>
  <si>
    <t>Автодорога по улице Андреянова;</t>
  </si>
  <si>
    <t>Автодорога по проезду Любви;</t>
  </si>
  <si>
    <t>Автодорога по улице Еряшева;</t>
  </si>
  <si>
    <t>№   п./п.</t>
  </si>
  <si>
    <t>Общая стоимость работ (ориентировочная), тыс.руб.</t>
  </si>
  <si>
    <t>федеральный бюджет, тыс. руб.</t>
  </si>
  <si>
    <t>областной бюджет, тыс. руб.</t>
  </si>
  <si>
    <t xml:space="preserve">Строительство магистральной улицы  районного значения транспортно-пешеходной  ул. Механизаторов от ул. Громовой до ул. Лизы Чайкиной в Комсомольском районе города Тольятти </t>
  </si>
  <si>
    <t>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 города Тольятти</t>
  </si>
  <si>
    <t>Осуществление строительного контроля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</si>
  <si>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>Осуществление авторского надзора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</si>
  <si>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 xml:space="preserve">Осуществление строительного контроля на объекте: Реконструкция магистральной улицы общегородского значения регулируемого движения по ул.Спортивной на участке от пр-та Степана Разина до ул. Юбилейная (строительство бокового проезда) в 8 квартале Автозаводского района       </t>
  </si>
  <si>
    <t xml:space="preserve">Осуществление авторского надзора на объекте: Реконструкция магистральной улицы общегородского значения регулируемого движения по ул.Спортивной на участке от пр-та Степана Разина до ул. Юбилейная (строительство бокового проезда) в 8 квартале Автозаводского района       </t>
  </si>
  <si>
    <t>Проектно-изыскательские работы по капитальному ремонту автомобильных дорог общего пользования местного значения городского округа Тольятти</t>
  </si>
  <si>
    <t>Проектно-изыскательские работы по реконструкции автомобильных дорог общего пользования местного значения городского округа Тольятти</t>
  </si>
  <si>
    <t>Проектно-изыскательские работы по ремонту автомобильных дорог общего пользования местного значения городского округа Тольятти</t>
  </si>
  <si>
    <t>Проектно-изыскательские работы по строительству автомобильных дорог общего пользования местного значения городского округа Тольятти</t>
  </si>
  <si>
    <t>Капитальный ремонт ул.Калмыцкая на участке от ж/д. переезда до ул.Васильевская</t>
  </si>
  <si>
    <t>Осуществление строительного контроля на объекте: Капитальный ремонт автодороги по улице  ул.Калмыцкая на участке от ж/д. переезда до ул.Васильевская</t>
  </si>
  <si>
    <t>Капитальный ремонт ул.Васильевская от ул.Калмыцкая до ул.Обводное шоссе</t>
  </si>
  <si>
    <t>автодорога по улице Пескалинская от улицы Удалецкой до улицы Весенней</t>
  </si>
  <si>
    <t>автодорога по переулку Лобачевского от улицы Пушкина до проезда Ученический</t>
  </si>
  <si>
    <t>автодорога по проезду Тенистый от улицы 60 лет СССР до улицы Олимпийская</t>
  </si>
  <si>
    <t>ул. Юбилейная от ул. Фрунзе до ул. Спортивная, вкл. пересечение с б-ром Приморский</t>
  </si>
  <si>
    <t>ул. Александра Кудашева</t>
  </si>
  <si>
    <t>шт</t>
  </si>
  <si>
    <t>Доля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общей площади автомобильных дорог с невысокой транспортной нагрузкой в городском округе Тольятти</t>
  </si>
  <si>
    <t>Удовлетворенность населения содержанием УДС (от числа опрошенных)</t>
  </si>
  <si>
    <t>Наименование показателя конечного результата</t>
  </si>
  <si>
    <t>Единица измерения</t>
  </si>
  <si>
    <t>Планируемые значения показателя конечного результата</t>
  </si>
  <si>
    <t>Пассажирооборот транспорта общего пользования</t>
  </si>
  <si>
    <t>млн.пассажиро-километров</t>
  </si>
  <si>
    <t>Доля подвижного состава автобусов, не превышающих нормативный срок эксплуатации</t>
  </si>
  <si>
    <t>Доля подвижного состава троллейбусов, не превышающих нормативный срок эксплуатации</t>
  </si>
  <si>
    <t>Обеспеченность парка транспортом с низким (пониженным) уровнем пола МП "ТТУ"</t>
  </si>
  <si>
    <t>базовое значение за 2018 год</t>
  </si>
  <si>
    <t>базовое значение 2018г.</t>
  </si>
  <si>
    <t xml:space="preserve">Доля протяженности дорожной сети городского округа Тольятти, находящейся в нормативном состоянии </t>
  </si>
  <si>
    <t>Протяженность автомобильных дорог общего пользования местного значения городского округа Тольятти, на которых проведена диагностика и оценка транспортно-эксплуатационного состояния</t>
  </si>
  <si>
    <t>Протяженность построенных автомобильных дорог общего пользования местного значения городского округа Тольятти</t>
  </si>
  <si>
    <t>Протяжённость реконструированных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</si>
  <si>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строительству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</si>
  <si>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реконструкции автомобильных дорог общего пользования местного значения городского округа Тольятти</t>
  </si>
  <si>
    <t>Количество заключенных контрактов на выполнение регулярных перевозок пассажиров и багажа по регулируемым тарифам</t>
  </si>
  <si>
    <t>Количество действующих маршрутов на выполнение регулярных перевозок пассажиров и багажа по регулируемым тарифам</t>
  </si>
  <si>
    <t>L(S) объекта, км (т.м2)</t>
  </si>
  <si>
    <t>Уровень дорожно-транспортного травматизма «Тяжесть последствий» (число погибших на 100 пострадавших) (обратный показатель)</t>
  </si>
  <si>
    <t>Количество зарегистрированных ДТП на территории городского округа Тольятти (обратный показатель)</t>
  </si>
  <si>
    <t>ул. Ленинградская, 28</t>
  </si>
  <si>
    <t>Рябиновый б-р, 1</t>
  </si>
  <si>
    <t>Рябиновый б-р, 13</t>
  </si>
  <si>
    <t>Московский пр-т - ул. Фрунзе</t>
  </si>
  <si>
    <t>ул. Олимпийская в районе д. 20 по ул. Полевая</t>
  </si>
  <si>
    <t>ул. Сиреневая, 24</t>
  </si>
  <si>
    <t>Внутриквартальный пр-д от пр-да Дорофеева до ул. Макарова</t>
  </si>
  <si>
    <t>Б-р Цветной, 24</t>
  </si>
  <si>
    <t>Б-р Цветной, 13</t>
  </si>
  <si>
    <t xml:space="preserve">ул. Ленина, ООТ "Дворец молодежи" </t>
  </si>
  <si>
    <t>ул. Л. Яшина, ООТ "Северовосточная"</t>
  </si>
  <si>
    <t>Приморский б-р пересечение с б-ром Буденного</t>
  </si>
  <si>
    <t>б-р Гая, 10</t>
  </si>
  <si>
    <t>ул. Юбилейная, ООТ "Кафе Салют"</t>
  </si>
  <si>
    <t>ул. Юбилейная, ООТ "Парк Победы"</t>
  </si>
  <si>
    <t>Ленинский пр-т, ООТ "б-р Туполева"</t>
  </si>
  <si>
    <t>пр-т Ст. Разина, ООТ "Театральная"</t>
  </si>
  <si>
    <t>ул. Л. Толстого пересечение с ул. Ленина</t>
  </si>
  <si>
    <t>ул. Победы пересечение с б-ром 50 лет Октября</t>
  </si>
  <si>
    <t>ул. Борковская, 51 (ООТ "Спецавтоцентр)</t>
  </si>
  <si>
    <t>Революционная, ООТ "Экзотика"</t>
  </si>
  <si>
    <t xml:space="preserve">Московский пр-т, ООТ "ул. Дзержинского" </t>
  </si>
  <si>
    <t>ул. Спортивная в районе д. 55 по Приморскому б-ру</t>
  </si>
  <si>
    <t>Московский пр-т, ООТ "Дом связи"</t>
  </si>
  <si>
    <t>ул. Цеховая,  ООТ "GM-АвтоВАЗ"</t>
  </si>
  <si>
    <t>ул. Родина пересечение с ул. Мира</t>
  </si>
  <si>
    <t>ул. Голосова пересечение с ул. Новозаводская</t>
  </si>
  <si>
    <t>Обводное шоссе пересечение с ул. Новозаводская</t>
  </si>
  <si>
    <t>Физкультурный проезд</t>
  </si>
  <si>
    <t>ул. Спортивная, ООТ "Вега"</t>
  </si>
  <si>
    <t>ул. Революционная, ООТ "1000 мелочей"</t>
  </si>
  <si>
    <t>ул. Свердлова, 8</t>
  </si>
  <si>
    <t>ул. Автостроителей, ООТ "40 лет Победы"</t>
  </si>
  <si>
    <t>ул. Борковская, ООТ "Южная база"</t>
  </si>
  <si>
    <t>ул. Горького, 46"А"</t>
  </si>
  <si>
    <t>ул. Матросова, 26</t>
  </si>
  <si>
    <t>ул. Революционная, 47</t>
  </si>
  <si>
    <t>ул. Гидротехническая пересечение с ул. Дорофеева</t>
  </si>
  <si>
    <t>ул. Ворошилова, ООТ "б-р Луначарского"</t>
  </si>
  <si>
    <t>ул. Л.Яшина, ООТ "Льва Яшина"</t>
  </si>
  <si>
    <t>Приморский б-р, ООТ "8 квартал"</t>
  </si>
  <si>
    <t>ул. Коммунистическая, ООТ "Тюленина"</t>
  </si>
  <si>
    <t>ул. Коммунистическая, ООТ "Космодемьянской"</t>
  </si>
  <si>
    <t>ул. Родина, ООТ"Автовокзал"</t>
  </si>
  <si>
    <t>ул. Юбилейная, 85 и ООТ "Вега"</t>
  </si>
  <si>
    <t>ул. Новозаводская, ООТ "Химико-технологический колледж"</t>
  </si>
  <si>
    <t>ул. Автостроителей, ООТ "Молодежная"</t>
  </si>
  <si>
    <t>ул. 70 лет Октября, 33Б, 38, ООТ "Магазин мир продуктов"</t>
  </si>
  <si>
    <t>Приморский б-р ООТ "Театр Дилижанс"</t>
  </si>
  <si>
    <t>Вокзальная, 100а (ООТ "10 КПП")</t>
  </si>
  <si>
    <t>ул. Комсомольская пересечение с ул. Новопромышленной</t>
  </si>
  <si>
    <t>ул. Гидротехническая пересечение с ул. Шлюзовая</t>
  </si>
  <si>
    <t>ул. Автостроителей, ООТ "Гостиница Лада"</t>
  </si>
  <si>
    <t>Подпрограмма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гг."</t>
  </si>
  <si>
    <t>пр-д Фабричный</t>
  </si>
  <si>
    <t>ул. Дзержинского между ул. Революционная и световой опорой № 84 (89) по ул. Дзержинского</t>
  </si>
  <si>
    <t>ул. Тюленина от улицы Коммунистической до улицы Мурысева</t>
  </si>
  <si>
    <t>ул. Северная от улицы Цеховая до границы г.о. Тольятти (ул. Степная)</t>
  </si>
  <si>
    <t>Кольцевая транспортная развязка по Южному шоссе - ул.Полякова</t>
  </si>
  <si>
    <t>Устройство линий наружного электроосвещения мест концентрации ДТП</t>
  </si>
  <si>
    <t xml:space="preserve">Устройство и перенос остановок общественного транспорта  на территории городского округа Тольятти                                                                                                                                                        </t>
  </si>
  <si>
    <t>Строительство дороги по улице Владимира Высоцкого</t>
  </si>
  <si>
    <t>Строительство дороги местного значения и проездов в микрорайоне "Калина", Автозаводский район, г. Тольятти, Самарская область</t>
  </si>
  <si>
    <t>дорожка вдоль улицы Александра Кудашева на участке от ул. Льва Толстого до границы г.о.Тольятти</t>
  </si>
  <si>
    <t>Протяженность установленных пешеходных ограждений</t>
  </si>
  <si>
    <t xml:space="preserve">ул. Кудашева </t>
  </si>
  <si>
    <t>Перечень объектов подпрограммы "Повышение безопасности дорожного движения на период 2021 - 2025 гг." и финансовые ресурсы</t>
  </si>
  <si>
    <t xml:space="preserve">Устройство парковочных площадок, карманов и стоянок                                   </t>
  </si>
  <si>
    <t>ликвидация несанкционированного примыкания в районе ООТ "Автолюбитель" по б-ру 50 лет Октября</t>
  </si>
  <si>
    <t>по ул.Офицерской от ул.Полякова до ул.Ботанической</t>
  </si>
  <si>
    <t>островок безопасности и пешеходная дорожка в районе пересечения ул.Мичурина и ул.Герцена</t>
  </si>
  <si>
    <t>Строительство парковочных автостоянок вдоль Южных проходных ПАО "АВТОВАЗ" по Южному шоссе</t>
  </si>
  <si>
    <t>Осуществление строительного контроля на объекте: Строительство парковочных автостоянок вдоль Южных проходных ПАО "АВТОВАЗ" по Южному шоссе</t>
  </si>
  <si>
    <t>Осуществление авторского надзора на объекте: Строительство парковочных автостоянок вдоль Южных проходных ПАО "АВТОВАЗ" по Южному шоссе</t>
  </si>
  <si>
    <t>Проектно-изыскательские работы по объекту "Реконструкция пересечения Обводного и Хрящевского шоссе"</t>
  </si>
  <si>
    <t xml:space="preserve">Проектно-изыскательские работы по корректировке проектно-сметной документации "Строительство магистральной улицы районного значения транспортно-пешеходной ул. Механизаторов от ул. Лизы Чайкиной до ул. Громовой в Комсомольском районе города Тольятти" </t>
  </si>
  <si>
    <t>Проектно-изыскательские работы по устройству подъездной дороги к поликлинике на 1000 посещений в смену</t>
  </si>
  <si>
    <t>Ремонт автопарковки в районе поликлиники на 500 посещений в смену</t>
  </si>
  <si>
    <t xml:space="preserve">Устройство съездов для инвалидов и других маломобильных групп населения на территории городского округа Тольятти </t>
  </si>
  <si>
    <t>нераспределенный остаток</t>
  </si>
  <si>
    <t>Приложение № 2                                                                                              к  постановлению администрации городского округа Тольятти "_____" _______________2021г. № _______________</t>
  </si>
  <si>
    <t>Обеспеченность парка транспортом с низким (пониженным) уровнем пола МП "ТПАТП № 3"</t>
  </si>
  <si>
    <t>Устройство и перенос остановок общественного транспорта на территории городского округа Тольятти</t>
  </si>
  <si>
    <t>Устройство парковочных площадок, карманов и стоянок</t>
  </si>
  <si>
    <t>Количество  вновь введенных в эксплуатацию (реконструируемых) парковочных площадок, карманов и стоянок</t>
  </si>
  <si>
    <t>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</t>
  </si>
  <si>
    <t>Устройство технических средств организации дорожного движения</t>
  </si>
  <si>
    <t>Устройство технических средств организации дорожного движения, в т.ч:</t>
  </si>
  <si>
    <t>Приобретение дорожных знаков (заготовок дорожных знаков)</t>
  </si>
  <si>
    <t>Количество установленных  дорожных знаков</t>
  </si>
  <si>
    <t>Количество приобретенных дорожных знаков (заготовок дорожных знаков)</t>
  </si>
  <si>
    <t>Проектирование устройства парковочных площадок (карманов и стоянок)</t>
  </si>
  <si>
    <t>2021 - 2025</t>
  </si>
  <si>
    <t>Количество диагностируемых надземных пешеходных переходов (мостов,путепроводов)</t>
  </si>
  <si>
    <t>ул. Дзержинского между ул. Ворошилова и ул. 40 лет Победы</t>
  </si>
  <si>
    <t>Борковский проезд от  ул. Вокзальная,54 до границы городского округа, южнее здания по адресу: ул. Вокзальная, 44Б</t>
  </si>
  <si>
    <t>ул.Офицерская от ул. Ботаническая до объекта недвижимости, имеющего адрес: ул. Офицерская, д.8, включая пересечение автодорог по ул.Полякова и ул.Офицерская</t>
  </si>
  <si>
    <t>улица Полякова от ул.Коммунальная до ул.Офицерская</t>
  </si>
  <si>
    <t>ул. Фрунзе между улицей Московским проспектом  и ул. Юбилейной</t>
  </si>
  <si>
    <t>ул. Мира между ул. Родины и ул. Победы</t>
  </si>
  <si>
    <t>ул. Крупской от бульвара 50 лет Октября до ул. Шлютова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</si>
  <si>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Западная часть квартала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</si>
  <si>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Восточная часть квартала</t>
  </si>
  <si>
    <t>Выполнение проектно-изыскательских работ по объекту: «Строительство магистральной улицы общегородского значения регулируемого движения в продолжение ул. Фермерской до Южного шоссе»</t>
  </si>
  <si>
    <t>Проектно- изыскательские работы на строительство подъездной автомобильной дороги (проезда) от внутриквартального проезда к земельному участку с кадастровым номером 63:09:0101159:10329 (Физкультурно-оздоровительный комплекс с универсальным игровым залом (36х18 м) по адресу: Самарская область, г. Тольятти, Автозаводский район, южнее здания №15 по бульвару Кулибина, для МБУДСДЮШОР № 8 «Союз»)</t>
  </si>
  <si>
    <t>Устройство  искусственных дорожных неровностей на ул.Матросова, д.37, д.60</t>
  </si>
  <si>
    <t>Установка дорожных знаков, ликвидация подхода к пешеходному переходу на ул. Матросова, в районе домов № 53, 134</t>
  </si>
  <si>
    <t>Устройство островка безопасности и дорожных знаков на ул. Карла Маркса - пересечение с ул. Максима Горького</t>
  </si>
  <si>
    <t>Устройство  искусственных неровностей трапецевидной формы по ул. Украинской перед пересечением с ул. Шлютова, устройство светофорного объекта,  установка дорожных знаков на ул. Шлютова - пересечение с ул. Украинская, ул.Шлютова д. № 108, д. № 110, д. 127</t>
  </si>
  <si>
    <t>Устройство пешеходного перехода, установка дорожных знаков, сокращение заездного кармана на ул. Новозаводская, в районе домов № 2, 2А, 2Е, 2Д.</t>
  </si>
  <si>
    <t>Устройство шумовых полос и информационных щитов индтвидуального проектирования на Автозаводском шоссе, в районе домов № 3, 5.</t>
  </si>
  <si>
    <t xml:space="preserve">Установка дорожных знаков при выезде с Цветного бульвара  и от дома №5 на
ул. Дзержинского
</t>
  </si>
  <si>
    <t>Установка дорожных знаков  в начале кривой сопряжения и дорожных знаков на разделительной полосе 4 проезда, ул. Транспортная  - пересечение с  4 проездом, ул. Транспортная, д.№  21Б</t>
  </si>
  <si>
    <t>Установка дорожных знаков   в районе д. № 52 по ул. Революционная</t>
  </si>
  <si>
    <t xml:space="preserve">Устройство  искусственных дорожных неровностей, установка дорожных знаков на б-ре Здоровья от ул. Свердлова до Ленинского пр-та </t>
  </si>
  <si>
    <t>Устройство  искусственных дорожных неровностей на ул. Фрунзе, д.2Г</t>
  </si>
  <si>
    <t>Устройство  искусственных дорожных неровностей на ул. Ленина, д.108, МБУ "№ 13", ООТ "Гагарина"</t>
  </si>
  <si>
    <t>Устройство  искусственных дорожных неровностей, установка дорожных знаков, устройство тротуара на ул. Льва Толстого, д.10</t>
  </si>
  <si>
    <t>Устройство искусственных дорожных неровностей, установка дорожных знаков на ул. Саратовская от ул. Самарской до ул. Украинской, д. 5</t>
  </si>
  <si>
    <t>Устройство  искусственных дорожных неровностей, установка дорожных знаков на дублере вдоль ул. Тополиная от ул. Дзержинского до Южного шоссе</t>
  </si>
  <si>
    <t>Устройство  искусственных дорожных неровностей, установка дорожных знаков на дублере вдоль ул. Ворошилова от ул. 40 лет Победы до ул.Дзержинского</t>
  </si>
  <si>
    <t>Устройство  искусственных дорожных неровностей, установка дорожных знаков на дублере вдоль ул.70 лет Октября от ул. Льва Яшина до ул. Офицерской</t>
  </si>
  <si>
    <t>Установка дорожных знаков, сокращение заездного кармана, установка пешеходных ограждений на ул. Матросова, в районе домов № 134</t>
  </si>
  <si>
    <t xml:space="preserve">Устройство  искусственных дорожных неровностей, установка дорожных знаков, нанесение дорожной разметки на ул.Ленина д.73 на пересечении с ул.Чапаева </t>
  </si>
  <si>
    <t>Устройство  искусственных дорожных неровностей, установка дорожных знаков на б-р Луначарского,2  (ул. Ворошилова, д.4)</t>
  </si>
  <si>
    <t>Устройство  искусственных дорожных неровностей, установка дорожных знаков на б-р Кулибина, д.2</t>
  </si>
  <si>
    <t xml:space="preserve">Ликвидация места разворота, сокращение заездного кармана, устройство тротуара, установка пешеходных ограждений на Московском пр-те, д.7                                                </t>
  </si>
  <si>
    <t>Устройство островков безопасности и установка дорожных знаков по пр-ту Степана Разина на пересечении с Ленинским проспектом</t>
  </si>
  <si>
    <t>Установка дорожных знаков и заездного кармана на ул.Новозаводская в районе д.6</t>
  </si>
  <si>
    <t>Установка П-образных опор и дорожных знаков на Южном шоссе, в районе д.№5</t>
  </si>
  <si>
    <t>Устройство световозвращателей дорожных на проезжей части Поволжского шоссе</t>
  </si>
  <si>
    <t>Устройство световозвращателей дорожных на проезжей части дороги от Московского пр-та до ул. Фермерской с. Подстепки</t>
  </si>
  <si>
    <t>Установка ограничивающих пешеходных ограждений на бульваре Ленина от ул. Ленинградская до ул.Баныкина (со стороны Краеведческого музея)</t>
  </si>
  <si>
    <t>Установка ограничивающих пешеходных ограждений на Молодежном б-ре от ул.Победы до ул.Ленина</t>
  </si>
  <si>
    <t>Установка ограничивающих пешеходных ограждений на ул.Жилина от пл.Свободы до ул.Ленинградская</t>
  </si>
  <si>
    <t>Устройство искусственных дорожных неровностей,  установка дорожных знаков  на внутриквартальном проезде вдоль ул. Железнодорожная от пр. Дорофеева до ул. Шлюзовая</t>
  </si>
  <si>
    <t>Устройство искусственных дорожных неровностей,  установка дорожных знаков на внутриквартальном проезде вдоль ул. 40 лет Победы (от Южное шоссе до ул. Тополиная)</t>
  </si>
  <si>
    <t>Установка дорожных знаков и перенос светофорного объекта на ул.Жилина в районе дома №24 (пересечение с ул.Мира)</t>
  </si>
  <si>
    <t>Ликвидация въезда (выезда), устройство дорожных знаков на бульваре Ленина в районе д.27 ул.Баныкина, д.16 "Г"</t>
  </si>
  <si>
    <t>Устройство искусственной дорожной неровности, установка дорожных знаков 
на проезде между ул. Баныкина и ул. Ленинградска ООШ №26 и Д/С "Тополек"</t>
  </si>
  <si>
    <t>Устройство островка безопасности, устройство искусственных дорожных неровностей, установка дорожных знаков на  перекрестке ул.М.Горького-ул.Октябрьская с/ш № 4</t>
  </si>
  <si>
    <t>Устройство искусственных дорожных неровностей на б-ре Космонавтов, д.17, с/ш № 79</t>
  </si>
  <si>
    <t>Устройство искусственных дорожных неровностей, установка дорожных знаков на ул. Шлютова, д.130 д/с "Соловушка"</t>
  </si>
  <si>
    <t>Устройство пешеходной дорожки на пересечении ул. Баныкина и ул. Жилина</t>
  </si>
  <si>
    <t>Перенос и устройство ООТ "улица Фрунзе" по Московскому проспекту</t>
  </si>
  <si>
    <t>Модернизация светофорного объекта и установка дорожных знаков  на  ул. Юбилейная - пересечение с ул. Фрунзе, ул.Фрунзе в районе домов 31а, 14 в</t>
  </si>
  <si>
    <t xml:space="preserve">Устройство светофорного объекта, установка дорожных знаков на ул. Громовой, д.1  ООТ "ул. Механизаторов"                                                                                                               </t>
  </si>
  <si>
    <t xml:space="preserve">Устройство светофорного объекта, установка дорожных знаков, устройство тротуара, установка пешеходных ограждений на ул. Матросова, д. 70                                                                                                                                            </t>
  </si>
  <si>
    <t>Устройство светофорного объекта, установка дорожных знаков на ул. Автостроителей, д.13 А ООТ "Гостиница Лада"</t>
  </si>
  <si>
    <t>Устройство светофорного объекта, установка дорожных знаков на ул. Автостроителей, д. 11 ООТ "Солнечный б-р"</t>
  </si>
  <si>
    <t>Установка дополнительных секций светофорного объекта с дорожными знаками по  ул. Ленинградской, перед пересечением с ул.Жилина</t>
  </si>
  <si>
    <t>Устройство светофорного объекта, установка дорожных знаков и устройство пешеходной дорожки на Южном шоссе в районе дома №36 ООТ "3-я вставка"</t>
  </si>
  <si>
    <t>Устройство светофорного объекта, установка дорожных знаков на Южном шоссе в районе дома №36 ООТ "Жигулевская долина"</t>
  </si>
  <si>
    <t>Модернизация светофорного объекта, установка дорожных знаков на ул. Заставная, д.№1, ООТ "Учебный центр"</t>
  </si>
  <si>
    <t xml:space="preserve">Устройство светофорных объектов, установка П-образных опор и дорожных знаков , устройство тротуара, установка пешеходных ограждений на пересечении ул. Спортивная д.3, д.5 и автодороги - продолжения пр-та Ст.Разина со стороны Лесопаркового шоссе </t>
  </si>
  <si>
    <t>Выполнение проектно-изыскательских работ по устройству линии наружного электроосвещения, в т.ч.инженерные изыскания по б-ру Буденного (от ул. Фрунзе до с/о №1) в Автозаводском районе городского округа Тольятти</t>
  </si>
  <si>
    <t>Проектирование устройства остановки общественного транспорта ООТ "Лыжная база" по ул.М. Жукова.</t>
  </si>
  <si>
    <t>Проектирование линий наружного освещения ООТ "Парк-хаус"</t>
  </si>
  <si>
    <t>Проектирование переноса  ООТ "Лесопитомник" по ул. Дзержинского.</t>
  </si>
  <si>
    <t>Проектирование устройства пешеходной дорожки вдоль ул. Шлютова от ул. Родины до ул. Победы</t>
  </si>
  <si>
    <t>Проектирование устройства пешеходной дорожки вдоль ул. Украинской</t>
  </si>
  <si>
    <t>Выполнение проектно-изыскательских работ по устройству линий наружного электроосвещения, в т.ч. инженерные изыскания по Хрящевскому шоссе (на участке от Южного шоссе до Обводного шоссе).</t>
  </si>
  <si>
    <t>Устройство наружного освещения на  Южном шоссе (на участке от опоры №501 до ул. Цеховая и от ул. Цеховая до опоры № 490)</t>
  </si>
  <si>
    <t>Выполнение работ по капитальному ремонту объекта: «Подземный пешеходный переход: подземный переход через автомобильную дорогу по адресу: Самарская область, г. Тольятти,
ул. Свердлова, в районе дома №80 (капитальный ремонт)»</t>
  </si>
  <si>
    <t>Установка дорожных знаков на  ул.Жилина, д. № 1</t>
  </si>
  <si>
    <t>Проектно-изыскательские работы на капитальный ремонт магистральной улицы общегородского значения регулируемого движения ул. Калмыцкая от ж/д переезда до ул. Васильевская</t>
  </si>
  <si>
    <t>Проектно-изыскательские работы на капитальный ремонт магистральной улицы общегородского значения регулируемого движения ул. Васильевская от ул. Калмыцкая до Обводного шоссе</t>
  </si>
  <si>
    <t>Проектно-изыскательские работы на устройство линии наружного освещения вдоль магистральной улицы общегородского значения регулируемого движения ул. Калмыцкая</t>
  </si>
  <si>
    <t>Ремонт дворовых территорий многоквартирных домов, проездов к дворовым территориям многоквартирных домов  городского округа Тольятти</t>
  </si>
  <si>
    <t xml:space="preserve">Количество устроенных линий наружного электроосвещения  </t>
  </si>
  <si>
    <t>Строительство магистральной улицы общегородского значения регулируемого движения ул. Офицерской</t>
  </si>
  <si>
    <t>Автодорога по улице Бузыцкова от Хрящевского шоссе до дома № 47 по ул.Бузыцкова</t>
  </si>
  <si>
    <t>ул. Грачева от Хрящевского шоссе до пересечения с ул. Бузыцкова</t>
  </si>
  <si>
    <t>Количество установленных дорожных знаков</t>
  </si>
  <si>
    <t>Количество вновь введенных (перенесенных) в эксплуатацию остановок общественного транспорта</t>
  </si>
  <si>
    <t>тыс. м.п.</t>
  </si>
  <si>
    <t xml:space="preserve">Подпрограмма "Повышение безопасности дорожного движения на период 2021-2025 гг."                      </t>
  </si>
  <si>
    <t xml:space="preserve">Перечень мероприятий муниципальной программы "Развитие транспортной системы и дорожного хозяйства городского округа Тольятти на 2021-2025 гг." </t>
  </si>
  <si>
    <r>
      <t xml:space="preserve">ПОКАЗАТЕЛИ (ИНДИКАТОРЫ)
</t>
    </r>
    <r>
      <rPr>
        <sz val="11.5"/>
        <rFont val="Times New Roman"/>
        <family val="1"/>
        <charset val="204"/>
      </rPr>
      <t>МУНИЦИПАЛЬНОЙ ПРОГРАММЫ "РАЗВИТИЕ ТРАНСПОРТНОЙ СИСТЕМЫ И ДОРОЖНОГО ХОЗЯЙСТВА ГОРОДСКОГО ОКРУГА ТОЛЬЯТТИ</t>
    </r>
    <r>
      <rPr>
        <sz val="12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НА 2021 - 2025 ГГ."</t>
    </r>
    <r>
      <rPr>
        <sz val="12"/>
        <rFont val="Times New Roman"/>
        <family val="1"/>
        <charset val="204"/>
      </rPr>
      <t xml:space="preserve">
</t>
    </r>
  </si>
  <si>
    <t>Показатели конечного результата муниципальной программы</t>
  </si>
  <si>
    <t>Площадь дорожных сооружений, находящихся на содержании</t>
  </si>
  <si>
    <t>Строительство автомобильных дорог общего пользования местного значения городского округа Тольятти, в т. ч. строительный контроль и авторский надзор</t>
  </si>
  <si>
    <t>объектов</t>
  </si>
  <si>
    <t>ул. Родины от ул. Баныкина до ул. Комзина</t>
  </si>
  <si>
    <t>ул. Коммунальная от ул. Борковская до Обводного шоссе</t>
  </si>
  <si>
    <t>ул. Мичурина от ул. Ленина д. №48 до Енисейского пр-да д. № 54А</t>
  </si>
  <si>
    <t>ул. Железнодорожная от ул. Никонова до М-5 Урал</t>
  </si>
  <si>
    <t>ул. Офицерская от ул. Борковская до ул. Ботаническая</t>
  </si>
  <si>
    <t>ул. Ушакова от ул. Мира до ул. Баныкина</t>
  </si>
  <si>
    <t>ул. Дорофеева от ул. Железнодорожная до ул. Гидротехническая</t>
  </si>
  <si>
    <t>ул. Тополиная от ул. 70 лет Октября до ул. Дзержинского</t>
  </si>
  <si>
    <t>ул. Макарова от ул. Никонова до ул. Гидротехническая</t>
  </si>
  <si>
    <t>ул. Ботаническая от Южного шоссе до ул.Дзержинского</t>
  </si>
  <si>
    <t>ул. Жилина от ул. Мира до площади Свободы</t>
  </si>
  <si>
    <t>Проектирование устройства пешеходных дорожек, в т.ч. экспертиза проектов</t>
  </si>
  <si>
    <t>Предоставление транспортных услуг населению</t>
  </si>
  <si>
    <t>Перечень объектов подпрограммы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гг" и финансовые ресурсы</t>
  </si>
  <si>
    <t>Проектно-изыскательские работы по устройству линий наружного электроосвещения</t>
  </si>
  <si>
    <t>Оказание услуг по проведению экспертизы проектов</t>
  </si>
  <si>
    <t>нераспр.остаток</t>
  </si>
  <si>
    <t xml:space="preserve">Содержание автомобильных дорог местного значения и внутриквартальных проездов </t>
  </si>
  <si>
    <t>Площадь содержания автомобильных дорог местного значения и внутриквартальных проездов</t>
  </si>
  <si>
    <t>Содержание автомобильных дорог местного значения и внутриквартальных проездов</t>
  </si>
  <si>
    <t>Строительный контроль и авторский надзор на объекте: "Строительство магистральной улицы общегородского значения регулируемого движения ул. Офицерской"</t>
  </si>
  <si>
    <t>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</si>
  <si>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</si>
  <si>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Строительный контроль на объектах капитального строительства</t>
  </si>
  <si>
    <t>г.о.Тольятти, ул. Революционная ООТ"Сатурн" и ООТ "1000 мелочей"</t>
  </si>
  <si>
    <t>г.о. Тольятти, ул. Революционная ООТ "Универсам"</t>
  </si>
  <si>
    <t>г.о.Тольятти, ул. Революционная пересечение с Ленинским проспектом</t>
  </si>
  <si>
    <t xml:space="preserve">г.о. Тольятти, Ленинский проспект, д. №54Б/3 по ул.Революционная </t>
  </si>
  <si>
    <t>г.о.Тольятти ул. Кудашева, начало населенного пункта</t>
  </si>
  <si>
    <t>г.о.Тольятти, ул.Васильевская в районе перекрестка с Обводным шоссе, начало населенного пункта</t>
  </si>
  <si>
    <t>г.о. Тольятти, ж/д переезд ул. Вокзальная, д.№101</t>
  </si>
  <si>
    <t>г.о. Тольятти, ж/д переезд ул. Железнодорожная,д.№ 34 и д.34 ст.1 (два переезда)</t>
  </si>
  <si>
    <t>г.о. Тольятти, ж/д переезд, ул. Железнодорожная, д.№ 42</t>
  </si>
  <si>
    <t>г.о. Тольятти, ж/д переезд ул. Индустриальная, пикет 0-500 (2,5 переезда)</t>
  </si>
  <si>
    <t>г.о. Тольятти, ж/д переезд ул. Индустриальная, пикет 500- 1000 (1,5 переезда)</t>
  </si>
  <si>
    <t>г.о. Тольятти, ж/д переезд ул. Индустриальная, пикет 1000-1500</t>
  </si>
  <si>
    <t>г.о. Тольятти, ж/д переезд проезд перед ул. Калмыцкой (два переезда)</t>
  </si>
  <si>
    <t>г.о. Тольятти, ж/д переезд ул. Калмыцкая между ул. Новозаводской и ул. Васильевской</t>
  </si>
  <si>
    <t>г.о. Тольятти, ж/д переезд ул. Коммунистическая, д. № 102 "а" (два переезда)</t>
  </si>
  <si>
    <t>г.о. Тольятти, ж/д переезд ул. Ларина, д.№ 148</t>
  </si>
  <si>
    <t>г.о. Тольятти, ж/д переезд ул. Ларина, д.№ 151</t>
  </si>
  <si>
    <t>г.о. Тольятти, ж/д переезд ул. Ларина, д.№ 169</t>
  </si>
  <si>
    <t>г.о. Тольятти, ж/д переезд ул. Коммунистическая, д.№ 115</t>
  </si>
  <si>
    <t>г.о. Тольятти, ж/д переезд ул. Никонова, д. № 43</t>
  </si>
  <si>
    <t>г.о. Тольятти, ж/д переезд ул. Окраинная, д.№ 85 по ул. Северной</t>
  </si>
  <si>
    <t>г.о. Тольятти, ж/д переезд ул. Окраинная, д. № 100 по ул. Вокзальной</t>
  </si>
  <si>
    <t>г.о. Тольятти, ж/д переезд Поволжское шоссе, д.№ 34</t>
  </si>
  <si>
    <t>г.о. Тольятти, ж/д переезд ул. Подгорная, д.№ 25 (перегон канал-Пискалы)</t>
  </si>
  <si>
    <t>г.о. Тольятти, ж/д переезд Хрящевское шоссе, д. № 13</t>
  </si>
  <si>
    <t>г.о. Тольятти, ул.40 лет Победы ООТ "ЖК "Лесной""</t>
  </si>
  <si>
    <t>г.о. Тольятти, ул.40 лет Победы, ООТ "14 "а" квартал"</t>
  </si>
  <si>
    <t>г.о. Тольятти, ул.40 лет Победы  ООТ "Медучилище"</t>
  </si>
  <si>
    <t>г.о. Тольятти, ул.40 лет Победы ООТ "Школа №86"</t>
  </si>
  <si>
    <t>г.о. Тольятти, ул.Гидротехническая - ул.Макарова перекресток</t>
  </si>
  <si>
    <t>г.о. Тольятти, ул.Дзержинского ООТ "Бульвар Кулибина"</t>
  </si>
  <si>
    <t>г.о. Тольятти, ул. Ингельберга,  д.№ 52 Школа №15</t>
  </si>
  <si>
    <t>г.о. Тольятти, Комзина-Комсомольское шоссе перекресток</t>
  </si>
  <si>
    <t>г.о. Тольятти, ул.Матросова,  д. №134 ООТ "МТЦ"</t>
  </si>
  <si>
    <t>г.о. Тольятти, Обводная дорога пос.Приморский</t>
  </si>
  <si>
    <t>г.о. Тольятти, Поволжское шоссе, ул.Раздольная, ( подземный газопровод)</t>
  </si>
  <si>
    <t>г.о. Тольятти, ул. Украинская от бульвара 50 лет Октября до ул. Шлютова</t>
  </si>
  <si>
    <t>г.о. Тольятти, ул.Фрунзе, д. №22, д.№47 перекресток с Московским проспектом</t>
  </si>
  <si>
    <t>г.о. Тольятти, ул.40 лет Победы,  д. №15 по Южному шоссе</t>
  </si>
  <si>
    <t>г.о. Тольятти, Победы-Шлютова перекресток</t>
  </si>
  <si>
    <t>г.о.Тольятти ул. Кудашева</t>
  </si>
  <si>
    <t>г.о. Тольятти, ул.40 лет Победы, д. № 26</t>
  </si>
  <si>
    <t>г.о. Тольятти, ул.Автостроителей, д.№ 9</t>
  </si>
  <si>
    <t>г.о. Тольятти, ул.Автостроителей, д. №17, 38 ООТ "Школа №82"</t>
  </si>
  <si>
    <t>г.о. Тольятти, ул.Баныкина ООТ "72-й квартал"</t>
  </si>
  <si>
    <t>г.о. Тольятти, ул.Баныкина ООТ "Магазин "Юность""</t>
  </si>
  <si>
    <t>г.о. Тольятти, ул.Баныкина ООТ  "Спецавтохозяйство"</t>
  </si>
  <si>
    <t>г.о. Тольятти, ул.Баныкина ООТ "Школа №1"</t>
  </si>
  <si>
    <t>г.о. Тольятти, ул.Голосова,д.№ 105 "а"  ООТ "АТС-26"</t>
  </si>
  <si>
    <t>г.о. Тольятти, ул.Коммунальная, д. №23 ООТ "Военный госпиталь"</t>
  </si>
  <si>
    <t>г.о. Тольятти, ул.Коммунальная, д. №33 ООТ "Пивзавод"</t>
  </si>
  <si>
    <t>г.о. Тольятти, ул.Комсомольская ООТ "Информцентр"</t>
  </si>
  <si>
    <t>г.о. Тольятти, Ленинский проспект перед примыканием к Московскому  проспекту, д. 33 по Московскому проспекту</t>
  </si>
  <si>
    <t>г.о. Тольятти, ул.Базовая, д. №7</t>
  </si>
  <si>
    <t>г.о. Тольятти, Ленинский проспект, д. №40, д.№31</t>
  </si>
  <si>
    <t>г.о. Тольятти, бульвар Луначарского, д. №1, №3</t>
  </si>
  <si>
    <t>г.о. Тольятти, бульвар Луначарского,  д. №21</t>
  </si>
  <si>
    <t>г.о. Тольятти, бульвар Луначарского,  д. №15, д.№17</t>
  </si>
  <si>
    <t>г.о. Тольятти, ул. Маршала Жукова, д. № 56  ООТ "Прилесье"</t>
  </si>
  <si>
    <t>г.о. Тольятти, Приморский бульвар,  д.5</t>
  </si>
  <si>
    <t>г.о. Тольятти, проспект Ст. Разина, д.№ 80</t>
  </si>
  <si>
    <t>г.о. Тольятти, ул. Транспортная - Аптечный проезд перекресток</t>
  </si>
  <si>
    <t>г.о. Тольятти, ул.Шлюзовая, д. №14, д.№35</t>
  </si>
  <si>
    <t xml:space="preserve">г.о. Тольятти, Южное шоссе ООТ  "АвтоВАЗ-ТО" </t>
  </si>
  <si>
    <t>план на 2023:</t>
  </si>
  <si>
    <t>в районе ООТ "Аптека" по ул. Революционная</t>
  </si>
  <si>
    <t>в районе ООТ "Универсам" по ул. Революционная</t>
  </si>
  <si>
    <t>б-р Здоровья</t>
  </si>
  <si>
    <t>Устройство искусственных дорожных неровностей на Яблоневом проезде (от ул. Кирова до ул. Добролюбова)</t>
  </si>
  <si>
    <t>Устройство искусственных дорожных неровностей в районе досугового центра "Русич по ул. Никонова" (Устройство искусственных дорожных неровностей).</t>
  </si>
  <si>
    <t>Устройство искусственных дорожных неровностей на проезде вдоль территории СОШ №61 (ул.Свердлова,23), д/с №115 "Салют" (ул. Свердлова, 27)</t>
  </si>
  <si>
    <t>Устройство искусственных дорожных неровностей по б-ру Орджоникидзе до дома №20 по пр-ту Ст. Разина</t>
  </si>
  <si>
    <t>Устройство искусственных дорожных неровностей по ул. Патрульная</t>
  </si>
  <si>
    <t>Устройство искусственных дорожных неровностей на внутриквартальном проезде от ул. Баныкина до ул. Мира вдоль территории д/с №49 "Веселые нотки"</t>
  </si>
  <si>
    <t>Устройство искусственных дорожных неровностей по внутриквартальному проезду от пр. Ст. Разина до ул. Юбилейная в районе ОЦ "Школа", "Школа №73", "Школа №76"</t>
  </si>
  <si>
    <t>Устройство искусственных дорожных неровностей в районе дома №102 на ул. Ставропольская (д/с №100 "Островок").</t>
  </si>
  <si>
    <t xml:space="preserve">Диагностика надземных пешеходных переходов (мостов,путепроводов) (путепровод через а/д на пересечении ул. Громовой – Поволжское шоссе г.о. Тольятти; путепровод через а/д на пересечении ул. Революционная – Ленинский проспект г.о. Тольятти)
</t>
  </si>
  <si>
    <t>Устройство искусственных дорожных неровностей в районе МБУ "Школа № 89" (ул.Дзержинского д. №39)</t>
  </si>
  <si>
    <t>Проектно-изыскательские работы по объекту "Реконструкция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Приморский" (1 этап)</t>
  </si>
  <si>
    <t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</t>
  </si>
  <si>
    <t xml:space="preserve"> 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</t>
  </si>
  <si>
    <t>Количество отремонтированных путем капитального ремонта и ремонта надземных и подземных пешеходных переходов</t>
  </si>
  <si>
    <t>Количество разработанной документации по строительному контролю при капитальном ремонте</t>
  </si>
  <si>
    <t>Ремонт автомобильных дорог местного значения</t>
  </si>
  <si>
    <t>Осуществление строительного контроля на объекте: 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</si>
  <si>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Подземный пешеходный переход: подземный переход через автомобильную дорогу по адресу: Самарская область, г. Тольятти, ул. Свердлова, в районе дома № 80 (капитальный ремонт)</t>
  </si>
  <si>
    <t>Устройство разворотной площадки из асфальтогранулята в мкр.Северный</t>
  </si>
  <si>
    <t>Осуществление технологического присоединения к электрическим сетям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</si>
  <si>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 xml:space="preserve">ООТ "14 квартал" </t>
  </si>
  <si>
    <t>ООТ "ВЦМ"</t>
  </si>
  <si>
    <t>ООТ "МТЦ"</t>
  </si>
  <si>
    <t>вдоль ул. Пескалинская на участке от ул. Удалецкая до ул. Весенняя</t>
  </si>
  <si>
    <t>ООТ "Дилижанс"</t>
  </si>
  <si>
    <t>ПБДД</t>
  </si>
  <si>
    <t>МРАД</t>
  </si>
  <si>
    <t>СУДС</t>
  </si>
  <si>
    <t>РГПТ</t>
  </si>
  <si>
    <t>Количество разработанной документации по технологическому присоединению к электрическим сетям объектов капитального ремонта автомобильных дорог общего пользования местного значения городского округа Тольятти</t>
  </si>
  <si>
    <t>Предоставление субсидии на возмещение недополученных доходов и  финансовое обеспечение (возмещение) затрат в связи с выполнением работ по перевозке отдельных категорий граждан по социальной карте жителя Самарской области в связи с сокращением пассажиропотока в условиях угрозы распространения новой коронавирусной инфекции (COVID-19)</t>
  </si>
  <si>
    <t>Предоставление субсидий исполнителям, выполняющим работы по перевозке пассажиров и багажа транспортом общего пользования</t>
  </si>
  <si>
    <t>Экспертиза работ, выполняемых по объекту: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</si>
  <si>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ул. 40 лет Победы, ООТ "Школа №70"</t>
  </si>
  <si>
    <t>ул. Громовой, ООТ "УТЭП"</t>
  </si>
  <si>
    <t>ул. Фрунзе, ООТ "11 квартал"</t>
  </si>
  <si>
    <t>ул. Вокзальная, ООТ "Кузнечно-прессовый цех</t>
  </si>
  <si>
    <t>ул. Железнодорожная, ООТ "Поликлиника"</t>
  </si>
  <si>
    <t>г.о. Тольятти, ул. Революционная ООТ "Ателье мод"</t>
  </si>
  <si>
    <t>Количество разработанной документации по строительному контролю и авторскому надзору по реконструкции объектов дорожного хозяйства</t>
  </si>
  <si>
    <t>Оказание услуг по проведению проверки сметной стоимости</t>
  </si>
  <si>
    <t>Количество заключений о достоверности определения сметной стоимости</t>
  </si>
  <si>
    <t>Количество разработанной документации по строительному контролю и авторскому надзору по строительству объектов дорожного хозяйства</t>
  </si>
  <si>
    <t>Доля отечественного оборудования (товаров, работ, услуг) в общем объеме закупок</t>
  </si>
  <si>
    <t>Ремонт автомобильной дороги по боковому проезду ул. Маршала Жукова от дома №1 до дома №35 по ул.Маршала Жукова</t>
  </si>
  <si>
    <t>Ремонт автомобильной дороги по ул. Тополиная (от  ул. 70 лет Октября до ул.40 лет Победы)</t>
  </si>
  <si>
    <t>Проектно-изыскательские работы на строительство улицы Ивана Красюка в жилой застройке микрорайона Жигулевское море от ул. Казачьей до пересечения ул. Молодецкая и проезда Оренбургский</t>
  </si>
  <si>
    <t>Проектно-изыскательские работы на строительство улицы Казачья в жилой застройке микрорайона Жигулевское море от ул. Ивана Красюка до ул. Бориса Коваленко</t>
  </si>
  <si>
    <t>Устройство искусственных дорожных неровностей на ул. Советская, 53 д/с "Жар-Птица"</t>
  </si>
  <si>
    <t>Устройство искусственных дорожных неровностей по ул. Фрунзе в районе ООТ "Маршала Жукова"</t>
  </si>
  <si>
    <t>Устройство пешеходной дорожки к пешеходному переходу на Приморском бульваре (на пересечении с ул. Революционной от сквера 50-летия АВТОВАЗа)</t>
  </si>
  <si>
    <t xml:space="preserve">Замена опор и установка подсветки, дублирующей сигналы светофоров на ул. 40 лет Победы, д.80 </t>
  </si>
  <si>
    <t>Установка светофоров Т7, сокращение заездного кармана, устройство тротуара на ул. Мира, д.170</t>
  </si>
  <si>
    <t>Устройство светофорного объекта с применением подсветки, дублирующий сигнал светофоров на ул. Голосова, д. 30А</t>
  </si>
  <si>
    <t>Устройство светофорного объекта, установка дорожных знаков и устройство пешеходной дорожки на Южном шоссе в районе дома №36 ООТ "1-я вставка"</t>
  </si>
  <si>
    <t>Устройство светофорного объекта, установка дорожных знаков, установка пешеходных ограждений на Южном шоссе в районе ООТ "Машиностроительный колледж"</t>
  </si>
  <si>
    <t>Установка светофора Т7,  установка пешеходных ограждений на ул. Мира в районе домов № 96, 96 А,100 Б, ООТ "Дом природы"</t>
  </si>
  <si>
    <t>Устройство светофоров Т7, устройство пешеходного перехода, устройство ИДН, устройство пешеходной дорожки, установка дорожных знаков, установка пешеходных ограждений на б-ре Королева, д. № 12</t>
  </si>
  <si>
    <t xml:space="preserve">Установка секций транспортных светофоров,  установка дорожных знаков перед
пересечением проезжих частей, по ул. Ларина и по ул. Новозаводской </t>
  </si>
  <si>
    <t>Осуществление технологического присоединения энергопринимающих устройств к электрическим сетям, в т.ч.:</t>
  </si>
  <si>
    <t>ул. Северная (на участке от ул. Борковская до дома № 105 по ул. Северная)</t>
  </si>
  <si>
    <t>Осуществление технологического присоединения энергопринимающих устройств к электрическим сетям</t>
  </si>
  <si>
    <t>ООТ "АвтоВАЗагро" по ул.Ботаническая</t>
  </si>
  <si>
    <t>Устройство линий наружного электроосвещения мест концентрации ДТП, в т.ч.:</t>
  </si>
  <si>
    <t>ул. Октябрьская от ул. Комсомольская до здания 55 по ул. Октябрьская</t>
  </si>
  <si>
    <t>ул. Громовой, от ул. Матросова до ул.Куйбышева, северо-западнее объекта недвижимости, имеющего адрес: ул. Громовой, 92</t>
  </si>
  <si>
    <t>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 (I этап)</t>
  </si>
  <si>
    <t>Департамент дорожного хозяйства и транспорта администрации городского округа Тольятти, департамент градостроительной деятельности администрации городского округа Тольятти</t>
  </si>
  <si>
    <t>Уровень исполнения обязательств по лизингу (с нарастающим итогом)</t>
  </si>
  <si>
    <t>5,54 / -</t>
  </si>
  <si>
    <t>в том числе в рамках реализации национального проекта "Безопасные качественные дороги"</t>
  </si>
  <si>
    <t>устройство тротуара к поликлинике на 500 посещений в смену</t>
  </si>
  <si>
    <t>Приобретение диагностической дорожной лаборатории</t>
  </si>
  <si>
    <t>2021-2022</t>
  </si>
  <si>
    <t>2021-2024</t>
  </si>
  <si>
    <t>Проектно-изыскательские работы по капитальному ремонту автомобильной дороги к ОАО "Жито" от ул. Коммунистической</t>
  </si>
  <si>
    <t>Ремонт проезда Тупиковый, 2, строение, 3 до ул. Новозаводская</t>
  </si>
  <si>
    <t>Проектно-изыскательские работы на создание и эксплуатацию объекта: «Пункт автоматического весогабаритного контроля в г.Тольятти»</t>
  </si>
  <si>
    <t>Капитальный ремонт путепровода через автодорогу Восточная завода – часть улицы Борковской</t>
  </si>
  <si>
    <t>Проектно-изыскательские работы по строительству улично-дорожной сети в мкр. "Тимофеевка-2" (1 этап)</t>
  </si>
  <si>
    <t>Проектно-изыскательские работы по строительству улично-дорожной сети в мкр. Новоматюшкино (1 этап)</t>
  </si>
  <si>
    <t>б-р Буденного;</t>
  </si>
  <si>
    <t>ул. Калмыцкая</t>
  </si>
  <si>
    <t>Хрящёвское шоссе на участке от Южного шоссе до Обводного шоссе;</t>
  </si>
  <si>
    <t>план на 2024:</t>
  </si>
  <si>
    <t>ООТ по ул. Лесная на участке от бульвара 50 лет Октября до ул. Комсомольской</t>
  </si>
  <si>
    <t>ООТ по ул. Льва Толстого</t>
  </si>
  <si>
    <t>ООТ по Ленинскому проспету на участке от ул. Революционной до Московского проспекта</t>
  </si>
  <si>
    <t>ООТ по ул. Телеграфная</t>
  </si>
  <si>
    <t>ООТ по ул. Нижегородская</t>
  </si>
  <si>
    <t>ООТ "Административный центр" по ул. Фрунзе</t>
  </si>
  <si>
    <t>ООТ "Медсанчасть №8" по ул. Лизы Чайкиной</t>
  </si>
  <si>
    <t>ООТ "Управление кадров ВАЗа по Южному шоссе"</t>
  </si>
  <si>
    <t>ООТ "ГАИ Комсомольского района" по ул. Коммунистическая</t>
  </si>
  <si>
    <t>ООТ "Детский городок"</t>
  </si>
  <si>
    <t>ООТ "Грузовое автохозяйство"</t>
  </si>
  <si>
    <t>ООТ "Гидротехническая" по ул. Гидротехническая</t>
  </si>
  <si>
    <t>ООТ "Русь" по ул.Революционная.</t>
  </si>
  <si>
    <t>ООТ "Учебный центр" по ул. Воскресенской</t>
  </si>
  <si>
    <t>ООТ "Стоматологическая поликлиника" по ул. Свердлова</t>
  </si>
  <si>
    <t>ООТ "Вега" по ул. Спортивной</t>
  </si>
  <si>
    <t>ООТ "Дворец спорта Волгарь" по Приморскому бульвару</t>
  </si>
  <si>
    <t>ООТ "Магазин "Восход" по ул. Свердлова</t>
  </si>
  <si>
    <t>ООТ "По требованию" на ул. Новозаводская между ООТ "КуйбышевАзот" и ООТ "Химэнергострой"</t>
  </si>
  <si>
    <t>ООТ "По требованию" по ул. Ушакова</t>
  </si>
  <si>
    <t>ООТ "3-я проходная СК" на ул. Ларина</t>
  </si>
  <si>
    <t>ООТ " ул.Железнодорожная" по проезду Дорофеева</t>
  </si>
  <si>
    <t>ООТ в районе ТД "Жигулевское море" (ул. Куйбышева, 18а)</t>
  </si>
  <si>
    <t>ООТ "ХимЭнергоСтрой" в районе дома №6 по ул. Новозаводская.</t>
  </si>
  <si>
    <t>"Туб. Диспансер" по ул. Телеграфная,34</t>
  </si>
  <si>
    <t>ул. Макарова, в районе дома №22)</t>
  </si>
  <si>
    <t>ул. Жилина (сторона Тольяттинской городской клинической больницы им. В.В. Баныкина)</t>
  </si>
  <si>
    <t>ул. Советской (сторона Тольяттинской городской клинической больницы им. В.В. Баныкина)</t>
  </si>
  <si>
    <t>в районе спортивного комплекса "СТАРТ" (ул. Республиканская,1)</t>
  </si>
  <si>
    <t>Ликвидация выезда от ГСК на ул. Дзержинского</t>
  </si>
  <si>
    <t>Проектирование устройства парковочных площадок (карманов и стоянок), в т.ч.:</t>
  </si>
  <si>
    <t>Устройство островка безопасности в районе пересечения ул. Коммунальной и ул. Полякова</t>
  </si>
  <si>
    <t>Ликвидация въездов и парковочных карманов в районе домов 74,76 по ул. Дзержинского</t>
  </si>
  <si>
    <t>ул. Калинина</t>
  </si>
  <si>
    <t>нечетная сторона ул. Первомайской</t>
  </si>
  <si>
    <t>ул. Горького на участке от ул. Карла Маркса до ул. Лесной</t>
  </si>
  <si>
    <t>пешеходная дорожка из плит ПБ вдоль ул. Садовая</t>
  </si>
  <si>
    <t>с четной и нечетной стороны по ул. Ботаническая</t>
  </si>
  <si>
    <t>вдоль улицы Льва Толстого от ул. Герцена до ул. Ленина (с обеих сторон)</t>
  </si>
  <si>
    <t>вдоль ул. Фёдоровские луга</t>
  </si>
  <si>
    <t>ООТ "Лыжная база" по М. Жукова</t>
  </si>
  <si>
    <t>ул.Матросова в районе дома №26 (д/с №69 "Веточка")</t>
  </si>
  <si>
    <t>внутрикварталькый проезд по ул.Комсомольская 165</t>
  </si>
  <si>
    <t>ул.Голосова д.57, д.59, д.61</t>
  </si>
  <si>
    <t>ул.Л.Чайкиной, д.69 и д.71</t>
  </si>
  <si>
    <t>в районе дома №66 по ул.Ларина (Центр технического творчества)</t>
  </si>
  <si>
    <t>по проезду Почтовый, в районе нома №95 по ул.Ленина (Д/с №41 "Огонек").</t>
  </si>
  <si>
    <t>в районе дома №84 по ул.Мурысева (Педколледж)</t>
  </si>
  <si>
    <t>в районе дома №10 и №14 по бульвару Татищева</t>
  </si>
  <si>
    <t>по ул.40 лет Победы №106, ул.Ворошилова №61</t>
  </si>
  <si>
    <t>ул. Ингельберга, 52 в районе СШ № 15</t>
  </si>
  <si>
    <t>ул. Карла Маркса, 59 в районе Лицей № 19</t>
  </si>
  <si>
    <t>ул. Ленина, 108 в районе СОШ № 24</t>
  </si>
  <si>
    <t>ул. Олимпийская, 24 (по ул. Сиреневая) в районе СШ № 25</t>
  </si>
  <si>
    <t>ул. Комсомольская, 141 в районе д/с "Яблонька"</t>
  </si>
  <si>
    <t>б-р Туполева, 12 в районе СОШ № 47</t>
  </si>
  <si>
    <t>б-р Кулибина, 17 в районе Гимназия № 35</t>
  </si>
  <si>
    <t>ул. Баныкина, 12 в районе СОШ № 26</t>
  </si>
  <si>
    <t>ул. Советская, 53 в районе д/с "Жар-Птица"</t>
  </si>
  <si>
    <t>ул. Октябрьская, 57 в районе Школа № 4 (корпус)</t>
  </si>
  <si>
    <t>Комосомольское шоссе, 1 в районе с/ш № 16</t>
  </si>
  <si>
    <t>ул. Мурысева, 89а в районе С/Ш № 18</t>
  </si>
  <si>
    <t>ул. Шлюзовая, 8 в районе Школа интернат № 1</t>
  </si>
  <si>
    <t>ул. Первомайская (в районе домов 21, 23 по б-ру 50 лет Октября) в районе СОШ № 21, д/с № 90 "Золотое зернышко", д/с № 27 "Лесовичек"</t>
  </si>
  <si>
    <t>ул. Ставропольская, 19 в районе СОШ № 23</t>
  </si>
  <si>
    <t>ул. Матросова, 33, 37 в районе Техникум, колледж</t>
  </si>
  <si>
    <t>проезд от Ст. разина до ул. Ворошилова (9 кв) в районе д/с № 22 "Лучик"</t>
  </si>
  <si>
    <t>Ленинский пр-т 42, 35 в районе МБУ Школа № 40 и МБОУ "Элегия"</t>
  </si>
  <si>
    <t>ул. Юбилейная, 81 в районе МБУ Школа № 73</t>
  </si>
  <si>
    <t>Цветной б-р, 13 МБУ Школа № 82</t>
  </si>
  <si>
    <t>ул. Дзержинского, 1, ул. 40 лет Победы, 74 в районе МБУ Д/С № 200 "Волшебный башмачок", Д/С № 193 "Земляничка", СОШ № 70, Д/С № 187 "Солнышко"</t>
  </si>
  <si>
    <t>ул. Чуковского, 3 в районе МБУ Д/С № 20 "Снежок"</t>
  </si>
  <si>
    <t>ул. Баныкина, 38 в районе МБУ ДМО "Шанс"</t>
  </si>
  <si>
    <t>Количество разработанной проектно-сметной документации по капитальному ремонту путепроводов</t>
  </si>
  <si>
    <t>Проектно-изыскательские работы по капитальному ремонту путепроводов, подземных пешеходных переходов и мостов</t>
  </si>
  <si>
    <t>Количество разработанной проектно-сметной документации по капитальному ремонту подземных пешеходных переходов</t>
  </si>
  <si>
    <t>ул.Коммунистическая от д.№9 до д.17 по ул.Куйбышева</t>
  </si>
  <si>
    <t>ул.Заставная от Южного шоссе до ул.Дзержинского</t>
  </si>
  <si>
    <t>ул.Ларина от ул.Новозаводская до ул.Васильевская</t>
  </si>
  <si>
    <t>Тупиковый проезд от объекта, имеющего адрес: проезд Тупиковый, 2 строение 3, до улицы Новозаводской, юго-восточнее объекта, имеющего адрес: проезд Тупиковый, 2, строение 3</t>
  </si>
  <si>
    <t xml:space="preserve">Количество разработанной проектно-сметной документации по устройству линии наружного освещения </t>
  </si>
  <si>
    <t>Протяженность автомобильных дорог, на которых выполнена диагностика и оценка транспортно-эксплуатационного состояния дорог</t>
  </si>
  <si>
    <t>переход в районе ООТ «Парк Хаус»;</t>
  </si>
  <si>
    <t>ИТОГО ПО ПОДПРОГРАММЕ "МРАД"                                                   с учетом оплаты ранее принятых обязательств</t>
  </si>
  <si>
    <t>ИТОГО ПО ПОДПРОГРАММЕ "МРАД"                                                   без учета оплаты ранее принятых обязательств</t>
  </si>
  <si>
    <t>оплата ранее принятых обязательств</t>
  </si>
  <si>
    <t>ИТОГО ПО МУНИЦИПАЛЬНОЙ ПРОГРАММЕ                                                   без учета оплаты ранее принятых обязательств</t>
  </si>
  <si>
    <t>ИТОГО ПО МУНИЦИПАЛЬНОЙ ПРОГРАММЕ                                                   с учетом оплаты ранее принятых обязательств</t>
  </si>
  <si>
    <t>Оплата ранее принятых обязательств</t>
  </si>
  <si>
    <t>ул. Цеховая от ул.Вокзальной до ул.Северной</t>
  </si>
  <si>
    <t>ул.Цеховая от Южного шоссе до ул.Вокзальной</t>
  </si>
  <si>
    <t>Количество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</si>
  <si>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ул.Грачева от д.30 по ул.Грачева до д.46 по ул.Грачева</t>
  </si>
  <si>
    <t>Количество приобретенных передвижных специализированных дорожных лабораторий</t>
  </si>
  <si>
    <t>Количество устроенных островков безопасности, пандусов и замененных остановок общественного транспорта</t>
  </si>
  <si>
    <t>Количество перевезенных пассажиров льготной категории граждан за которых выплачена субсидия перевозчикам  в условиях угрозы распространения новой коронавирусной инфекции</t>
  </si>
  <si>
    <t>Количество разработанной проектной документации по устройству пункта автоматического весогабаритного контроля</t>
  </si>
  <si>
    <t>Протяженность дорог, находящихся в нормативном состоянии,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</si>
  <si>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построенных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</si>
  <si>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реконструированных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</si>
  <si>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Доля отремонтированных за счет капитального ремонта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</si>
  <si>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</t>
  </si>
  <si>
    <t>2022, 2025</t>
  </si>
  <si>
    <t>ул. Революционная от Ленинского пр-та до Приморского бульвара</t>
  </si>
  <si>
    <t>Лесопарковое шоссе, от пр-та Степана Разина до ул. Комзина, западнее здания, имеющего адрес: Комзина, 12</t>
  </si>
  <si>
    <t>Доля объектов, на которых предусматривается использование новых наилучших технологий, включенных в Реестр наилучших технологий</t>
  </si>
  <si>
    <t>270,51 / 247,61</t>
  </si>
  <si>
    <t xml:space="preserve">Техническое присоединение к централизованной системе водоотведения объекта: "Строительство магистральной улицы общегородского значения регулируемого движения ул. Офицерской" </t>
  </si>
  <si>
    <t xml:space="preserve">Осуществление строительного контроля на объекте: Строительство магистральной улицы общегородского значения регулируемого движения в продолжение ул. Фермерской до Южного шоссе </t>
  </si>
  <si>
    <t xml:space="preserve">план на 2021-2022: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</si>
  <si>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</si>
  <si>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2
к муниципальной программе
"Развитие транспортной системы
и дорожного хозяйства
городского округа Тольятти
на 2021 - 2025 гг."
</t>
  </si>
  <si>
    <t>Выполнение работ по ремонту съездов с Поволжского шоссе на Обводное шоссе</t>
  </si>
  <si>
    <t>Проектно-изыскательские работы по устройству линий наружного электроосвещения, в т.ч:</t>
  </si>
  <si>
    <t xml:space="preserve">Проектирование устройства пешеходных дорожек, в т.ч. экспертиза проектов, в т.ч: </t>
  </si>
  <si>
    <t>Количество разработанной документации по строительному контролю при капитальном ремонте надземных и подземных пешеходных переходов</t>
  </si>
  <si>
    <t>ул. Фрунзе, в районе домов №№ 26,47 (перекресток улицы Фрунзе и Московского проспекта)</t>
  </si>
  <si>
    <t>Осуществление технологического присоединения к электрическим сетям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</si>
  <si>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Проектирование установки РМП на пересечении Московского пр-та и ул. Дзержинского</t>
  </si>
  <si>
    <t>Выполнение работ по обеспечению безопасности участников дорожного движения</t>
  </si>
  <si>
    <t>По устройству бортового камня для изменения геометрии выезда в районе дома № 12  по ул. Автостроителей</t>
  </si>
  <si>
    <t>Выполнение работ по обеспечению безопасности участников дорожного движения, в т.ч.:</t>
  </si>
  <si>
    <t>По устройству бортового камня для изменения геометрии выезда в районе дома № 58 по ул. Баныкина</t>
  </si>
  <si>
    <t>По устройству бортового камня для изменения геометрии выезда в районе дома №7 по ул. Ботанической</t>
  </si>
  <si>
    <t>По установке дорожных удерживающих боковых ограждении по внутреннему радиусу на Комсомольском шоссе в районе опор №145,146,149 и 150</t>
  </si>
  <si>
    <t>По устройству тротуара перекресток ул. Ленина и ул. М. Горького</t>
  </si>
  <si>
    <t>По устройству бортового камня для изменения геометрии разделительной полосы на пересечении ул. Победы и ул. Комсомольской</t>
  </si>
  <si>
    <t>По устройству бортового камня для изменения геометрии разворота на ул. Фрунзе в районе дома №35</t>
  </si>
  <si>
    <t>По устройству поперечных шумовых полос по ул. Шлютова  перекресток с улицей Украинской</t>
  </si>
  <si>
    <t>По установке щитов "Аварийно-опасный участок" по адресу Южное шоссе пересечение с Хрящевским и Автозаводским шоссе</t>
  </si>
  <si>
    <t>г.о. Тольятти, ул. Революционная от Ленинского проспекта до ул. Дзержинского</t>
  </si>
  <si>
    <t>Количество разработанной документации по технологическому присоединению к электрическим сетям объектов реконструкции автомобильных дорог общего пользования местного значения городского округа Тольятти</t>
  </si>
  <si>
    <t>ул. Ларина (на участке от Автозаводское шоссе до ул. Тимирязева)</t>
  </si>
  <si>
    <t>план на 2025:</t>
  </si>
  <si>
    <t>Количество объектов по обеспечению безопасности участников дорожного движения</t>
  </si>
  <si>
    <t>Выполнение работ по устройству технических средств организации дорожного движения</t>
  </si>
  <si>
    <t>Выполнение работ по устройству технических средств организации дорожного движения, в т.ч.:</t>
  </si>
  <si>
    <t>По установке повторителей сигналов светофоров в районе дома № 12  по ул. Автостроителей</t>
  </si>
  <si>
    <t>По установке повторителей сигналов, устройство технических средств организации дорожного движения в районе дома № 58 по ул. Баныкина</t>
  </si>
  <si>
    <t>По устройству светофорного регулирования в районе дома №7 по ул. Ботанической</t>
  </si>
  <si>
    <t>По устройству светофорного объекта на Московском проспекте на пересечении с ул. Дзержинского</t>
  </si>
  <si>
    <t>По устройству светофорного объекта перекресток ул. Ленина и ул. М. Горького</t>
  </si>
  <si>
    <t>По установке повторителей сигналов на консольные опоры перекресток улиц Мира и Голосова</t>
  </si>
  <si>
    <t>По устройству светофорного объекта на пересечении ул. Победы и ул. Комсомольской</t>
  </si>
  <si>
    <t>По установке повторителей сигнала светофора на пересечении ул. Фрунзе и ул. Революционной</t>
  </si>
  <si>
    <t>По устройству светофорного объекта на перекрестке ул. Северной и ул. Борковской</t>
  </si>
  <si>
    <t>По устройству светофорного объекта по адресу Южное шоссе пересечение с Хрящевским и Автозаводским шоссе</t>
  </si>
  <si>
    <t>По устройству транспортного светофора на перекрестке Южное шоссе - ул. 40 лет Победы</t>
  </si>
  <si>
    <t>Количество отремонтированных путем капитального ремонта и ремонта путепроводов</t>
  </si>
  <si>
    <t>Автодорога по ул. Калинина (от ул. Шлютова до пр. Чернышевского)</t>
  </si>
  <si>
    <t>Автодорога по ул. Пугачевская от ул. Шлютова до б-ра 50 лет Октября</t>
  </si>
  <si>
    <t xml:space="preserve">Автодорога по переулку 1-й Горный </t>
  </si>
  <si>
    <t xml:space="preserve">Автодорога по переулку 2-й Горный </t>
  </si>
  <si>
    <t xml:space="preserve">Автодорога по переулку 3-й Горный </t>
  </si>
  <si>
    <t xml:space="preserve">Автодорога по переулку 4-й Горный </t>
  </si>
  <si>
    <t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 и ремонта дворовых территорий</t>
  </si>
  <si>
    <t>ул.Дзержинского от световой опоры №84(89) до пр-та Степана Разина</t>
  </si>
  <si>
    <t>ул.Ботаническая от Южного шоссе до ул.Дзержинского</t>
  </si>
  <si>
    <t>ул.Борковская от Южного шоссе до ул.Дзержинского</t>
  </si>
  <si>
    <t>Ремонт автодороги от ул. Спортивная до Набережной Автозаводского района</t>
  </si>
  <si>
    <t xml:space="preserve">Подпрограмма "Содержание улично-дорожной сети на 2021-2025 гг."                      </t>
  </si>
  <si>
    <t>Подпрограмма "Содержание улично-дорожной сети на 2021 - 2025 гг."</t>
  </si>
  <si>
    <t>Количество представленных актов об осуществлении технологического присоединения энергопринимающих устройств к электрическим сетям</t>
  </si>
  <si>
    <t>Количество представленных экспертных заключений на соответствие выполненных работ условиям муниципальных контрактов</t>
  </si>
  <si>
    <t>Количество разработанной проектно-сметной документации на устройство пешеходных дорожек</t>
  </si>
  <si>
    <t>Количество разработанной проектно-сметной документации на устройство и перенос остановок общественного транспорта</t>
  </si>
  <si>
    <t>Количество разработанной проектно-сметной документации на строительство и реконструкцию парковочных площадок (карманов и стоянок)</t>
  </si>
  <si>
    <t>Количество разработанной проектно-сметной документации на установку РМП</t>
  </si>
  <si>
    <t>Количество ликвидируемых мест разворота транспортных средств,  подходов к пешеходным переходам, разрывов в разделительной полосе, несанкционированных примыканий, заездных карманов, парковок, устроенных пешеходных дорожек, пешеходных переходов, островков безопасности, искусственных дорожных неровностей, шумовых полос , информационных щитов индивидуального проектирования, световозвращателей дорожных</t>
  </si>
  <si>
    <t>Количество разработанной проектно-сметной документации на устройство линий наружного электроосвещения, в том числе на осуществление технологического присоединения к электрическим сетям</t>
  </si>
  <si>
    <t>Количество установленных светофорных объектов</t>
  </si>
  <si>
    <t>Количество представленных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</si>
  <si>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 и ремонта  дворовых территорий многоквартирных домов, проездов к дворовым территориям многоквартирных домов городского округа Тольятти</t>
  </si>
  <si>
    <t>Целевые показатели (индикаторы) национального проекта "Безопасные качественные дороги", в части касающейся городского округа Тольятти</t>
  </si>
  <si>
    <t xml:space="preserve">Показатели (индикаторы) Стратегии, определенные Планом мероприятий по реализации Стратегии </t>
  </si>
  <si>
    <t>Площадь отремонтированных путем капитального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</si>
  <si>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Площадь отремонтированных путем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</si>
  <si>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</t>
  </si>
  <si>
    <t xml:space="preserve"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 </t>
  </si>
  <si>
    <t>Количество разработанной проектно-сметной документации по устройству линий наружного электроосвещения</t>
  </si>
  <si>
    <t>Устройство островков безопасности, пандусов, замена остановок общественного транспорта, в т.ч.:</t>
  </si>
  <si>
    <t>Устройство островков безопасности, пандусов, замена остановок общественного транспорта</t>
  </si>
  <si>
    <t xml:space="preserve">устройство пешеходной дорожки вдоль ул. Революционная в районе ул. Фрунзе </t>
  </si>
  <si>
    <r>
      <t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</t>
    </r>
    <r>
      <rPr>
        <sz val="14"/>
        <rFont val="Arial"/>
        <family val="2"/>
        <charset val="204"/>
      </rPr>
      <t xml:space="preserve"> </t>
    </r>
  </si>
  <si>
    <t xml:space="preserve">устройство пешеходных дорожек на пересечении ул. Спортивная - пр- т Степана Разина </t>
  </si>
  <si>
    <t xml:space="preserve">Приложение № 3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</si>
  <si>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4
к муниципальной программе
"Развитие транспортной системы
и дорожного хозяйства
городского округа Тольятти
на 2021 - 2025 гг."
</t>
  </si>
  <si>
    <t>3.1.1.</t>
  </si>
  <si>
    <t>3.2.1.</t>
  </si>
  <si>
    <t>4.1.1.</t>
  </si>
  <si>
    <t>4.2.1.</t>
  </si>
  <si>
    <t>4.3.1.</t>
  </si>
  <si>
    <t>Задача 3 подпрограммы 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</si>
  <si>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1 подпрограммы: проведение организационных и инженерных мер, направленных на предупреждение причин возникновения дорожно-транспортных происшествий</t>
  </si>
  <si>
    <t>1.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</si>
  <si>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</si>
  <si>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2.</t>
  </si>
  <si>
    <t>2.1.4.</t>
  </si>
  <si>
    <t>2.1.5.</t>
  </si>
  <si>
    <t>2.1.6.</t>
  </si>
  <si>
    <t>2.1.7.</t>
  </si>
  <si>
    <t>2.1.8.</t>
  </si>
  <si>
    <t>1.1.4.</t>
  </si>
  <si>
    <t>1.1.5.</t>
  </si>
  <si>
    <t>1.1.6.</t>
  </si>
  <si>
    <t>1.1.7.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</si>
  <si>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 и автоматизированных систем управления дорожным движением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</si>
  <si>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</si>
  <si>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</si>
  <si>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</si>
  <si>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</si>
  <si>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</si>
  <si>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</si>
  <si>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</si>
  <si>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</si>
  <si>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</si>
  <si>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3.</t>
  </si>
  <si>
    <t>Задача 1 подпрограммы: выполнение мероприятий по уходу за автомобильными дорогами общего пользования местного значения и объектами дорожного хозяйства городского округа Тольятти</t>
  </si>
  <si>
    <t>3.1.2.</t>
  </si>
  <si>
    <t>Задача 2 подпрограммы: выполнение мероприятий по организации  дорожного движения</t>
  </si>
  <si>
    <t>3.2.2.</t>
  </si>
  <si>
    <t>3.2.3.</t>
  </si>
  <si>
    <t>3.2.4.</t>
  </si>
  <si>
    <t xml:space="preserve">4. </t>
  </si>
  <si>
    <t>Задача 1 подпрограммы: совершенствование технического и технологического обеспечения транспортного обслуживания</t>
  </si>
  <si>
    <t>Задача 2 подпрограммы: обеспечение регулярных перевозок пассажиров по регулируемым тарифам</t>
  </si>
  <si>
    <t>4.2.2.</t>
  </si>
  <si>
    <t>4.2.3.</t>
  </si>
  <si>
    <t>4.2.4.</t>
  </si>
  <si>
    <t>Задача 3 подпрограммы: оптимизация структуры парков транспортных средств и ускорение обновления их состава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</si>
  <si>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и автоматизированных систем управления дорожным движением</t>
  </si>
  <si>
    <t>Задача 3 подпрограммы: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</si>
  <si>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 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</si>
  <si>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2 подпрограммы: выполнение мероприятий по организации дорожного движения</t>
  </si>
  <si>
    <t>4.</t>
  </si>
  <si>
    <t xml:space="preserve">2.1.1. </t>
  </si>
  <si>
    <t>Строительство автомобильных дорог общего пользования местного значения городского округа Тольятти, в т. ч. строительный контроль и авторский надзор:</t>
  </si>
  <si>
    <t>2.1.1.1.</t>
  </si>
  <si>
    <t>2.1.1.1.1.</t>
  </si>
  <si>
    <t>2.1.1.1.2.</t>
  </si>
  <si>
    <t>2.1.1.1.3.</t>
  </si>
  <si>
    <t>2.1.1.2.</t>
  </si>
  <si>
    <t>2.1.1.2.1.</t>
  </si>
  <si>
    <t>2.1.1.2.2.</t>
  </si>
  <si>
    <t>2.1.1.2.3.</t>
  </si>
  <si>
    <t>2.1.1.3.</t>
  </si>
  <si>
    <t>2.1.1.3.1.</t>
  </si>
  <si>
    <t>2.1.1.3.2.</t>
  </si>
  <si>
    <t>2.1.1.3.3.</t>
  </si>
  <si>
    <t>2.1.1.4.</t>
  </si>
  <si>
    <t>2.1.1.4.1.</t>
  </si>
  <si>
    <t>2.1.1.4.2.</t>
  </si>
  <si>
    <t>2.1.1.4.3.</t>
  </si>
  <si>
    <t>2.1.1.5.</t>
  </si>
  <si>
    <t>2.1.1.5.1.</t>
  </si>
  <si>
    <t>2.1.1.5.2.</t>
  </si>
  <si>
    <t>2.1.1.5.3.</t>
  </si>
  <si>
    <t>2.1.1.6.</t>
  </si>
  <si>
    <t>2.1.1.6.1.</t>
  </si>
  <si>
    <t>2.1.1.6.2.</t>
  </si>
  <si>
    <t>2.1.1.6.3.</t>
  </si>
  <si>
    <t>2.1.1.7.</t>
  </si>
  <si>
    <t>2.1.1.7.1.</t>
  </si>
  <si>
    <t>2.1.1.7.2.</t>
  </si>
  <si>
    <t>2.1.1.7.3.</t>
  </si>
  <si>
    <t>2.1.1.8.</t>
  </si>
  <si>
    <t>2.1.1.8.1.</t>
  </si>
  <si>
    <t>2.1.1.9.</t>
  </si>
  <si>
    <t>2.1.1.9.1.</t>
  </si>
  <si>
    <t>2.1.1.10.</t>
  </si>
  <si>
    <t>2.1.1.11.</t>
  </si>
  <si>
    <t>2.1.1.12.</t>
  </si>
  <si>
    <t>2.1.1.13.</t>
  </si>
  <si>
    <t>2.1.1.13.1.</t>
  </si>
  <si>
    <t>2.1.1.13.2.</t>
  </si>
  <si>
    <t>2.1.1.13.3.</t>
  </si>
  <si>
    <t>Итого по объектам строительства по разделу 2.1.1:</t>
  </si>
  <si>
    <t>Реконструкция автомобильных дорог общего пользования местного значения городского округа Тольятти:</t>
  </si>
  <si>
    <t>2.1.2.1.</t>
  </si>
  <si>
    <t>2.1.2.1.1.</t>
  </si>
  <si>
    <t>2.1.2.1.2.</t>
  </si>
  <si>
    <t>2.1.2.1.3.</t>
  </si>
  <si>
    <t>2.1.2.2.</t>
  </si>
  <si>
    <t>2.1.2.2.1.</t>
  </si>
  <si>
    <t>2.1.2.2.2.</t>
  </si>
  <si>
    <t>2.1.2.2.3.</t>
  </si>
  <si>
    <t>2.1.2.3.</t>
  </si>
  <si>
    <t>2.1.2.3.1.</t>
  </si>
  <si>
    <t>2.1.2.3.2.</t>
  </si>
  <si>
    <t>2.1.2.3.3.</t>
  </si>
  <si>
    <t>2.1.2.4.</t>
  </si>
  <si>
    <t>2.1.2.4.1.</t>
  </si>
  <si>
    <t>2.1.2.4.2.</t>
  </si>
  <si>
    <t>2.1.2.5.</t>
  </si>
  <si>
    <t>Итого по объектам реконструкции по разделу 2.1.2: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</si>
  <si>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Тольятти:</t>
  </si>
  <si>
    <t>2.1.3.1.</t>
  </si>
  <si>
    <t>2.1.3.2.</t>
  </si>
  <si>
    <t>2.1.3.3.</t>
  </si>
  <si>
    <t>2.1.3.4.</t>
  </si>
  <si>
    <t>2.1.3.5.</t>
  </si>
  <si>
    <t>2.1.3.6.</t>
  </si>
  <si>
    <t>2.1.3.7.</t>
  </si>
  <si>
    <t>2.1.3.8.</t>
  </si>
  <si>
    <t>2.1.3.9.</t>
  </si>
  <si>
    <t>2.1.3.10.</t>
  </si>
  <si>
    <t>2.1.3.11.</t>
  </si>
  <si>
    <t>2.1.3.12.</t>
  </si>
  <si>
    <t>2.1.3.13.</t>
  </si>
  <si>
    <t>2.1.3.14.</t>
  </si>
  <si>
    <t>2.1.3.15.</t>
  </si>
  <si>
    <t>2.1.3.16.</t>
  </si>
  <si>
    <t>2.1.3.17.</t>
  </si>
  <si>
    <t>2.1.3.18.</t>
  </si>
  <si>
    <t>2.1.3.19.</t>
  </si>
  <si>
    <t>2.1.3.20.</t>
  </si>
  <si>
    <t>2.1.3.21.</t>
  </si>
  <si>
    <t>2.1.3.22.</t>
  </si>
  <si>
    <t>2.1.3.23.</t>
  </si>
  <si>
    <t>2.1.3.24.</t>
  </si>
  <si>
    <t>Итого по  объектам проектирования строительства, реконструкции, капитального ремонта и ремонта по разделу 2.1.3:</t>
  </si>
  <si>
    <t xml:space="preserve"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контроль: </t>
  </si>
  <si>
    <t>2.1.4.1.</t>
  </si>
  <si>
    <t>2.1.4.2.</t>
  </si>
  <si>
    <t>2.1.4.3.</t>
  </si>
  <si>
    <t>2.1.4.4.</t>
  </si>
  <si>
    <t>2.1.4.5.</t>
  </si>
  <si>
    <t>2.1.4.6.</t>
  </si>
  <si>
    <t>2.1.4.7.</t>
  </si>
  <si>
    <t>2.1.4.8.</t>
  </si>
  <si>
    <t>2.1.4.9.</t>
  </si>
  <si>
    <t>2.1.4.10.</t>
  </si>
  <si>
    <t>2.1.4.11.</t>
  </si>
  <si>
    <t>2.1.4.12.</t>
  </si>
  <si>
    <t>2.1.4.13.</t>
  </si>
  <si>
    <t>2.1.4.14.</t>
  </si>
  <si>
    <t>2.1.4.15.</t>
  </si>
  <si>
    <t>2.1.4.16.</t>
  </si>
  <si>
    <t>2.1.4.17.</t>
  </si>
  <si>
    <t>2.1.4.18.</t>
  </si>
  <si>
    <t>2.1.4.19.</t>
  </si>
  <si>
    <t>Итого по объектам капитального ремонта по разделу 2.1.4:</t>
  </si>
  <si>
    <t>Выполнение работ по ремонту автомобильных  дорог общего пользования местного значения городского округа Тольятти:</t>
  </si>
  <si>
    <t>2.1.5.1.</t>
  </si>
  <si>
    <t>2.1.5.2.</t>
  </si>
  <si>
    <t>2.1.5.3.</t>
  </si>
  <si>
    <t>2.1.5.4.</t>
  </si>
  <si>
    <t>2.1.5.5.</t>
  </si>
  <si>
    <t>2.1.5.6.</t>
  </si>
  <si>
    <t>2.1.5.7.</t>
  </si>
  <si>
    <t>2.1.5.8.</t>
  </si>
  <si>
    <t>2.1.5.9.</t>
  </si>
  <si>
    <t>2.1.5.10.</t>
  </si>
  <si>
    <t>2.1.5.11.</t>
  </si>
  <si>
    <t>2.1.5.12.</t>
  </si>
  <si>
    <t>2.1.5.13.</t>
  </si>
  <si>
    <t>2.1.5.14.</t>
  </si>
  <si>
    <t>2.1.5.15.</t>
  </si>
  <si>
    <t>2.1.5.16.</t>
  </si>
  <si>
    <t>2.1.5.17.</t>
  </si>
  <si>
    <t>2.1.5.18.</t>
  </si>
  <si>
    <t>2.1.5.19.</t>
  </si>
  <si>
    <t>2.1.5.20.</t>
  </si>
  <si>
    <t>2.1.5.21.</t>
  </si>
  <si>
    <t>2.1.5.22.</t>
  </si>
  <si>
    <t>2.1.5.23.</t>
  </si>
  <si>
    <t>2.1.5.24.</t>
  </si>
  <si>
    <t>2.1.5.25.</t>
  </si>
  <si>
    <t>2.1.5.26.</t>
  </si>
  <si>
    <t>2.1.5.27.</t>
  </si>
  <si>
    <t>2.1.5.28.</t>
  </si>
  <si>
    <t>2.1.5.29.</t>
  </si>
  <si>
    <t>2.1.5.30.</t>
  </si>
  <si>
    <t>2.1.5.31.</t>
  </si>
  <si>
    <t>2.1.5.32.</t>
  </si>
  <si>
    <t>2.1.5.33.</t>
  </si>
  <si>
    <t>2.1.5.35.</t>
  </si>
  <si>
    <t>2.1.5.34.</t>
  </si>
  <si>
    <t>2.1.5.36.</t>
  </si>
  <si>
    <t>2.1.5.37.</t>
  </si>
  <si>
    <t>2.1.5.38.</t>
  </si>
  <si>
    <t>2.1.5.39.</t>
  </si>
  <si>
    <t>2.1.5.40.</t>
  </si>
  <si>
    <t>2.1.5.41.</t>
  </si>
  <si>
    <t>2.1.5.42.</t>
  </si>
  <si>
    <t>2.1.5.43.</t>
  </si>
  <si>
    <t>2.1.5.44.</t>
  </si>
  <si>
    <t>2.1.5.45.</t>
  </si>
  <si>
    <t>2.1.5.46.</t>
  </si>
  <si>
    <t>2.1.5.47.</t>
  </si>
  <si>
    <t>2.1.5.48.</t>
  </si>
  <si>
    <t>2.1.5.49.</t>
  </si>
  <si>
    <t>2.1.5.50.</t>
  </si>
  <si>
    <t>2.1.5.51.</t>
  </si>
  <si>
    <t>2.1.5.52.</t>
  </si>
  <si>
    <t>2.1.5.53.</t>
  </si>
  <si>
    <t>2.1.5.54.</t>
  </si>
  <si>
    <t>2.1.5.55.</t>
  </si>
  <si>
    <t>2.1.5.56.</t>
  </si>
  <si>
    <t>2.1.5.57.</t>
  </si>
  <si>
    <t>2.1.5.58.</t>
  </si>
  <si>
    <t>2.1.5.59.</t>
  </si>
  <si>
    <t>2.1.5.60.</t>
  </si>
  <si>
    <t>2.1.5.61.</t>
  </si>
  <si>
    <t>2.1.5.62.</t>
  </si>
  <si>
    <t>2.1.5.63.</t>
  </si>
  <si>
    <t>2.1.5.64.</t>
  </si>
  <si>
    <t>2.1.5.65.</t>
  </si>
  <si>
    <t>2.1.5.66.</t>
  </si>
  <si>
    <t>2.1.5.67.</t>
  </si>
  <si>
    <t>2.1.5.68.</t>
  </si>
  <si>
    <t>2.1.5.69.</t>
  </si>
  <si>
    <t>2.1.5.70.</t>
  </si>
  <si>
    <t>2.1.5.71.</t>
  </si>
  <si>
    <t>2.1.5.72.</t>
  </si>
  <si>
    <t>2.1.5.73.</t>
  </si>
  <si>
    <t>2.1.5.74.</t>
  </si>
  <si>
    <t>2.1.5.75.</t>
  </si>
  <si>
    <t>2.1.5.76.</t>
  </si>
  <si>
    <t>2.1.5.77.</t>
  </si>
  <si>
    <t>2.1.5.78.</t>
  </si>
  <si>
    <t>2.1.5.79.</t>
  </si>
  <si>
    <t>2.1.5.80.</t>
  </si>
  <si>
    <t>2.1.5.81.</t>
  </si>
  <si>
    <t>2.1.5.82.</t>
  </si>
  <si>
    <t>2.1.5.83.</t>
  </si>
  <si>
    <t>2.1.5.84.</t>
  </si>
  <si>
    <t>2.1.5.85.</t>
  </si>
  <si>
    <t>2.1.5.86.</t>
  </si>
  <si>
    <t>2.1.5.87.</t>
  </si>
  <si>
    <t>2.1.5.88.</t>
  </si>
  <si>
    <t>2.1.5.89.</t>
  </si>
  <si>
    <t>2.1.5.90.</t>
  </si>
  <si>
    <t>2.1.5.91.</t>
  </si>
  <si>
    <t>2.1.5.92.</t>
  </si>
  <si>
    <t>2.1.5.93.</t>
  </si>
  <si>
    <t>2.1.5.94.</t>
  </si>
  <si>
    <t>2.1.5.95.</t>
  </si>
  <si>
    <t>2.1.5.96.</t>
  </si>
  <si>
    <t>2.1.5.97.</t>
  </si>
  <si>
    <t>2.1.5.98.</t>
  </si>
  <si>
    <t>2.1.5.99.</t>
  </si>
  <si>
    <t>2.1.5.100.</t>
  </si>
  <si>
    <t>2.1.5.101.</t>
  </si>
  <si>
    <t>2.1.5.102.</t>
  </si>
  <si>
    <t>2.1.5.103.</t>
  </si>
  <si>
    <t>2.1.5.104</t>
  </si>
  <si>
    <t>2.1.5.105.</t>
  </si>
  <si>
    <t>2.1.5.106.</t>
  </si>
  <si>
    <t>2.1.5.107.</t>
  </si>
  <si>
    <t>2.1.5.108.</t>
  </si>
  <si>
    <t>2.1.5.109.</t>
  </si>
  <si>
    <t>2.1.5.110.</t>
  </si>
  <si>
    <t>2.1.5.111.</t>
  </si>
  <si>
    <t>2.1.5.112.</t>
  </si>
  <si>
    <t>2.1.5.113.</t>
  </si>
  <si>
    <t>2.1.5.114.</t>
  </si>
  <si>
    <t>2.1.5.115.</t>
  </si>
  <si>
    <t>2.1.5.116.</t>
  </si>
  <si>
    <t>2.1.5.117.</t>
  </si>
  <si>
    <t>2.1.5.118.</t>
  </si>
  <si>
    <t>2.1.5.119.</t>
  </si>
  <si>
    <t>2.1.5.121.</t>
  </si>
  <si>
    <t>2.1.5.122.</t>
  </si>
  <si>
    <t>2.1.5.123.</t>
  </si>
  <si>
    <t>2.1.5.124.</t>
  </si>
  <si>
    <t>2.1.5.125.</t>
  </si>
  <si>
    <t>2.1.5.126.</t>
  </si>
  <si>
    <t>2.1.5.127.</t>
  </si>
  <si>
    <t>2.1.5.128.</t>
  </si>
  <si>
    <t>2.1.5.129.</t>
  </si>
  <si>
    <t>2.1.5.130.</t>
  </si>
  <si>
    <t>2.1.5.132.</t>
  </si>
  <si>
    <t>2.1.5.133.</t>
  </si>
  <si>
    <t>2.1.5.134.</t>
  </si>
  <si>
    <t>2.1.5.135.</t>
  </si>
  <si>
    <t>2.1.5.136.</t>
  </si>
  <si>
    <t>2.1.5.137.</t>
  </si>
  <si>
    <t>2.1.5.138.</t>
  </si>
  <si>
    <t>2.1.5.139.</t>
  </si>
  <si>
    <t>2.1.5.140.</t>
  </si>
  <si>
    <t>2.1.5.141.</t>
  </si>
  <si>
    <t>2.1.5.142.</t>
  </si>
  <si>
    <t>2.1.5.143.</t>
  </si>
  <si>
    <t>2.1.5.144.</t>
  </si>
  <si>
    <t>2.1.5.145.</t>
  </si>
  <si>
    <t>2.1.5.146.</t>
  </si>
  <si>
    <t>2.1.5.147.</t>
  </si>
  <si>
    <t>2.1.5.148.</t>
  </si>
  <si>
    <t>2.1.5.149.</t>
  </si>
  <si>
    <t>2.1.5.150.</t>
  </si>
  <si>
    <t>2.1.5.151.</t>
  </si>
  <si>
    <t>2.1.5.152.</t>
  </si>
  <si>
    <t>2.1.5.153.</t>
  </si>
  <si>
    <t>2.1.5.154.</t>
  </si>
  <si>
    <t>2.1.5.155.</t>
  </si>
  <si>
    <t>2.1.5.156.</t>
  </si>
  <si>
    <t>2.1.5.157.</t>
  </si>
  <si>
    <t>2.1.5.158.</t>
  </si>
  <si>
    <t>Итого по объектам ремонта дорог по разделу 2.1.5:</t>
  </si>
  <si>
    <t>Ремонт дворовых территорий многоквартирных домов, проездов к дворовым территориям многоквартирных домов  городского округа Тольятти:</t>
  </si>
  <si>
    <t>2.1.6.1.</t>
  </si>
  <si>
    <t>2.1.6.2.</t>
  </si>
  <si>
    <t>Итого по объектам ремонта дворовых территорий по разделу 2.1.6:</t>
  </si>
  <si>
    <t>Отсыпка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Тольятти:</t>
  </si>
  <si>
    <t>2.1.7.1.</t>
  </si>
  <si>
    <t>2.1.7.1.1.</t>
  </si>
  <si>
    <t>2.1.7.1.2.</t>
  </si>
  <si>
    <t>2.1.7.1.3.</t>
  </si>
  <si>
    <t>2.1.7.1.4.</t>
  </si>
  <si>
    <t>2.1.7.1.5.</t>
  </si>
  <si>
    <t>2.1.7.1.6.</t>
  </si>
  <si>
    <t>2.1.7.1.7.</t>
  </si>
  <si>
    <t>2.1.7.1.8.</t>
  </si>
  <si>
    <t>2.1.7.1.9.</t>
  </si>
  <si>
    <t>2.1.7.1.10.</t>
  </si>
  <si>
    <t>2.1.7.1.11.</t>
  </si>
  <si>
    <t>2.1.7.1.12.</t>
  </si>
  <si>
    <t>2.1.7.1.13.</t>
  </si>
  <si>
    <t>2.1.7.1.14.</t>
  </si>
  <si>
    <t>2.1.7.1.15.</t>
  </si>
  <si>
    <t>2.1.7.1.16.</t>
  </si>
  <si>
    <t>2.1.7.1.17.</t>
  </si>
  <si>
    <t>2.1.7.1.18.</t>
  </si>
  <si>
    <t>2.1.7.1.19.</t>
  </si>
  <si>
    <t>2.1.7.1.20.</t>
  </si>
  <si>
    <t>2.1.7.1.21.</t>
  </si>
  <si>
    <t>2.1.7.1.22.</t>
  </si>
  <si>
    <t>2.1.7.1.23.</t>
  </si>
  <si>
    <t>2.1.7.1.24.</t>
  </si>
  <si>
    <t>2.1.7.1.25.</t>
  </si>
  <si>
    <t>2.1.7.1.26.</t>
  </si>
  <si>
    <t>2.1.7.1.27.</t>
  </si>
  <si>
    <t>2.1.7.1.28.</t>
  </si>
  <si>
    <t>2.1.7.1.29.</t>
  </si>
  <si>
    <t>2.1.7.1.30.</t>
  </si>
  <si>
    <t>2.1.7.1.31.</t>
  </si>
  <si>
    <t>2.1.7.1.32.</t>
  </si>
  <si>
    <t>2.1.7.1.33.</t>
  </si>
  <si>
    <t>2.1.7.1.34.</t>
  </si>
  <si>
    <t>2.1.7.1.35.</t>
  </si>
  <si>
    <t>2.1.7.1.36.</t>
  </si>
  <si>
    <t>2.1.7.1.37.</t>
  </si>
  <si>
    <t>2.1.7.1.38.</t>
  </si>
  <si>
    <t>2.1.7.1.39.</t>
  </si>
  <si>
    <t>2.1.7.1.40.</t>
  </si>
  <si>
    <t>2.1.7.1.41.</t>
  </si>
  <si>
    <t>2.1.7.1.42.</t>
  </si>
  <si>
    <t>2.1.7.1.43.</t>
  </si>
  <si>
    <t>2.1.7.1.44.</t>
  </si>
  <si>
    <t>2.1.7.1.45.</t>
  </si>
  <si>
    <t>2.1.7.1.46.</t>
  </si>
  <si>
    <t>2.1.7.1.47.</t>
  </si>
  <si>
    <t>2.1.7.1.48.</t>
  </si>
  <si>
    <t>2.1.7.1.49.</t>
  </si>
  <si>
    <t>2.1.7.1.50.</t>
  </si>
  <si>
    <t>2.1.7.1.51.</t>
  </si>
  <si>
    <t>2.1.7.1.52.</t>
  </si>
  <si>
    <t>2.1.7.1.53.</t>
  </si>
  <si>
    <t>2.1.7.1.54.</t>
  </si>
  <si>
    <t>2.1.7.1.55.</t>
  </si>
  <si>
    <t>2.1.7.1.56.</t>
  </si>
  <si>
    <t>2.1.7.1.57.</t>
  </si>
  <si>
    <t>2.1.7.1.58.</t>
  </si>
  <si>
    <t>2.1.7.1.59.</t>
  </si>
  <si>
    <t>2.1.7.1.60.</t>
  </si>
  <si>
    <t>2.1.7.1.61.</t>
  </si>
  <si>
    <t>2.1.7.1.62.</t>
  </si>
  <si>
    <t>2.1.7.1.63.</t>
  </si>
  <si>
    <t>2.1.7.1.64.</t>
  </si>
  <si>
    <t>2.1.7.1.65.</t>
  </si>
  <si>
    <t>2.1.7.1.66.</t>
  </si>
  <si>
    <t>2.1.7.1.67.</t>
  </si>
  <si>
    <t>2.1.7.1.68.</t>
  </si>
  <si>
    <t>2.1.7.1.69.</t>
  </si>
  <si>
    <t>2.1.7.1.70.</t>
  </si>
  <si>
    <t>2.1.7.1.71.</t>
  </si>
  <si>
    <t>2.1.7.1.72.</t>
  </si>
  <si>
    <t>2.1.7.1.73.</t>
  </si>
  <si>
    <t>2.1.7.1.74.</t>
  </si>
  <si>
    <t>2.1.7.1.75.</t>
  </si>
  <si>
    <t>2.1.7.1.76.</t>
  </si>
  <si>
    <t>2.1.7.1.77.</t>
  </si>
  <si>
    <t>2.1.7.1.78.</t>
  </si>
  <si>
    <t>2.1.7.1.79.</t>
  </si>
  <si>
    <t>2.1.7.1.80.</t>
  </si>
  <si>
    <t>2.1.7.1.81.</t>
  </si>
  <si>
    <t>2.1.7.1.82.</t>
  </si>
  <si>
    <t>2.1.7.1.83.</t>
  </si>
  <si>
    <t>2.1.7.1.84.</t>
  </si>
  <si>
    <t>2.1.7.1.85.</t>
  </si>
  <si>
    <t>2.1.7.1.86.</t>
  </si>
  <si>
    <t>2.1.7.1.87.</t>
  </si>
  <si>
    <t>2.1.7.1.88.</t>
  </si>
  <si>
    <t>2.1.7.1.89.</t>
  </si>
  <si>
    <t>2.1.7.1.90.</t>
  </si>
  <si>
    <t>2.1.7.1.91.</t>
  </si>
  <si>
    <t>2.1.7.1.92.</t>
  </si>
  <si>
    <t>2.1.7.1.93.</t>
  </si>
  <si>
    <t>2.1.7.1.94.</t>
  </si>
  <si>
    <t>2.1.7.1.95.</t>
  </si>
  <si>
    <t>2.1.7.1.96.</t>
  </si>
  <si>
    <t>2.1.7.1.97.</t>
  </si>
  <si>
    <t>2.1.7.1.98.</t>
  </si>
  <si>
    <t>2.1.7.1.99.</t>
  </si>
  <si>
    <t>2.1.7.1.100.</t>
  </si>
  <si>
    <t>2.1.7.1.101.</t>
  </si>
  <si>
    <t>2.1.7.1.102.</t>
  </si>
  <si>
    <t>2.1.7.1.103.</t>
  </si>
  <si>
    <t>2.1.7.1.104.</t>
  </si>
  <si>
    <t>2.1.7.1.105.</t>
  </si>
  <si>
    <t>2.1.7.1.106.</t>
  </si>
  <si>
    <t>2.1.7.1.107.</t>
  </si>
  <si>
    <t>2.1.7.1.108.</t>
  </si>
  <si>
    <t>2.1.7.1.109.</t>
  </si>
  <si>
    <t>2.1.7.1.110.</t>
  </si>
  <si>
    <t>2.1.7.1.111.</t>
  </si>
  <si>
    <t>2.1.7.1.112.</t>
  </si>
  <si>
    <t>2.1.7.1.113.</t>
  </si>
  <si>
    <t>2.1.7.1.114.</t>
  </si>
  <si>
    <t>2.1.7.1.115.</t>
  </si>
  <si>
    <t>2.1.7.1.116.</t>
  </si>
  <si>
    <t>2.1.7.1.117.</t>
  </si>
  <si>
    <t>2.1.7.1.118.</t>
  </si>
  <si>
    <t>2.1.7.1.119.</t>
  </si>
  <si>
    <t>2.1.7.1.120.</t>
  </si>
  <si>
    <t>2.1.7.1.121.</t>
  </si>
  <si>
    <t>2.1.7.1.122.</t>
  </si>
  <si>
    <t>2.1.7.1.123.</t>
  </si>
  <si>
    <t>2.1.7.1.124.</t>
  </si>
  <si>
    <t>2.1.7.1.125.</t>
  </si>
  <si>
    <t>2.1.7.1.126.</t>
  </si>
  <si>
    <t>2.1.7.1.127.</t>
  </si>
  <si>
    <t>2.1.7.1.128.</t>
  </si>
  <si>
    <t>2.1.7.1.129.</t>
  </si>
  <si>
    <t>2.1.7.1.130.</t>
  </si>
  <si>
    <t>2.1.7.1.131.</t>
  </si>
  <si>
    <t>2.1.7.1.132.</t>
  </si>
  <si>
    <t>2.1.7.1.133.</t>
  </si>
  <si>
    <t>2.1.7.1.134.</t>
  </si>
  <si>
    <t>2.1.7.1.135.</t>
  </si>
  <si>
    <t>2.1.7.1.136.</t>
  </si>
  <si>
    <t>2.1.7.1.137.</t>
  </si>
  <si>
    <t>2.1.7.1.138.</t>
  </si>
  <si>
    <t>2.1.7.1.139.</t>
  </si>
  <si>
    <t>2.1.7.1.140.</t>
  </si>
  <si>
    <t>2.1.7.1.141.</t>
  </si>
  <si>
    <t>2.1.7.1.142.</t>
  </si>
  <si>
    <t>2.1.7.1.143.</t>
  </si>
  <si>
    <t>2.1.7.1.144.</t>
  </si>
  <si>
    <t>2.1.7.1.145.</t>
  </si>
  <si>
    <t>2.1.7.1.146.</t>
  </si>
  <si>
    <t>2.1.7.1.147.</t>
  </si>
  <si>
    <t>2.1.7.1.148.</t>
  </si>
  <si>
    <t>2.1.7.1.149.</t>
  </si>
  <si>
    <t>2.1.7.1.150.</t>
  </si>
  <si>
    <t>2.1.7.1.151.</t>
  </si>
  <si>
    <t>2.1.7.1.152.</t>
  </si>
  <si>
    <t>2.1.7.1.153.</t>
  </si>
  <si>
    <t>2.1.7.1.154.</t>
  </si>
  <si>
    <t>2.1.7.1.155.</t>
  </si>
  <si>
    <t>2.1.7.1.156.</t>
  </si>
  <si>
    <t>2.1.7.1.157.</t>
  </si>
  <si>
    <t>2.1.7.2.</t>
  </si>
  <si>
    <t>2.1.7.2.1.</t>
  </si>
  <si>
    <t>2.1.7.2.2.</t>
  </si>
  <si>
    <t>2.1.7.2.3.</t>
  </si>
  <si>
    <t>2.1.7.2.9.</t>
  </si>
  <si>
    <t>2.1.7.2.4.</t>
  </si>
  <si>
    <t>2.1.7.2.5.</t>
  </si>
  <si>
    <t>2.1.7.2.6.</t>
  </si>
  <si>
    <t>2.1.7.2.7.</t>
  </si>
  <si>
    <t>2.1.7.2.8.</t>
  </si>
  <si>
    <t>2.1.7.2.10.</t>
  </si>
  <si>
    <t>2.1.7.2.11.</t>
  </si>
  <si>
    <t>2.1.7.2.12.</t>
  </si>
  <si>
    <t>2.1.7.2.13.</t>
  </si>
  <si>
    <t>2.1.7.2.14.</t>
  </si>
  <si>
    <t>2.1.7.2.15.</t>
  </si>
  <si>
    <t>2.1.7.2.16.</t>
  </si>
  <si>
    <t>2.1.7.2.17.</t>
  </si>
  <si>
    <t>2.1.7.2.18.</t>
  </si>
  <si>
    <t>2.1.7.2.19.</t>
  </si>
  <si>
    <t>2.1.7.2.20.</t>
  </si>
  <si>
    <t>2.1.7.2.21.</t>
  </si>
  <si>
    <t>2.1.7.2.22.</t>
  </si>
  <si>
    <t>2.1.7.2.23.</t>
  </si>
  <si>
    <t>2.1.7.2.24.</t>
  </si>
  <si>
    <t>2.1.7.2.25.</t>
  </si>
  <si>
    <t>2.1.7.2.26.</t>
  </si>
  <si>
    <t>2.1.7.2.27.</t>
  </si>
  <si>
    <t>2.1.7.2.28.</t>
  </si>
  <si>
    <t>2.1.7.2.29.</t>
  </si>
  <si>
    <t>2.1.7.2.30.</t>
  </si>
  <si>
    <t>2.1.7.2.31.</t>
  </si>
  <si>
    <t>2.1.7.2.32.</t>
  </si>
  <si>
    <t>2.1.7.2.33.</t>
  </si>
  <si>
    <t>2.1.7.2.34.</t>
  </si>
  <si>
    <t>2.1.7.2.35.</t>
  </si>
  <si>
    <t>2.1.7.2.36.</t>
  </si>
  <si>
    <t>2.1.7.2.37.</t>
  </si>
  <si>
    <t>2.1.7.2.38.</t>
  </si>
  <si>
    <t>2.1.7.2.39.</t>
  </si>
  <si>
    <t>2.1.7.2.40.</t>
  </si>
  <si>
    <t>2.1.7.2.41.</t>
  </si>
  <si>
    <t>2.1.7.2.42.</t>
  </si>
  <si>
    <t>2.1.7.2.43.</t>
  </si>
  <si>
    <t>2.1.7.2.44.</t>
  </si>
  <si>
    <t>2.1.7.2.45.</t>
  </si>
  <si>
    <t>2.1.7.2.46.</t>
  </si>
  <si>
    <t>2.1.7.2.47.</t>
  </si>
  <si>
    <t>2.1.7.2.48.</t>
  </si>
  <si>
    <t>2.1.7.2.49.</t>
  </si>
  <si>
    <t>2.1.7.2.50.</t>
  </si>
  <si>
    <t>2.1.7.2.51.</t>
  </si>
  <si>
    <t>2.1.7.2.52.</t>
  </si>
  <si>
    <t>2.1.7.2.53.</t>
  </si>
  <si>
    <t>2.1.7.2.54.</t>
  </si>
  <si>
    <t>2.1.7.2.55.</t>
  </si>
  <si>
    <t>2.1.7.2.56.</t>
  </si>
  <si>
    <t>2.1.7.2.57.</t>
  </si>
  <si>
    <t>2.1.7.2.58.</t>
  </si>
  <si>
    <t>2.1.7.2.59.</t>
  </si>
  <si>
    <t>2.1.7.2.60.</t>
  </si>
  <si>
    <t>2.1.7.2.61.</t>
  </si>
  <si>
    <t>2.1.7.2.62.</t>
  </si>
  <si>
    <t>2.1.7.2.63.</t>
  </si>
  <si>
    <t>2.1.7.2.64.</t>
  </si>
  <si>
    <t>2.1.7.2.65.</t>
  </si>
  <si>
    <t>2.1.7.2.66.</t>
  </si>
  <si>
    <t>2.1.7.2.67.</t>
  </si>
  <si>
    <t>2.1.7.2.68.</t>
  </si>
  <si>
    <t>2.1.7.2.69.</t>
  </si>
  <si>
    <t>2.1.7.2.70.</t>
  </si>
  <si>
    <t>2.1.7.2.71.</t>
  </si>
  <si>
    <t>2.1.7.2.72.</t>
  </si>
  <si>
    <t>2.1.7.2.73.</t>
  </si>
  <si>
    <t>2.1.7.2.74.</t>
  </si>
  <si>
    <t>2.1.7.2.75.</t>
  </si>
  <si>
    <t>2.1.7.2.76.</t>
  </si>
  <si>
    <t>2.1.7.2.77.</t>
  </si>
  <si>
    <t>2.1.7.2.78.</t>
  </si>
  <si>
    <t>2.1.7.2.79.</t>
  </si>
  <si>
    <t>2.1.7.2.80.</t>
  </si>
  <si>
    <t>Итого по объектам отсыпки автомобильных дорог асфальтогранулятом по разделу 2.1.7:</t>
  </si>
  <si>
    <t>2.1.8.1.</t>
  </si>
  <si>
    <t>Итого по содержанию автомобильных дорог местного значения и внутриквартальных проездов по разделу 8:</t>
  </si>
  <si>
    <t>на 2021 г.</t>
  </si>
  <si>
    <t>на 2022 г.</t>
  </si>
  <si>
    <t>на 2023 г.</t>
  </si>
  <si>
    <t>на 2024 г.</t>
  </si>
  <si>
    <t>на 2025 г.</t>
  </si>
  <si>
    <t>4.3.2.</t>
  </si>
  <si>
    <t>Приобретение автобусов путем заключения муниципального контракта на оказание услуг финансовой аренды (лизинга)</t>
  </si>
  <si>
    <t>46,48 / -</t>
  </si>
  <si>
    <t>Приложение № 1                                                                                              к  постановлению администрации 
городского округа Тольятти 
от_______________№ _________</t>
  </si>
  <si>
    <t>2021-2023</t>
  </si>
  <si>
    <t>2023-2024</t>
  </si>
  <si>
    <t>2021- 2023, 2025</t>
  </si>
  <si>
    <t>2022-2024</t>
  </si>
  <si>
    <t>2023</t>
  </si>
  <si>
    <t>2.1.3.25.</t>
  </si>
  <si>
    <t xml:space="preserve">Капитальный ремонт путепровода через автодорогу Восточная завода - часть улицы Борковской </t>
  </si>
  <si>
    <t>Строительный контроль на объектах капитального ремонта автомобильных дорог</t>
  </si>
  <si>
    <t>Площадь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</si>
  <si>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4.2.5.</t>
  </si>
  <si>
    <t>км.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</si>
  <si>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 на возмещение недополученных доходов в связи с оказанием услуг по осуществлению перевозок маломобильных граждан специализированными автомобилями</t>
  </si>
  <si>
    <t>Пробег специализированных автомобилей, осуществляющих перевозку маломобильных граждан</t>
  </si>
  <si>
    <t>Количество разработанной проектно-сметной документации по ремонту путепроводов</t>
  </si>
  <si>
    <t>Устройство бортового камня и устройство мест разворотов</t>
  </si>
  <si>
    <t>2.1.4.20.</t>
  </si>
  <si>
    <t>2.1.4.21.</t>
  </si>
  <si>
    <t>ул.Карбышева от ул.Комсомольская до ул.Баныкина</t>
  </si>
  <si>
    <t>ул.Комсомольская от ул.Родины до д.№94 по ул.Ленина</t>
  </si>
  <si>
    <t>ул.Ворошилова от ул.Дзержинского до ул.Офицерская</t>
  </si>
  <si>
    <t>Пр-т Степана Разина от ул.Дзержинского до Ленинского пр-та</t>
  </si>
  <si>
    <t>Поволжское шоссе от ул.Громовой до Обводного шоссе</t>
  </si>
  <si>
    <t>2.1.5.159.</t>
  </si>
  <si>
    <t>2.1.5.160.</t>
  </si>
  <si>
    <t>2.1.5.161.</t>
  </si>
  <si>
    <t>2.1.5.162.</t>
  </si>
  <si>
    <t>2.1.5.163.</t>
  </si>
  <si>
    <t>Устройство тротуара вдоль ул. Вавилова</t>
  </si>
  <si>
    <t>дорога вдоль ул, Спортиной (неч,сторона) от Физкультурного проезда до пр-та Степана Разина</t>
  </si>
  <si>
    <t>дорога вдоль Южного шоссе от ул.Тополиной до ул.Автостроителей (нечетная сторона).</t>
  </si>
  <si>
    <t>дорога вдоль Московского проспекта от дома №57 до дома №45 (нечетная сторона)</t>
  </si>
  <si>
    <t>на участке автодороги вдоль Центральной площади ДК "Тольятти" от ул.Ленинградской до ул.Мира</t>
  </si>
  <si>
    <t xml:space="preserve">пешеходный переход через разделительную полосу автомобильной дороги по ул.Спортивная, в районе пересечения с ул.Степана Разина, со стороны 8 квартала </t>
  </si>
  <si>
    <t>Участок автодороги вдоль ул. Северной от дома №27 до дома №75 по улице Северной</t>
  </si>
  <si>
    <t>ООТ "Азотреммаш"</t>
  </si>
  <si>
    <t>ООТ "Лесопитомник" по ул.Дзержинского</t>
  </si>
  <si>
    <t>площадки южнее дома №77 по ул. Юбилейная</t>
  </si>
  <si>
    <t>площадки у дома №22 по б-ру Королева</t>
  </si>
  <si>
    <t>устройство заездных карманов на ООТ "Пирамида"</t>
  </si>
  <si>
    <t>устройство заездных карманов на ООТ "Театральная"</t>
  </si>
  <si>
    <t>Замена бортового камня (монтаж, демонтаж) ул. Революционная, 52а</t>
  </si>
  <si>
    <t>160,08 / 160,08</t>
  </si>
  <si>
    <t>208,86 / 208,86</t>
  </si>
  <si>
    <t>на пересечении улиц Гидростроевская и Ленинградская</t>
  </si>
  <si>
    <t>внутриквартальный проезд в районе дома №43 по ул.Фрунзе (Школа Королева).</t>
  </si>
  <si>
    <t>по проезду Федоровские Луга</t>
  </si>
  <si>
    <t>по бульвару Ленина, в районе дома №16а</t>
  </si>
  <si>
    <t>по дублеру ул.Баныкина, в районе дома №64</t>
  </si>
  <si>
    <t>по бульвару Космонавтов, в районе дома №15</t>
  </si>
  <si>
    <t>ул.Железнодорожная</t>
  </si>
  <si>
    <t>в районе дома №6 по ул.Д.Ульянова (Д/с "Чайка")</t>
  </si>
  <si>
    <t>ООТ "ТП-20"</t>
  </si>
  <si>
    <t>356,97 / 356,97</t>
  </si>
  <si>
    <t>Устройство пандуса для съезда МНГ в районе дома, расположенного по адресу Мурысева,64</t>
  </si>
  <si>
    <t>Устройство островка безопасности в районе ООТ "Школа исскуств" по ул. Дзержинского</t>
  </si>
  <si>
    <t>Ликвидация разрывов на 3-х разделительных полосах по Московскому проспекту, в районе дома №3</t>
  </si>
  <si>
    <t>2.1.4.120.</t>
  </si>
  <si>
    <t>2.1.5.164.</t>
  </si>
  <si>
    <t>Проектно-изыскательские работы по капитальному ремонту и ремонту путепроводов, подземных пешеходных переходов и мостов</t>
  </si>
  <si>
    <t>Проектно-изыскательские работы по объекту: "Устройство дополнительной полосы движения на ул. Тополиной на пересечении с Южным шоссе"</t>
  </si>
  <si>
    <t>Проектно-изыскательские работы по объекту: "Реконструкция кольцевой транспортной развязки пр-та Ленинский на пересечении с пр-том Степана Разина"</t>
  </si>
  <si>
    <t>Проектно-изыскательские работы по объекту: "Устройство дополнительной полосы движения на ул. Комсомольская на пересечении с ул. Карла Маркса"</t>
  </si>
  <si>
    <t>2018, 2020 (Оплата ранее принятых обязательств)</t>
  </si>
  <si>
    <t>Оплата принятых в 2018 и 2020 году обязательств</t>
  </si>
  <si>
    <t>пас.</t>
  </si>
  <si>
    <t>не менее     1 000</t>
  </si>
  <si>
    <t>Количество перевезенных маломобильных граждан специализированными автомобилями</t>
  </si>
  <si>
    <t>ул. Маршала Жукова от ул. Спортивная до ул. Фрунзе</t>
  </si>
  <si>
    <t>ул. Новозаводская от ул. Шлютова до Обводного шоссе</t>
  </si>
  <si>
    <t>2.1.5.131.</t>
  </si>
  <si>
    <t>2.1.7.1.158.</t>
  </si>
  <si>
    <t>Большой проезд от д.15 по ул. Грачева до ул. Бузыцкова</t>
  </si>
  <si>
    <t>ул. Викторова</t>
  </si>
  <si>
    <t>проезд от Хрящевского шоссе до д.17 по ул. Грачева</t>
  </si>
  <si>
    <t>ул. Подгорная</t>
  </si>
  <si>
    <t>ул. Непорожнего</t>
  </si>
  <si>
    <t>ул. Автомобилистов</t>
  </si>
  <si>
    <t>Выполнение работ по ремонту автомобильных дорог общего пользования местного значения городского округа Тольятти</t>
  </si>
  <si>
    <t>2.1.5.165.</t>
  </si>
  <si>
    <t>Ремонт автомобильной дороги по Поволжскому шоссе от ул. Громовой до c/о 232 по Поволжскому шоссе</t>
  </si>
  <si>
    <t>2.1.5.166.</t>
  </si>
  <si>
    <t>2.1.5.167.</t>
  </si>
  <si>
    <t>40,94 / -</t>
  </si>
  <si>
    <t>318,80 / 206,04</t>
  </si>
  <si>
    <t>Ремонт автомобильной дороги по ул.Вокзальная вдоль железнодорожного вокзала</t>
  </si>
  <si>
    <t xml:space="preserve">Ремонт Фабричного проезда от здания № 46 по ул. Коммунальной до ул. Вокзальная </t>
  </si>
  <si>
    <t>2.1.5.168.</t>
  </si>
  <si>
    <t>Корректировка проектно-сметной документации по объекту: "Капитальный ремонт автодороги по улице Никонова от  улицы Железнодорожная  до улицы Ингельберга"</t>
  </si>
  <si>
    <t>2.1.4.22.</t>
  </si>
  <si>
    <t>внутриквартальный проезд в районе дома №64 по ул.Баныкина</t>
  </si>
  <si>
    <t>в районе пешеходного перехода у дома №16"А" по бульвару Ленина</t>
  </si>
  <si>
    <t>внутриквартальный проезд в районе дома №14 по ул.Баныкина перед пересечением с бульваром Ленина (четная сторона)</t>
  </si>
  <si>
    <t>внутриквартальный проезд от ул.Фрунзе (д.№16) до пр-та Ленинский (д.№27) (3 квартал, напротив "Фанни-парк")</t>
  </si>
  <si>
    <t>в районе домов №65, 67, 69 по ул.Краснодонцев, Космодемьянской</t>
  </si>
  <si>
    <t>внутриквартальный проезд ул.Ярославская д.№47, вдоль территории детского сада №69 "Веточка" (4корпус)</t>
  </si>
  <si>
    <t>ул. Ленинградская в районе дома №77 по ул.Мира</t>
  </si>
  <si>
    <t>внутриквартальный проезд ул. Победы в районе домов №№66,68,70 по ул.Мира</t>
  </si>
  <si>
    <t>Устройство островка безопасности с установкой технических средств организации дорожного движения на Южном шоссе в районе ООТ «АвтоВАЗтранс»</t>
  </si>
  <si>
    <t>в районе дома №15 по б-ру Космонавтов</t>
  </si>
  <si>
    <t>г.о. Тольятти,   ул. Автостроителей ООТ "Ул. 40 лет Победы"</t>
  </si>
  <si>
    <t>г.о. Тольятти,  пересечение ул. Дзержинского - ул. Революционной - ул. Воскресенской</t>
  </si>
  <si>
    <t>г.о. Тольятти,  пересечение      ул. Карбышева - ул.  Комсомольской</t>
  </si>
  <si>
    <t>г.о. Тольятти,  пересечение     ул. Кирова - ул. Герцена</t>
  </si>
  <si>
    <t>г.о. Тольятти,  пересечение        ул. Комсомольской - ул. К.Маркса</t>
  </si>
  <si>
    <t>г.о. Тольятти,  ул. Маршала Жукова, ООТ "Лесной голосок"</t>
  </si>
  <si>
    <t>г.о. Тольятти,  ул. Маршала Жукова ООТ "Весёлая семейка"</t>
  </si>
  <si>
    <t>г.о. Тольятти,   ул. Полякова, д.№24</t>
  </si>
  <si>
    <t>г.о. Тольятти,   ул. Полякова, ООТ "Улица Полякова"</t>
  </si>
  <si>
    <t>г.о. Тольятти,   ул. Ст. Разина ООТ "Театральная"</t>
  </si>
  <si>
    <t>г.о. Тольятти,   Южное шоссе, ООТ "Обводное шоссе"</t>
  </si>
  <si>
    <t>г.о. Тольятти, Обводное шоссе в районе пересечения с Хрящевским шоссе</t>
  </si>
  <si>
    <t xml:space="preserve">г.о. Тольятти, пересечение   ул. Ленинградская - ул. Гидростроевская </t>
  </si>
  <si>
    <t>г.о. Тольятти,  ул. Кудашева ООТ "Ул. Кудашева"</t>
  </si>
  <si>
    <t>г.о. Тольятти,  ул. Баныкина,  ООТ "Ул. Белорусская"</t>
  </si>
  <si>
    <t>г.о. Тольятти,  пересечение   ул. Ларина - ул. Герцена</t>
  </si>
  <si>
    <t>г.о. Тольятти, пересечение         ул. Мира  - ул. К.Маркса</t>
  </si>
  <si>
    <t>г.о. Тольятти,  ул. Свердлова ООТ "Стоматологическая поликлиника"</t>
  </si>
  <si>
    <t>Приложение № 1                                                                                             к  постановлению администрации городского округа Тольятти от______________№ __________</t>
  </si>
  <si>
    <t>Приложение № 2                                                                                             к  постановлению администрации городского округа Тольятти от_______________№ _________</t>
  </si>
  <si>
    <t>Приложение № 3                                                                                             к постановлению администрации городского округа Тольятти                           от______________ №_________</t>
  </si>
  <si>
    <t>Приложение № 4                                                                                                                      к  постановлению администрации городского                           округа Тольятти                                                                    от______________ № __________</t>
  </si>
  <si>
    <t xml:space="preserve">г.о. Тольятти,  ул. Юбилейная  перед пересечением с  ул.Свердлова </t>
  </si>
  <si>
    <t>г.о. Тольятти,  пересечение ул. Ларина - ул. Ленина</t>
  </si>
  <si>
    <t>г.о. Тольятти, пересечение ул. Новозаводской  - ул. Комсомольской</t>
  </si>
  <si>
    <t xml:space="preserve">г.о. Тольятти, пересечение  проспекта Ст.Разина  - ул. Дзержинского - ул.Ботаничекой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</si>
</sst>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0.0"/>
    <numFmt numFmtId="166" formatCode="#,##0.0"/>
    <numFmt numFmtId="167" formatCode="#,##0.0_р_."/>
    <numFmt numFmtId="168" formatCode="#,##0_р_."/>
    <numFmt numFmtId="169" formatCode="#,##0.00_р_."/>
    <numFmt numFmtId="170" formatCode="#,##0.000_р_."/>
  </numFmts>
  <fonts count="58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i/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name val="Arial Cyr"/>
      <charset val="204"/>
    </font>
    <font>
      <b/>
      <sz val="10"/>
      <name val="Arial"/>
      <family val="2"/>
      <charset val="204"/>
    </font>
    <font>
      <i/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i/>
      <sz val="10"/>
      <name val="Arial Cyr"/>
      <charset val="204"/>
    </font>
    <font>
      <b/>
      <sz val="12"/>
      <name val="Arial"/>
      <family val="2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.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16" fillId="0" borderId="0"/>
    <xf numFmtId="0" fontId="16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49">
    <xf numFmtId="0" fontId="0" fillId="0" borderId="0" xfId="0"/>
    <xf numFmtId="167" fontId="20" fillId="0" borderId="1" xfId="9" applyNumberFormat="1" applyFont="1" applyFill="1" applyBorder="1" applyAlignment="1">
      <alignment horizontal="center" vertical="center" wrapText="1"/>
    </xf>
    <xf numFmtId="3" fontId="27" fillId="0" borderId="1" xfId="4" applyNumberFormat="1" applyFont="1" applyFill="1" applyBorder="1" applyAlignment="1">
      <alignment horizontal="center" vertical="center"/>
    </xf>
    <xf numFmtId="3" fontId="28" fillId="0" borderId="1" xfId="4" applyNumberFormat="1" applyFont="1" applyFill="1" applyBorder="1" applyAlignment="1">
      <alignment horizontal="center" vertical="center"/>
    </xf>
    <xf numFmtId="170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4" fillId="0" borderId="0" xfId="0" applyFont="1" applyAlignment="1">
      <alignment wrapText="1"/>
    </xf>
    <xf numFmtId="0" fontId="5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2" fontId="4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justify" vertical="center" wrapText="1"/>
    </xf>
    <xf numFmtId="0" fontId="0" fillId="0" borderId="6" xfId="0" applyBorder="1"/>
    <xf numFmtId="0" fontId="23" fillId="0" borderId="0" xfId="0" applyFont="1" applyAlignment="1">
      <alignment horizontal="center"/>
    </xf>
    <xf numFmtId="0" fontId="3" fillId="0" borderId="0" xfId="0" applyFont="1"/>
    <xf numFmtId="0" fontId="24" fillId="0" borderId="0" xfId="0" applyFont="1" applyAlignment="1">
      <alignment horizontal="center" vertical="center"/>
    </xf>
    <xf numFmtId="0" fontId="12" fillId="0" borderId="0" xfId="0" applyFont="1"/>
    <xf numFmtId="0" fontId="23" fillId="0" borderId="0" xfId="0" applyFont="1"/>
    <xf numFmtId="0" fontId="2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4" fillId="0" borderId="5" xfId="0" applyFont="1" applyBorder="1" applyAlignment="1">
      <alignment horizontal="left" vertical="center" wrapText="1"/>
    </xf>
    <xf numFmtId="168" fontId="13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45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168" fontId="13" fillId="0" borderId="5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 wrapText="1"/>
    </xf>
    <xf numFmtId="168" fontId="13" fillId="0" borderId="4" xfId="0" applyNumberFormat="1" applyFont="1" applyBorder="1" applyAlignment="1">
      <alignment horizontal="center" vertical="center"/>
    </xf>
    <xf numFmtId="168" fontId="13" fillId="0" borderId="15" xfId="0" applyNumberFormat="1" applyFont="1" applyBorder="1" applyAlignment="1">
      <alignment horizontal="center" vertical="center"/>
    </xf>
    <xf numFmtId="168" fontId="13" fillId="0" borderId="2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 wrapText="1"/>
    </xf>
    <xf numFmtId="0" fontId="45" fillId="0" borderId="9" xfId="0" applyFont="1" applyBorder="1" applyAlignment="1">
      <alignment horizontal="left" vertical="center" wrapText="1"/>
    </xf>
    <xf numFmtId="167" fontId="33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168" fontId="33" fillId="0" borderId="8" xfId="0" applyNumberFormat="1" applyFont="1" applyBorder="1" applyAlignment="1">
      <alignment horizontal="center" vertical="center"/>
    </xf>
    <xf numFmtId="168" fontId="13" fillId="0" borderId="8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168" fontId="33" fillId="0" borderId="1" xfId="0" applyNumberFormat="1" applyFont="1" applyBorder="1" applyAlignment="1">
      <alignment horizontal="center" vertical="center"/>
    </xf>
    <xf numFmtId="167" fontId="3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168" fontId="33" fillId="0" borderId="1" xfId="0" applyNumberFormat="1" applyFont="1" applyBorder="1" applyAlignment="1">
      <alignment vertical="center"/>
    </xf>
    <xf numFmtId="0" fontId="45" fillId="0" borderId="4" xfId="0" applyFont="1" applyBorder="1" applyAlignment="1">
      <alignment horizontal="left" vertical="center" wrapText="1"/>
    </xf>
    <xf numFmtId="168" fontId="33" fillId="0" borderId="4" xfId="0" applyNumberFormat="1" applyFont="1" applyBorder="1" applyAlignment="1">
      <alignment vertical="center"/>
    </xf>
    <xf numFmtId="168" fontId="33" fillId="0" borderId="8" xfId="0" applyNumberFormat="1" applyFont="1" applyBorder="1" applyAlignment="1">
      <alignment vertical="center"/>
    </xf>
    <xf numFmtId="0" fontId="24" fillId="0" borderId="11" xfId="0" applyFont="1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 wrapText="1"/>
    </xf>
    <xf numFmtId="0" fontId="24" fillId="0" borderId="8" xfId="0" applyFont="1" applyBorder="1" applyAlignment="1">
      <alignment wrapText="1"/>
    </xf>
    <xf numFmtId="0" fontId="24" fillId="0" borderId="8" xfId="0" applyFont="1" applyBorder="1"/>
    <xf numFmtId="3" fontId="33" fillId="0" borderId="1" xfId="0" applyNumberFormat="1" applyFont="1" applyBorder="1" applyAlignment="1">
      <alignment horizontal="center" vertical="center"/>
    </xf>
    <xf numFmtId="167" fontId="3" fillId="0" borderId="0" xfId="0" applyNumberFormat="1" applyFont="1"/>
    <xf numFmtId="0" fontId="15" fillId="0" borderId="0" xfId="0" applyFont="1"/>
    <xf numFmtId="0" fontId="23" fillId="0" borderId="0" xfId="0" applyFont="1" applyAlignment="1">
      <alignment horizontal="center" wrapText="1"/>
    </xf>
    <xf numFmtId="0" fontId="3" fillId="0" borderId="6" xfId="0" applyFont="1" applyBorder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2" fontId="17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center" shrinkToFit="1"/>
    </xf>
    <xf numFmtId="0" fontId="51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2" fontId="5" fillId="0" borderId="1" xfId="0" applyNumberFormat="1" applyFont="1" applyBorder="1" applyAlignment="1">
      <alignment horizontal="center" vertical="center" wrapText="1" shrinkToFit="1"/>
    </xf>
    <xf numFmtId="3" fontId="5" fillId="0" borderId="1" xfId="0" applyNumberFormat="1" applyFont="1" applyBorder="1" applyAlignment="1">
      <alignment horizontal="center" vertical="center" wrapText="1" shrinkToFit="1"/>
    </xf>
    <xf numFmtId="4" fontId="4" fillId="0" borderId="1" xfId="0" applyNumberFormat="1" applyFont="1" applyBorder="1" applyAlignment="1">
      <alignment horizontal="center" vertical="center" wrapText="1" shrinkToFit="1"/>
    </xf>
    <xf numFmtId="4" fontId="9" fillId="0" borderId="1" xfId="0" applyNumberFormat="1" applyFont="1" applyBorder="1" applyAlignment="1">
      <alignment vertical="center" wrapText="1" shrinkToFit="1"/>
    </xf>
    <xf numFmtId="2" fontId="4" fillId="0" borderId="1" xfId="0" applyNumberFormat="1" applyFont="1" applyBorder="1" applyAlignment="1">
      <alignment horizontal="center" vertical="center" wrapText="1" shrinkToFit="1"/>
    </xf>
    <xf numFmtId="3" fontId="4" fillId="0" borderId="1" xfId="0" applyNumberFormat="1" applyFont="1" applyBorder="1" applyAlignment="1">
      <alignment horizontal="center" vertical="center" wrapText="1" shrinkToFit="1"/>
    </xf>
    <xf numFmtId="2" fontId="4" fillId="0" borderId="1" xfId="0" applyNumberFormat="1" applyFont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shrinkToFit="1"/>
    </xf>
    <xf numFmtId="2" fontId="5" fillId="0" borderId="1" xfId="0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wrapText="1" shrinkToFit="1"/>
    </xf>
    <xf numFmtId="4" fontId="30" fillId="0" borderId="1" xfId="0" applyNumberFormat="1" applyFont="1" applyBorder="1" applyAlignment="1">
      <alignment vertical="center" wrapText="1" shrinkToFit="1"/>
    </xf>
    <xf numFmtId="2" fontId="6" fillId="0" borderId="1" xfId="0" applyNumberFormat="1" applyFont="1" applyBorder="1" applyAlignment="1">
      <alignment horizontal="center" vertical="center" wrapText="1" shrinkToFit="1"/>
    </xf>
    <xf numFmtId="3" fontId="6" fillId="0" borderId="1" xfId="0" applyNumberFormat="1" applyFont="1" applyBorder="1" applyAlignment="1">
      <alignment horizontal="center" vertical="center" wrapText="1" shrinkToFit="1"/>
    </xf>
    <xf numFmtId="4" fontId="7" fillId="0" borderId="0" xfId="0" applyNumberFormat="1" applyFont="1"/>
    <xf numFmtId="4" fontId="8" fillId="0" borderId="1" xfId="0" applyNumberFormat="1" applyFont="1" applyBorder="1" applyAlignment="1">
      <alignment horizontal="center" vertical="center" wrapText="1" shrinkToFit="1"/>
    </xf>
    <xf numFmtId="4" fontId="11" fillId="0" borderId="1" xfId="0" applyNumberFormat="1" applyFont="1" applyBorder="1" applyAlignment="1">
      <alignment horizontal="left" vertical="center" wrapText="1" shrinkToFit="1"/>
    </xf>
    <xf numFmtId="4" fontId="9" fillId="0" borderId="1" xfId="0" applyNumberFormat="1" applyFont="1" applyBorder="1" applyAlignment="1">
      <alignment horizontal="left" vertical="center" wrapText="1" shrinkToFit="1"/>
    </xf>
    <xf numFmtId="4" fontId="34" fillId="0" borderId="1" xfId="0" applyNumberFormat="1" applyFont="1" applyBorder="1" applyAlignment="1">
      <alignment horizontal="center" vertical="center" wrapText="1" shrinkToFit="1"/>
    </xf>
    <xf numFmtId="4" fontId="30" fillId="0" borderId="1" xfId="0" applyNumberFormat="1" applyFont="1" applyBorder="1" applyAlignment="1">
      <alignment horizontal="left" vertical="center" wrapText="1" shrinkToFit="1"/>
    </xf>
    <xf numFmtId="4" fontId="38" fillId="0" borderId="0" xfId="0" applyNumberFormat="1" applyFont="1"/>
    <xf numFmtId="0" fontId="38" fillId="0" borderId="0" xfId="0" applyFont="1"/>
    <xf numFmtId="4" fontId="8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left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left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24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9" fillId="0" borderId="1" xfId="0" applyNumberFormat="1" applyFont="1" applyBorder="1" applyAlignment="1">
      <alignment horizontal="left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 wrapText="1"/>
    </xf>
    <xf numFmtId="4" fontId="9" fillId="0" borderId="1" xfId="3" applyNumberFormat="1" applyFont="1" applyBorder="1" applyAlignment="1">
      <alignment horizontal="left" vertical="center" wrapText="1"/>
    </xf>
    <xf numFmtId="4" fontId="0" fillId="0" borderId="0" xfId="0" applyNumberFormat="1" applyAlignment="1">
      <alignment horizontal="center" vertical="center"/>
    </xf>
    <xf numFmtId="3" fontId="46" fillId="0" borderId="1" xfId="1" applyNumberFormat="1" applyFont="1" applyBorder="1" applyAlignment="1">
      <alignment horizontal="center" vertical="center" wrapText="1"/>
    </xf>
    <xf numFmtId="2" fontId="46" fillId="0" borderId="1" xfId="0" applyNumberFormat="1" applyFont="1" applyBorder="1" applyAlignment="1">
      <alignment horizontal="center" vertical="center" wrapText="1"/>
    </xf>
    <xf numFmtId="2" fontId="46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" fontId="9" fillId="0" borderId="1" xfId="1" applyNumberFormat="1" applyFont="1" applyBorder="1" applyAlignment="1">
      <alignment horizontal="left" vertical="center" wrapText="1"/>
    </xf>
    <xf numFmtId="2" fontId="6" fillId="0" borderId="1" xfId="1" applyNumberFormat="1" applyFont="1" applyBorder="1" applyAlignment="1">
      <alignment horizontal="left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 shrinkToFit="1"/>
    </xf>
    <xf numFmtId="4" fontId="4" fillId="0" borderId="1" xfId="1" applyNumberFormat="1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30" fillId="0" borderId="1" xfId="0" applyFont="1" applyBorder="1" applyAlignment="1">
      <alignment horizontal="left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2" fontId="3" fillId="0" borderId="0" xfId="0" applyNumberFormat="1" applyFont="1"/>
    <xf numFmtId="0" fontId="0" fillId="0" borderId="6" xfId="0" applyBorder="1" applyAlignment="1">
      <alignment wrapText="1"/>
    </xf>
    <xf numFmtId="2" fontId="0" fillId="0" borderId="6" xfId="0" applyNumberFormat="1" applyBorder="1" applyAlignment="1">
      <alignment wrapText="1"/>
    </xf>
    <xf numFmtId="0" fontId="3" fillId="0" borderId="6" xfId="0" applyFont="1" applyBorder="1" applyAlignment="1">
      <alignment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68" fontId="24" fillId="0" borderId="1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167" fontId="24" fillId="0" borderId="1" xfId="0" applyNumberFormat="1" applyFont="1" applyBorder="1" applyAlignment="1">
      <alignment horizontal="center" vertical="center" wrapText="1"/>
    </xf>
    <xf numFmtId="3" fontId="53" fillId="0" borderId="1" xfId="0" applyNumberFormat="1" applyFont="1" applyBorder="1" applyAlignment="1">
      <alignment horizontal="center" vertical="center"/>
    </xf>
    <xf numFmtId="3" fontId="54" fillId="0" borderId="1" xfId="0" applyNumberFormat="1" applyFont="1" applyBorder="1" applyAlignment="1">
      <alignment horizontal="center" vertical="center"/>
    </xf>
    <xf numFmtId="168" fontId="28" fillId="0" borderId="1" xfId="0" applyNumberFormat="1" applyFont="1" applyBorder="1" applyAlignment="1">
      <alignment vertical="center"/>
    </xf>
    <xf numFmtId="166" fontId="1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3" fontId="27" fillId="0" borderId="1" xfId="0" applyNumberFormat="1" applyFont="1" applyBorder="1" applyAlignment="1">
      <alignment horizontal="center" vertical="center" wrapText="1"/>
    </xf>
    <xf numFmtId="4" fontId="23" fillId="0" borderId="0" xfId="0" applyNumberFormat="1" applyFont="1"/>
    <xf numFmtId="3" fontId="23" fillId="0" borderId="0" xfId="0" applyNumberFormat="1" applyFont="1"/>
    <xf numFmtId="4" fontId="12" fillId="0" borderId="0" xfId="0" applyNumberFormat="1" applyFont="1"/>
    <xf numFmtId="3" fontId="12" fillId="0" borderId="0" xfId="0" applyNumberFormat="1" applyFont="1"/>
    <xf numFmtId="0" fontId="6" fillId="0" borderId="0" xfId="0" applyFont="1" applyAlignment="1">
      <alignment horizontal="center"/>
    </xf>
    <xf numFmtId="3" fontId="28" fillId="0" borderId="1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16" fontId="17" fillId="0" borderId="1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168" fontId="0" fillId="0" borderId="0" xfId="0" applyNumberFormat="1"/>
    <xf numFmtId="167" fontId="27" fillId="0" borderId="1" xfId="0" applyNumberFormat="1" applyFont="1" applyBorder="1" applyAlignment="1">
      <alignment horizontal="center" vertical="center" wrapText="1"/>
    </xf>
    <xf numFmtId="165" fontId="24" fillId="0" borderId="1" xfId="7" applyNumberFormat="1" applyFont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center" wrapText="1"/>
    </xf>
    <xf numFmtId="0" fontId="24" fillId="0" borderId="1" xfId="7" applyFont="1" applyBorder="1" applyAlignment="1">
      <alignment horizontal="center" vertical="center" wrapText="1"/>
    </xf>
    <xf numFmtId="3" fontId="28" fillId="0" borderId="1" xfId="7" applyNumberFormat="1" applyFont="1" applyBorder="1" applyAlignment="1">
      <alignment horizontal="center" vertical="center"/>
    </xf>
    <xf numFmtId="3" fontId="27" fillId="0" borderId="1" xfId="7" applyNumberFormat="1" applyFont="1" applyBorder="1" applyAlignment="1">
      <alignment horizontal="center" vertical="center"/>
    </xf>
    <xf numFmtId="3" fontId="53" fillId="0" borderId="1" xfId="7" applyNumberFormat="1" applyFont="1" applyBorder="1" applyAlignment="1">
      <alignment horizontal="center" vertical="center"/>
    </xf>
    <xf numFmtId="3" fontId="54" fillId="0" borderId="1" xfId="7" applyNumberFormat="1" applyFont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0" fillId="0" borderId="1" xfId="0" applyFont="1" applyBorder="1" applyAlignment="1">
      <alignment horizontal="center"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3" fontId="28" fillId="0" borderId="0" xfId="0" applyNumberFormat="1" applyFont="1" applyAlignment="1">
      <alignment horizontal="center" vertical="center"/>
    </xf>
    <xf numFmtId="0" fontId="0" fillId="0" borderId="3" xfId="0" applyBorder="1"/>
    <xf numFmtId="0" fontId="3" fillId="0" borderId="3" xfId="0" applyFont="1" applyBorder="1"/>
    <xf numFmtId="3" fontId="28" fillId="0" borderId="4" xfId="0" applyNumberFormat="1" applyFont="1" applyBorder="1" applyAlignment="1">
      <alignment horizontal="center" vertical="center"/>
    </xf>
    <xf numFmtId="166" fontId="39" fillId="0" borderId="1" xfId="0" applyNumberFormat="1" applyFont="1" applyBorder="1" applyAlignment="1">
      <alignment horizontal="center" vertical="center"/>
    </xf>
    <xf numFmtId="166" fontId="23" fillId="0" borderId="0" xfId="0" applyNumberFormat="1" applyFont="1"/>
    <xf numFmtId="0" fontId="4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vertical="top" wrapText="1"/>
    </xf>
    <xf numFmtId="0" fontId="4" fillId="0" borderId="4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center" vertical="center" wrapText="1"/>
    </xf>
    <xf numFmtId="168" fontId="4" fillId="0" borderId="4" xfId="0" applyNumberFormat="1" applyFont="1" applyBorder="1" applyAlignment="1">
      <alignment horizontal="center" vertical="top" wrapText="1"/>
    </xf>
    <xf numFmtId="168" fontId="46" fillId="0" borderId="4" xfId="0" applyNumberFormat="1" applyFont="1" applyBorder="1" applyAlignment="1">
      <alignment horizontal="center" vertical="top" wrapText="1"/>
    </xf>
    <xf numFmtId="169" fontId="4" fillId="0" borderId="1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top" wrapText="1"/>
    </xf>
    <xf numFmtId="168" fontId="4" fillId="0" borderId="1" xfId="0" applyNumberFormat="1" applyFont="1" applyBorder="1" applyAlignment="1">
      <alignment horizontal="center" vertical="top" wrapText="1"/>
    </xf>
    <xf numFmtId="169" fontId="4" fillId="0" borderId="1" xfId="0" applyNumberFormat="1" applyFont="1" applyBorder="1" applyAlignment="1">
      <alignment horizontal="center" vertical="top" wrapText="1"/>
    </xf>
    <xf numFmtId="168" fontId="4" fillId="0" borderId="16" xfId="0" applyNumberFormat="1" applyFont="1" applyBorder="1" applyAlignment="1">
      <alignment horizontal="center" vertical="top" wrapText="1"/>
    </xf>
    <xf numFmtId="168" fontId="4" fillId="0" borderId="13" xfId="0" applyNumberFormat="1" applyFont="1" applyBorder="1" applyAlignment="1">
      <alignment horizontal="center" vertical="top" wrapText="1"/>
    </xf>
    <xf numFmtId="169" fontId="4" fillId="0" borderId="13" xfId="0" applyNumberFormat="1" applyFont="1" applyBorder="1" applyAlignment="1">
      <alignment horizontal="center" vertical="top" wrapText="1"/>
    </xf>
    <xf numFmtId="169" fontId="4" fillId="0" borderId="14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169" fontId="4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169" fontId="4" fillId="0" borderId="4" xfId="0" applyNumberFormat="1" applyFont="1" applyBorder="1" applyAlignment="1">
      <alignment horizontal="center" vertical="top" wrapText="1"/>
    </xf>
    <xf numFmtId="168" fontId="46" fillId="0" borderId="1" xfId="0" applyNumberFormat="1" applyFont="1" applyBorder="1" applyAlignment="1">
      <alignment horizontal="center" vertical="top" wrapText="1"/>
    </xf>
    <xf numFmtId="169" fontId="4" fillId="0" borderId="1" xfId="0" applyNumberFormat="1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69" fontId="46" fillId="0" borderId="1" xfId="0" applyNumberFormat="1" applyFont="1" applyBorder="1" applyAlignment="1">
      <alignment horizontal="center" vertical="top" wrapText="1"/>
    </xf>
    <xf numFmtId="169" fontId="4" fillId="0" borderId="11" xfId="0" applyNumberFormat="1" applyFont="1" applyBorder="1" applyAlignment="1">
      <alignment horizontal="center" vertical="top" wrapText="1"/>
    </xf>
    <xf numFmtId="0" fontId="46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167" fontId="4" fillId="0" borderId="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35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2" fontId="46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167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left" vertical="top" wrapText="1"/>
    </xf>
    <xf numFmtId="0" fontId="24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14" fillId="0" borderId="7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168" fontId="13" fillId="0" borderId="8" xfId="0" applyNumberFormat="1" applyFont="1" applyBorder="1" applyAlignment="1">
      <alignment horizontal="center" vertical="center"/>
    </xf>
    <xf numFmtId="168" fontId="13" fillId="0" borderId="4" xfId="0" applyNumberFormat="1" applyFont="1" applyBorder="1" applyAlignment="1">
      <alignment horizontal="center" vertical="center"/>
    </xf>
    <xf numFmtId="168" fontId="33" fillId="0" borderId="8" xfId="0" applyNumberFormat="1" applyFont="1" applyBorder="1" applyAlignment="1">
      <alignment horizontal="center" vertical="center"/>
    </xf>
    <xf numFmtId="168" fontId="33" fillId="0" borderId="4" xfId="0" applyNumberFormat="1" applyFont="1" applyBorder="1" applyAlignment="1">
      <alignment horizontal="center" vertical="center"/>
    </xf>
    <xf numFmtId="168" fontId="33" fillId="0" borderId="5" xfId="0" applyNumberFormat="1" applyFont="1" applyBorder="1" applyAlignment="1">
      <alignment horizontal="center" vertical="center"/>
    </xf>
    <xf numFmtId="168" fontId="13" fillId="0" borderId="5" xfId="0" applyNumberFormat="1" applyFont="1" applyBorder="1" applyAlignment="1">
      <alignment horizontal="center" vertical="center"/>
    </xf>
    <xf numFmtId="168" fontId="13" fillId="0" borderId="18" xfId="0" applyNumberFormat="1" applyFont="1" applyBorder="1" applyAlignment="1">
      <alignment horizontal="center" vertical="center"/>
    </xf>
    <xf numFmtId="168" fontId="13" fillId="0" borderId="9" xfId="0" applyNumberFormat="1" applyFont="1" applyBorder="1" applyAlignment="1">
      <alignment horizontal="center" vertical="center"/>
    </xf>
    <xf numFmtId="168" fontId="13" fillId="0" borderId="10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8" fontId="14" fillId="0" borderId="5" xfId="0" applyNumberFormat="1" applyFont="1" applyBorder="1" applyAlignment="1">
      <alignment horizontal="center" vertical="center" wrapText="1"/>
    </xf>
    <xf numFmtId="168" fontId="14" fillId="0" borderId="8" xfId="0" applyNumberFormat="1" applyFont="1" applyBorder="1" applyAlignment="1">
      <alignment horizontal="center" vertical="center" wrapText="1"/>
    </xf>
    <xf numFmtId="168" fontId="14" fillId="0" borderId="4" xfId="0" applyNumberFormat="1" applyFont="1" applyBorder="1" applyAlignment="1">
      <alignment horizontal="center" vertical="center" wrapText="1"/>
    </xf>
    <xf numFmtId="167" fontId="33" fillId="0" borderId="5" xfId="0" applyNumberFormat="1" applyFont="1" applyBorder="1" applyAlignment="1">
      <alignment horizontal="center" vertical="center"/>
    </xf>
    <xf numFmtId="167" fontId="33" fillId="0" borderId="8" xfId="0" applyNumberFormat="1" applyFont="1" applyBorder="1" applyAlignment="1">
      <alignment horizontal="center" vertical="center"/>
    </xf>
    <xf numFmtId="167" fontId="33" fillId="0" borderId="4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8" fontId="33" fillId="0" borderId="1" xfId="0" applyNumberFormat="1" applyFont="1" applyBorder="1" applyAlignment="1">
      <alignment horizontal="center" vertical="center"/>
    </xf>
    <xf numFmtId="168" fontId="13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36" fillId="0" borderId="6" xfId="0" applyFont="1" applyBorder="1" applyAlignment="1">
      <alignment horizontal="center" vertical="center" wrapText="1"/>
    </xf>
    <xf numFmtId="0" fontId="37" fillId="0" borderId="6" xfId="0" applyFont="1" applyBorder="1"/>
    <xf numFmtId="0" fontId="1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51" fillId="0" borderId="7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51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0" fillId="0" borderId="1" xfId="6" applyFont="1" applyBorder="1" applyAlignment="1">
      <alignment horizontal="left" vertical="center" wrapText="1"/>
    </xf>
    <xf numFmtId="168" fontId="33" fillId="0" borderId="11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168" fontId="33" fillId="0" borderId="1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2" fontId="8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8" fillId="0" borderId="7" xfId="1" applyNumberFormat="1" applyFont="1" applyBorder="1" applyAlignment="1">
      <alignment horizontal="left" vertical="center" wrapText="1"/>
    </xf>
    <xf numFmtId="2" fontId="8" fillId="0" borderId="3" xfId="1" applyNumberFormat="1" applyFont="1" applyBorder="1" applyAlignment="1">
      <alignment horizontal="left" vertical="center" wrapText="1"/>
    </xf>
    <xf numFmtId="2" fontId="8" fillId="0" borderId="2" xfId="1" applyNumberFormat="1" applyFont="1" applyBorder="1" applyAlignment="1">
      <alignment horizontal="left" vertical="center" wrapText="1"/>
    </xf>
    <xf numFmtId="4" fontId="8" fillId="0" borderId="7" xfId="1" applyNumberFormat="1" applyFont="1" applyBorder="1" applyAlignment="1">
      <alignment horizontal="left" vertical="center" wrapText="1"/>
    </xf>
    <xf numFmtId="4" fontId="8" fillId="0" borderId="3" xfId="1" applyNumberFormat="1" applyFont="1" applyBorder="1" applyAlignment="1">
      <alignment horizontal="left" vertical="center" wrapText="1"/>
    </xf>
    <xf numFmtId="4" fontId="8" fillId="0" borderId="2" xfId="1" applyNumberFormat="1" applyFont="1" applyBorder="1" applyAlignment="1">
      <alignment horizontal="left" vertical="center" wrapText="1"/>
    </xf>
    <xf numFmtId="165" fontId="8" fillId="0" borderId="7" xfId="1" applyNumberFormat="1" applyFont="1" applyBorder="1" applyAlignment="1">
      <alignment horizontal="left" vertical="center" wrapText="1"/>
    </xf>
    <xf numFmtId="165" fontId="8" fillId="0" borderId="3" xfId="1" applyNumberFormat="1" applyFont="1" applyBorder="1" applyAlignment="1">
      <alignment horizontal="left" vertical="center" wrapText="1"/>
    </xf>
    <xf numFmtId="165" fontId="8" fillId="0" borderId="2" xfId="1" applyNumberFormat="1" applyFont="1" applyBorder="1" applyAlignment="1">
      <alignment horizontal="left" vertical="center" wrapText="1"/>
    </xf>
    <xf numFmtId="4" fontId="8" fillId="0" borderId="1" xfId="1" applyNumberFormat="1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7" xfId="0" applyNumberFormat="1" applyFont="1" applyBorder="1" applyAlignment="1">
      <alignment horizontal="left" vertical="center" wrapText="1" shrinkToFit="1"/>
    </xf>
    <xf numFmtId="4" fontId="8" fillId="0" borderId="3" xfId="0" applyNumberFormat="1" applyFont="1" applyBorder="1" applyAlignment="1">
      <alignment horizontal="left" vertical="center" wrapText="1" shrinkToFit="1"/>
    </xf>
    <xf numFmtId="4" fontId="8" fillId="0" borderId="2" xfId="0" applyNumberFormat="1" applyFont="1" applyBorder="1" applyAlignment="1">
      <alignment horizontal="left" vertical="center" wrapText="1" shrinkToFit="1"/>
    </xf>
    <xf numFmtId="0" fontId="41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3" fontId="27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3" fontId="2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2" fillId="0" borderId="6" xfId="0" applyFont="1" applyBorder="1"/>
    <xf numFmtId="0" fontId="17" fillId="0" borderId="7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</cellXfs>
  <cellStyles count="11">
    <cellStyle name="Обычный" xfId="0" builtinId="0"/>
    <cellStyle name="Обычный 2" xfId="1" xr:uid="{00000000-0005-0000-0000-000001000000}"/>
    <cellStyle name="Обычный 2 2" xfId="7" xr:uid="{00000000-0005-0000-0000-000002000000}"/>
    <cellStyle name="Обычный 2 3" xfId="8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_Лист1" xfId="6" xr:uid="{00000000-0005-0000-0000-000006000000}"/>
    <cellStyle name="Финансовый" xfId="4" builtinId="3"/>
    <cellStyle name="Финансовый 2" xfId="5" xr:uid="{00000000-0005-0000-0000-000008000000}"/>
    <cellStyle name="Финансовый 3" xfId="9" xr:uid="{00000000-0005-0000-0000-000009000000}"/>
    <cellStyle name="Финансовый 4" xfId="10" xr:uid="{00000000-0005-0000-0000-00000A000000}"/>
  </cellStyles>
  <dxfs count="0"/>
  <tableStyles count="0" defaultTableStyle="TableStyleMedium2" defaultPivotStyle="PivotStyleLight16"/>
  <colors>
    <mruColors>
      <color rgb="FFFFFF99"/>
      <color rgb="FFFFFF00"/>
      <color rgb="FFFFFF66"/>
      <color rgb="FFFFFFCC"/>
      <color rgb="FFF9B67F"/>
      <color rgb="FFFF9933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80;&#1079;&#1084;.%20&#1044;&#1091;&#1084;&#1072;%2024.03.2021\&#1050;&#1086;&#1087;&#1080;&#1103;%20&#1087;&#1088;&#1080;&#1083;&#1086;&#1078;&#1077;&#1085;&#1080;&#1103;%2024.03.2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umplan/&#1101;&#1083;.&#1087;&#1086;&#1095;&#1090;&#1072;/&#1054;&#1058;&#1063;&#1045;&#1058;&#1067;%20&#1069;&#1050;&#1054;&#1053;&#1054;&#1052;&#1048;&#1057;&#1058;&#1067;/&#1055;&#1088;&#1086;&#1075;&#1088;&#1072;&#1084;&#1084;&#1072;/&#1055;&#1088;&#1086;&#1077;&#1082;&#1090;&#1099;%20&#1087;&#1086;&#1089;&#1090;&#1072;&#1085;&#1086;&#1074;&#1083;&#1077;&#1085;&#1080;&#1081;/&#1055;&#1088;&#1086;&#1075;&#1088;&#1072;&#1084;&#1084;&#1072;%202021-2025/&#1080;&#1079;&#1084;.%20&#1044;&#1091;&#1084;&#1072;%20&#1088;&#1077;&#1096;.1137/2%20&#1050;&#1086;&#1087;&#1080;&#1103;%20&#1087;&#1088;&#1080;&#1083;&#1086;&#1078;&#1077;&#1085;&#1080;&#1103;%20&#1088;&#1077;&#1096;.1137%20(&#1089;%20&#1087;&#1086;&#1095;&#1090;&#1099;)%20&#1086;&#1088;&#1080;&#1075;&#1080;&#1085;&#1072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59;&#1090;&#1074;&#1077;&#1088;&#1076;&#1080;&#1083;&#1080;%20&#1085;&#1072;%20&#1044;&#1059;&#1052;&#1077;%20(&#1079;&#1072;&#1087;&#1091;&#1089;&#1082;&#1072;&#1077;&#1084;%20&#1087;&#1088;&#1086;&#1077;&#1082;&#1090;%20&#1087;&#1086;&#1089;&#1090;&#1072;&#1085;&#1086;&#1074;&#1083;&#1077;&#1085;&#1080;&#1103;)\&#1059;&#1090;&#1074;.&#1087;&#1088;&#1080;&#1083;&#1086;&#1078;&#1077;&#1085;&#1080;&#1103;%2021-25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онеч.рез."/>
      <sheetName val="2.переченьПБДД"/>
      <sheetName val="3.переченьМРАД"/>
      <sheetName val="4.меропр."/>
      <sheetName val="5.индик."/>
      <sheetName val="Лист1"/>
    </sheetNames>
    <sheetDataSet>
      <sheetData sheetId="0" refreshError="1"/>
      <sheetData sheetId="1" refreshError="1"/>
      <sheetData sheetId="2" refreshError="1">
        <row r="96">
          <cell r="G96">
            <v>0</v>
          </cell>
          <cell r="Q96">
            <v>0</v>
          </cell>
          <cell r="V96">
            <v>0</v>
          </cell>
          <cell r="AA96">
            <v>0</v>
          </cell>
        </row>
        <row r="215">
          <cell r="G215">
            <v>0</v>
          </cell>
          <cell r="L215">
            <v>0</v>
          </cell>
          <cell r="Q215">
            <v>0</v>
          </cell>
          <cell r="AA215">
            <v>0</v>
          </cell>
        </row>
        <row r="216">
          <cell r="G216">
            <v>0</v>
          </cell>
          <cell r="L216">
            <v>0</v>
          </cell>
          <cell r="Q216">
            <v>0</v>
          </cell>
          <cell r="AA216">
            <v>0</v>
          </cell>
        </row>
        <row r="217">
          <cell r="G217">
            <v>0</v>
          </cell>
          <cell r="L217">
            <v>0</v>
          </cell>
          <cell r="Q217">
            <v>0</v>
          </cell>
          <cell r="AA217">
            <v>0</v>
          </cell>
        </row>
        <row r="218">
          <cell r="G218">
            <v>0</v>
          </cell>
          <cell r="L218">
            <v>0</v>
          </cell>
          <cell r="Q218">
            <v>0</v>
          </cell>
          <cell r="AA218">
            <v>0</v>
          </cell>
        </row>
        <row r="219">
          <cell r="G219">
            <v>0</v>
          </cell>
          <cell r="L219">
            <v>0</v>
          </cell>
          <cell r="Q219">
            <v>0</v>
          </cell>
          <cell r="AA219">
            <v>0</v>
          </cell>
        </row>
        <row r="220">
          <cell r="G220">
            <v>0</v>
          </cell>
          <cell r="L220">
            <v>0</v>
          </cell>
          <cell r="Q220">
            <v>0</v>
          </cell>
          <cell r="AA220">
            <v>0</v>
          </cell>
        </row>
        <row r="221">
          <cell r="G221">
            <v>0</v>
          </cell>
          <cell r="L221">
            <v>0</v>
          </cell>
          <cell r="Q221">
            <v>0</v>
          </cell>
          <cell r="AA221">
            <v>0</v>
          </cell>
        </row>
        <row r="222">
          <cell r="G222">
            <v>0</v>
          </cell>
          <cell r="L222">
            <v>0</v>
          </cell>
          <cell r="Q222">
            <v>0</v>
          </cell>
          <cell r="AA222">
            <v>0</v>
          </cell>
        </row>
        <row r="223">
          <cell r="G223">
            <v>0</v>
          </cell>
          <cell r="L223">
            <v>0</v>
          </cell>
          <cell r="Q223">
            <v>0</v>
          </cell>
          <cell r="AA223">
            <v>0</v>
          </cell>
        </row>
        <row r="224">
          <cell r="G224">
            <v>0</v>
          </cell>
          <cell r="L224">
            <v>0</v>
          </cell>
          <cell r="Q224">
            <v>0</v>
          </cell>
          <cell r="AA224">
            <v>0</v>
          </cell>
        </row>
        <row r="225">
          <cell r="G225">
            <v>0</v>
          </cell>
          <cell r="L225">
            <v>0</v>
          </cell>
          <cell r="Q225">
            <v>0</v>
          </cell>
          <cell r="AA225">
            <v>0</v>
          </cell>
        </row>
        <row r="226">
          <cell r="G226">
            <v>0</v>
          </cell>
          <cell r="L226">
            <v>0</v>
          </cell>
          <cell r="Q226">
            <v>0</v>
          </cell>
          <cell r="AA226">
            <v>0</v>
          </cell>
        </row>
        <row r="227">
          <cell r="G227">
            <v>0</v>
          </cell>
          <cell r="L227">
            <v>0</v>
          </cell>
          <cell r="Q227">
            <v>0</v>
          </cell>
          <cell r="AA227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еч.рез."/>
      <sheetName val="1.переченьПБДД"/>
      <sheetName val="2.переченьМРАД"/>
      <sheetName val="3.меропр."/>
      <sheetName val="4.индик."/>
    </sheetNames>
    <sheetDataSet>
      <sheetData sheetId="0"/>
      <sheetData sheetId="1"/>
      <sheetData sheetId="2">
        <row r="510">
          <cell r="M510">
            <v>0</v>
          </cell>
          <cell r="R510">
            <v>0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иска (МРАД)"/>
      <sheetName val="1.переченьПБДД"/>
      <sheetName val="2.переченьМРАД"/>
      <sheetName val="3.меропр."/>
      <sheetName val="4.индикаторы"/>
      <sheetName val="конечные результаты"/>
      <sheetName val="Лист1"/>
    </sheetNames>
    <sheetDataSet>
      <sheetData sheetId="0"/>
      <sheetData sheetId="1"/>
      <sheetData sheetId="2"/>
      <sheetData sheetId="3">
        <row r="44">
          <cell r="F44">
            <v>78904.999280000004</v>
          </cell>
          <cell r="G44">
            <v>700000.00072000001</v>
          </cell>
          <cell r="H44">
            <v>0</v>
          </cell>
          <cell r="I44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5"/>
  <sheetViews>
    <sheetView view="pageBreakPreview" zoomScale="80" zoomScaleSheetLayoutView="80" workbookViewId="0">
      <selection sqref="A1:XFD1048576"/>
    </sheetView>
  </sheetViews>
  <sheetFormatPr defaultRowHeight="12.75" x14ac:dyDescent="0.2"/>
  <cols>
    <col min="1" max="1" width="4.85546875" customWidth="1"/>
    <col min="2" max="2" width="35.140625" customWidth="1"/>
    <col min="3" max="3" width="11.5703125" customWidth="1"/>
    <col min="4" max="4" width="8.85546875"/>
    <col min="5" max="6" width="10.85546875" customWidth="1"/>
    <col min="7" max="7" width="11.5703125" customWidth="1"/>
    <col min="8" max="8" width="11" customWidth="1"/>
    <col min="9" max="9" width="12.42578125" customWidth="1"/>
    <col min="10" max="10" width="18.5703125" customWidth="1"/>
  </cols>
  <sheetData>
    <row r="1" spans="1:11" ht="84" customHeight="1" x14ac:dyDescent="0.25">
      <c r="E1" s="306" t="s">
        <v>1627</v>
      </c>
      <c r="F1" s="306"/>
      <c r="G1" s="306"/>
      <c r="H1" s="306"/>
      <c r="I1" s="306"/>
      <c r="J1" s="6"/>
      <c r="K1" s="6"/>
    </row>
    <row r="2" spans="1:11" ht="40.15" customHeight="1" x14ac:dyDescent="0.2">
      <c r="A2" s="305" t="s">
        <v>691</v>
      </c>
      <c r="B2" s="305"/>
      <c r="C2" s="305"/>
      <c r="D2" s="305"/>
      <c r="E2" s="305"/>
      <c r="F2" s="305"/>
      <c r="G2" s="305"/>
      <c r="H2" s="305"/>
      <c r="I2" s="305"/>
    </row>
    <row r="3" spans="1:11" ht="31.5" customHeight="1" x14ac:dyDescent="0.2">
      <c r="A3" s="312" t="s">
        <v>124</v>
      </c>
      <c r="B3" s="312" t="s">
        <v>491</v>
      </c>
      <c r="C3" s="312" t="s">
        <v>492</v>
      </c>
      <c r="D3" s="312" t="s">
        <v>371</v>
      </c>
      <c r="E3" s="312" t="s">
        <v>493</v>
      </c>
      <c r="F3" s="312"/>
      <c r="G3" s="312"/>
      <c r="H3" s="312"/>
      <c r="I3" s="312"/>
    </row>
    <row r="4" spans="1:11" ht="27" customHeight="1" x14ac:dyDescent="0.2">
      <c r="A4" s="312"/>
      <c r="B4" s="312"/>
      <c r="C4" s="312"/>
      <c r="D4" s="312"/>
      <c r="E4" s="7" t="s">
        <v>1619</v>
      </c>
      <c r="F4" s="7" t="s">
        <v>1620</v>
      </c>
      <c r="G4" s="7" t="s">
        <v>1621</v>
      </c>
      <c r="H4" s="7" t="s">
        <v>1622</v>
      </c>
      <c r="I4" s="7" t="s">
        <v>1623</v>
      </c>
    </row>
    <row r="5" spans="1:11" ht="15" x14ac:dyDescent="0.2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</row>
    <row r="6" spans="1:11" ht="101.25" customHeight="1" x14ac:dyDescent="0.2">
      <c r="A6" s="9">
        <v>1</v>
      </c>
      <c r="B6" s="10" t="s">
        <v>510</v>
      </c>
      <c r="C6" s="11" t="s">
        <v>389</v>
      </c>
      <c r="D6" s="11">
        <v>2.5</v>
      </c>
      <c r="E6" s="11">
        <v>2.4500000000000002</v>
      </c>
      <c r="F6" s="12">
        <v>2.4</v>
      </c>
      <c r="G6" s="12">
        <v>2.35</v>
      </c>
      <c r="H6" s="12">
        <v>2.2999999999999998</v>
      </c>
      <c r="I6" s="11">
        <v>2.25</v>
      </c>
    </row>
    <row r="7" spans="1:11" ht="85.5" customHeight="1" x14ac:dyDescent="0.2">
      <c r="A7" s="9">
        <v>2</v>
      </c>
      <c r="B7" s="10" t="s">
        <v>511</v>
      </c>
      <c r="C7" s="11" t="s">
        <v>488</v>
      </c>
      <c r="D7" s="11">
        <v>789</v>
      </c>
      <c r="E7" s="11">
        <v>788</v>
      </c>
      <c r="F7" s="11">
        <v>785</v>
      </c>
      <c r="G7" s="11">
        <v>780</v>
      </c>
      <c r="H7" s="11">
        <v>775</v>
      </c>
      <c r="I7" s="11">
        <v>770</v>
      </c>
    </row>
    <row r="8" spans="1:11" ht="126.75" customHeight="1" x14ac:dyDescent="0.2">
      <c r="A8" s="9">
        <v>3</v>
      </c>
      <c r="B8" s="10" t="s">
        <v>969</v>
      </c>
      <c r="C8" s="11" t="s">
        <v>392</v>
      </c>
      <c r="D8" s="11">
        <v>711.9</v>
      </c>
      <c r="E8" s="13">
        <v>730.5</v>
      </c>
      <c r="F8" s="14">
        <v>755.75</v>
      </c>
      <c r="G8" s="14">
        <f>763.95-3.61+3.44</f>
        <v>763.78000000000009</v>
      </c>
      <c r="H8" s="14">
        <f>810.3-44.18</f>
        <v>766.12</v>
      </c>
      <c r="I8" s="11">
        <f>817.5-50.61</f>
        <v>766.89</v>
      </c>
    </row>
    <row r="9" spans="1:11" ht="139.5" customHeight="1" x14ac:dyDescent="0.2">
      <c r="A9" s="9">
        <v>4</v>
      </c>
      <c r="B9" s="15" t="s">
        <v>970</v>
      </c>
      <c r="C9" s="11" t="s">
        <v>389</v>
      </c>
      <c r="D9" s="11" t="s">
        <v>375</v>
      </c>
      <c r="E9" s="12">
        <v>0.35</v>
      </c>
      <c r="F9" s="14">
        <v>0.02</v>
      </c>
      <c r="G9" s="14">
        <f>0+0.19</f>
        <v>0.19</v>
      </c>
      <c r="H9" s="14">
        <f>0+0.48</f>
        <v>0.48</v>
      </c>
      <c r="I9" s="12" t="s">
        <v>375</v>
      </c>
    </row>
    <row r="10" spans="1:11" ht="156.75" customHeight="1" x14ac:dyDescent="0.2">
      <c r="A10" s="9">
        <v>5</v>
      </c>
      <c r="B10" s="15" t="s">
        <v>971</v>
      </c>
      <c r="C10" s="11" t="s">
        <v>389</v>
      </c>
      <c r="D10" s="11" t="s">
        <v>375</v>
      </c>
      <c r="E10" s="12">
        <v>0.1</v>
      </c>
      <c r="F10" s="14">
        <v>0.05</v>
      </c>
      <c r="G10" s="14">
        <f>100/868.09*1.96</f>
        <v>0.22578304092893592</v>
      </c>
      <c r="H10" s="11" t="s">
        <v>375</v>
      </c>
      <c r="I10" s="11" t="s">
        <v>375</v>
      </c>
    </row>
    <row r="11" spans="1:11" ht="155.25" customHeight="1" x14ac:dyDescent="0.2">
      <c r="A11" s="9">
        <v>6</v>
      </c>
      <c r="B11" s="10" t="s">
        <v>972</v>
      </c>
      <c r="C11" s="11" t="s">
        <v>389</v>
      </c>
      <c r="D11" s="11" t="s">
        <v>375</v>
      </c>
      <c r="E11" s="12">
        <v>0.05</v>
      </c>
      <c r="F11" s="14">
        <f>1.41-0.92</f>
        <v>0.48999999999999988</v>
      </c>
      <c r="G11" s="14" t="s">
        <v>375</v>
      </c>
      <c r="H11" s="12" t="s">
        <v>375</v>
      </c>
      <c r="I11" s="12" t="s">
        <v>375</v>
      </c>
    </row>
    <row r="12" spans="1:11" ht="195.75" customHeight="1" x14ac:dyDescent="0.2">
      <c r="A12" s="9">
        <v>7</v>
      </c>
      <c r="B12" s="10" t="s">
        <v>489</v>
      </c>
      <c r="C12" s="11" t="s">
        <v>389</v>
      </c>
      <c r="D12" s="11">
        <v>43.8</v>
      </c>
      <c r="E12" s="11">
        <v>3</v>
      </c>
      <c r="F12" s="16">
        <v>0.61</v>
      </c>
      <c r="G12" s="16">
        <f>2.34-0.17</f>
        <v>2.17</v>
      </c>
      <c r="H12" s="11">
        <f>2.16-0.29</f>
        <v>1.87</v>
      </c>
      <c r="I12" s="11" t="s">
        <v>375</v>
      </c>
    </row>
    <row r="13" spans="1:11" ht="52.15" customHeight="1" x14ac:dyDescent="0.2">
      <c r="A13" s="9">
        <v>8</v>
      </c>
      <c r="B13" s="10" t="s">
        <v>490</v>
      </c>
      <c r="C13" s="11" t="s">
        <v>389</v>
      </c>
      <c r="D13" s="11">
        <v>40</v>
      </c>
      <c r="E13" s="11">
        <v>45</v>
      </c>
      <c r="F13" s="11">
        <v>49</v>
      </c>
      <c r="G13" s="11">
        <v>50</v>
      </c>
      <c r="H13" s="11">
        <v>55</v>
      </c>
      <c r="I13" s="11">
        <v>60</v>
      </c>
    </row>
    <row r="14" spans="1:11" ht="48.75" customHeight="1" x14ac:dyDescent="0.2">
      <c r="A14" s="9">
        <v>9</v>
      </c>
      <c r="B14" s="17" t="s">
        <v>496</v>
      </c>
      <c r="C14" s="11" t="s">
        <v>389</v>
      </c>
      <c r="D14" s="11">
        <v>20.5</v>
      </c>
      <c r="E14" s="11">
        <v>38.700000000000003</v>
      </c>
      <c r="F14" s="11">
        <v>18.8</v>
      </c>
      <c r="G14" s="11">
        <v>24.2</v>
      </c>
      <c r="H14" s="11">
        <v>24.2</v>
      </c>
      <c r="I14" s="11">
        <v>24.2</v>
      </c>
    </row>
    <row r="15" spans="1:11" ht="51.75" customHeight="1" x14ac:dyDescent="0.2">
      <c r="A15" s="9">
        <v>10</v>
      </c>
      <c r="B15" s="17" t="s">
        <v>497</v>
      </c>
      <c r="C15" s="11" t="s">
        <v>389</v>
      </c>
      <c r="D15" s="11">
        <v>77.5</v>
      </c>
      <c r="E15" s="11">
        <v>50.6</v>
      </c>
      <c r="F15" s="11">
        <v>54.8</v>
      </c>
      <c r="G15" s="11">
        <v>54.8</v>
      </c>
      <c r="H15" s="11">
        <v>54.8</v>
      </c>
      <c r="I15" s="11">
        <v>54.8</v>
      </c>
    </row>
    <row r="16" spans="1:11" ht="50.25" customHeight="1" x14ac:dyDescent="0.2">
      <c r="A16" s="9">
        <v>11</v>
      </c>
      <c r="B16" s="17" t="s">
        <v>593</v>
      </c>
      <c r="C16" s="11" t="s">
        <v>389</v>
      </c>
      <c r="D16" s="11">
        <v>90.1</v>
      </c>
      <c r="E16" s="13">
        <v>94</v>
      </c>
      <c r="F16" s="13">
        <v>95.1</v>
      </c>
      <c r="G16" s="13">
        <v>95.4</v>
      </c>
      <c r="H16" s="13">
        <v>95.4</v>
      </c>
      <c r="I16" s="13">
        <v>95.4</v>
      </c>
    </row>
    <row r="17" spans="1:9" ht="51" customHeight="1" x14ac:dyDescent="0.2">
      <c r="A17" s="9">
        <v>12</v>
      </c>
      <c r="B17" s="17" t="s">
        <v>498</v>
      </c>
      <c r="C17" s="11" t="s">
        <v>389</v>
      </c>
      <c r="D17" s="11">
        <v>81.3</v>
      </c>
      <c r="E17" s="11">
        <v>82.3</v>
      </c>
      <c r="F17" s="13">
        <v>89</v>
      </c>
      <c r="G17" s="13">
        <v>89</v>
      </c>
      <c r="H17" s="13">
        <v>89</v>
      </c>
      <c r="I17" s="13">
        <v>89</v>
      </c>
    </row>
    <row r="18" spans="1:9" ht="13.5" x14ac:dyDescent="0.25">
      <c r="A18" s="310" t="s">
        <v>1046</v>
      </c>
      <c r="B18" s="311"/>
      <c r="C18" s="311"/>
      <c r="D18" s="311"/>
      <c r="E18" s="311"/>
      <c r="F18" s="311"/>
      <c r="G18" s="311"/>
      <c r="H18" s="311"/>
      <c r="I18" s="311"/>
    </row>
    <row r="19" spans="1:9" ht="34.5" customHeight="1" x14ac:dyDescent="0.2">
      <c r="A19" s="9">
        <v>13</v>
      </c>
      <c r="B19" s="15" t="s">
        <v>494</v>
      </c>
      <c r="C19" s="11" t="s">
        <v>495</v>
      </c>
      <c r="D19" s="13">
        <v>1115.1470999999999</v>
      </c>
      <c r="E19" s="11">
        <v>1115.5</v>
      </c>
      <c r="F19" s="13">
        <v>1115.75</v>
      </c>
      <c r="G19" s="13">
        <v>1116</v>
      </c>
      <c r="H19" s="13">
        <v>1116.25</v>
      </c>
      <c r="I19" s="11">
        <v>1116.5</v>
      </c>
    </row>
    <row r="20" spans="1:9" ht="29.25" customHeight="1" x14ac:dyDescent="0.25">
      <c r="A20" s="307" t="s">
        <v>1045</v>
      </c>
      <c r="B20" s="308"/>
      <c r="C20" s="308"/>
      <c r="D20" s="308"/>
      <c r="E20" s="308"/>
      <c r="F20" s="308"/>
      <c r="G20" s="308"/>
      <c r="H20" s="308"/>
      <c r="I20" s="309"/>
    </row>
    <row r="21" spans="1:9" ht="66.75" customHeight="1" x14ac:dyDescent="0.2">
      <c r="A21" s="9">
        <v>14</v>
      </c>
      <c r="B21" s="18" t="s">
        <v>501</v>
      </c>
      <c r="C21" s="11" t="s">
        <v>389</v>
      </c>
      <c r="D21" s="13" t="s">
        <v>375</v>
      </c>
      <c r="E21" s="13">
        <v>74.66</v>
      </c>
      <c r="F21" s="13">
        <f>80.1+0.6</f>
        <v>80.699999999999989</v>
      </c>
      <c r="G21" s="12">
        <v>84.14</v>
      </c>
      <c r="H21" s="13">
        <v>86</v>
      </c>
      <c r="I21" s="13">
        <v>87</v>
      </c>
    </row>
    <row r="22" spans="1:9" ht="77.25" customHeight="1" x14ac:dyDescent="0.2">
      <c r="A22" s="9">
        <v>15</v>
      </c>
      <c r="B22" s="15" t="s">
        <v>977</v>
      </c>
      <c r="C22" s="11" t="s">
        <v>389</v>
      </c>
      <c r="D22" s="11" t="s">
        <v>375</v>
      </c>
      <c r="E22" s="11">
        <v>10</v>
      </c>
      <c r="F22" s="11">
        <v>20</v>
      </c>
      <c r="G22" s="11">
        <v>30</v>
      </c>
      <c r="H22" s="11" t="s">
        <v>375</v>
      </c>
      <c r="I22" s="11" t="s">
        <v>375</v>
      </c>
    </row>
    <row r="23" spans="1:9" ht="51.75" customHeight="1" x14ac:dyDescent="0.2">
      <c r="A23" s="9">
        <v>16</v>
      </c>
      <c r="B23" s="15" t="s">
        <v>830</v>
      </c>
      <c r="C23" s="11" t="s">
        <v>389</v>
      </c>
      <c r="D23" s="11" t="s">
        <v>375</v>
      </c>
      <c r="E23" s="11">
        <v>62</v>
      </c>
      <c r="F23" s="11">
        <v>64</v>
      </c>
      <c r="G23" s="11">
        <v>66</v>
      </c>
      <c r="H23" s="11" t="s">
        <v>375</v>
      </c>
      <c r="I23" s="11" t="s">
        <v>375</v>
      </c>
    </row>
    <row r="24" spans="1:9" ht="30.75" customHeight="1" x14ac:dyDescent="0.2"/>
    <row r="25" spans="1:9" ht="27" customHeight="1" x14ac:dyDescent="0.2">
      <c r="D25" s="19"/>
      <c r="E25" s="19"/>
    </row>
  </sheetData>
  <mergeCells count="9">
    <mergeCell ref="A2:I2"/>
    <mergeCell ref="E1:I1"/>
    <mergeCell ref="A20:I20"/>
    <mergeCell ref="A18:I18"/>
    <mergeCell ref="A3:A4"/>
    <mergeCell ref="B3:B4"/>
    <mergeCell ref="C3:C4"/>
    <mergeCell ref="D3:D4"/>
    <mergeCell ref="E3:I3"/>
  </mergeCells>
  <pageMargins left="0.70866141732283472" right="0.11811023622047245" top="0.74803149606299213" bottom="0.74803149606299213" header="0.31496062992125984" footer="0.31496062992125984"/>
  <pageSetup paperSize="9" scale="81" fitToHeight="0" orientation="portrait" r:id="rId1"/>
  <rowBreaks count="2" manualBreakCount="2">
    <brk id="10" max="8" man="1"/>
    <brk id="2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83"/>
  <sheetViews>
    <sheetView view="pageBreakPreview" topLeftCell="A97" zoomScale="90" zoomScaleNormal="50" zoomScaleSheetLayoutView="90" workbookViewId="0">
      <selection activeCell="D396" sqref="D396:D404"/>
    </sheetView>
  </sheetViews>
  <sheetFormatPr defaultColWidth="9.140625" defaultRowHeight="42" customHeight="1" outlineLevelCol="2" x14ac:dyDescent="0.2"/>
  <cols>
    <col min="1" max="1" width="6.42578125" customWidth="1"/>
    <col min="2" max="2" width="107.5703125" style="20" customWidth="1"/>
    <col min="3" max="3" width="11.140625" style="21" customWidth="1"/>
    <col min="4" max="4" width="16.5703125" customWidth="1"/>
    <col min="5" max="5" width="10.42578125" hidden="1" customWidth="1" outlineLevel="1"/>
    <col min="6" max="6" width="11.7109375" hidden="1" customWidth="1" outlineLevel="1"/>
    <col min="7" max="7" width="13" hidden="1" customWidth="1" outlineLevel="1"/>
    <col min="8" max="8" width="10.85546875" style="21" customWidth="1" collapsed="1"/>
    <col min="9" max="9" width="15.5703125" customWidth="1"/>
    <col min="10" max="10" width="10.140625" hidden="1" customWidth="1" outlineLevel="2"/>
    <col min="11" max="11" width="12.42578125" hidden="1" customWidth="1" outlineLevel="2"/>
    <col min="12" max="12" width="7" hidden="1" customWidth="1" outlineLevel="2"/>
    <col min="13" max="13" width="10.7109375" style="21" customWidth="1" collapsed="1"/>
    <col min="14" max="14" width="14.28515625" customWidth="1"/>
    <col min="15" max="15" width="10.28515625" hidden="1" customWidth="1" outlineLevel="1"/>
    <col min="16" max="16" width="12.5703125" hidden="1" customWidth="1" outlineLevel="1"/>
    <col min="17" max="17" width="2.140625" hidden="1" customWidth="1" outlineLevel="1"/>
    <col min="18" max="18" width="12.85546875" style="21" customWidth="1" collapsed="1"/>
    <col min="19" max="19" width="14.140625" customWidth="1"/>
    <col min="20" max="20" width="9.5703125" hidden="1" customWidth="1" outlineLevel="1"/>
    <col min="21" max="21" width="11.28515625" hidden="1" customWidth="1" outlineLevel="1"/>
    <col min="22" max="22" width="13" hidden="1" customWidth="1" outlineLevel="1"/>
    <col min="23" max="23" width="10.7109375" style="21" customWidth="1" collapsed="1"/>
    <col min="24" max="24" width="15.85546875" customWidth="1"/>
    <col min="25" max="25" width="10.42578125" hidden="1" customWidth="1" outlineLevel="1"/>
    <col min="26" max="26" width="11.42578125" hidden="1" customWidth="1" outlineLevel="1"/>
    <col min="27" max="27" width="14" hidden="1" customWidth="1" outlineLevel="1"/>
    <col min="28" max="28" width="11.5703125" style="71" customWidth="1" collapsed="1"/>
    <col min="29" max="29" width="14.5703125" bestFit="1" customWidth="1"/>
    <col min="30" max="30" width="11" bestFit="1" customWidth="1"/>
  </cols>
  <sheetData>
    <row r="1" spans="1:30" ht="80.25" customHeight="1" x14ac:dyDescent="0.25">
      <c r="S1" s="6"/>
      <c r="T1" s="6" t="s">
        <v>592</v>
      </c>
      <c r="U1" s="6" t="s">
        <v>592</v>
      </c>
      <c r="V1" s="6" t="s">
        <v>592</v>
      </c>
      <c r="W1" s="334" t="s">
        <v>1745</v>
      </c>
      <c r="X1" s="334"/>
      <c r="Y1" s="334"/>
      <c r="Z1" s="334"/>
      <c r="AA1" s="334"/>
      <c r="AB1" s="334"/>
    </row>
    <row r="2" spans="1:30" s="24" customFormat="1" ht="118.5" customHeight="1" x14ac:dyDescent="0.25">
      <c r="A2" s="22"/>
      <c r="B2" s="22"/>
      <c r="C2" s="23"/>
      <c r="H2" s="25"/>
      <c r="I2" s="26"/>
      <c r="J2" s="26"/>
      <c r="K2" s="26"/>
      <c r="L2" s="26"/>
      <c r="M2"/>
      <c r="N2"/>
      <c r="O2" s="27"/>
      <c r="P2"/>
      <c r="Q2"/>
      <c r="R2"/>
      <c r="S2" s="28"/>
      <c r="T2" s="28" t="s">
        <v>417</v>
      </c>
      <c r="U2" s="28" t="s">
        <v>417</v>
      </c>
      <c r="V2" s="28" t="s">
        <v>417</v>
      </c>
      <c r="W2" s="331" t="s">
        <v>982</v>
      </c>
      <c r="X2" s="331"/>
      <c r="Y2" s="331"/>
      <c r="Z2" s="331"/>
      <c r="AA2" s="331"/>
      <c r="AB2" s="331"/>
    </row>
    <row r="3" spans="1:30" ht="30.6" customHeight="1" x14ac:dyDescent="0.35">
      <c r="A3" s="29"/>
      <c r="B3" s="335" t="s">
        <v>578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</row>
    <row r="4" spans="1:30" ht="27.6" customHeight="1" x14ac:dyDescent="0.2">
      <c r="A4" s="344" t="s">
        <v>124</v>
      </c>
      <c r="B4" s="345" t="s">
        <v>367</v>
      </c>
      <c r="C4" s="347" t="s">
        <v>366</v>
      </c>
      <c r="D4" s="347"/>
      <c r="E4" s="347"/>
      <c r="F4" s="347"/>
      <c r="G4" s="347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37" t="s">
        <v>120</v>
      </c>
    </row>
    <row r="5" spans="1:30" ht="27.6" customHeight="1" x14ac:dyDescent="0.2">
      <c r="A5" s="344"/>
      <c r="B5" s="346"/>
      <c r="C5" s="338" t="s">
        <v>119</v>
      </c>
      <c r="D5" s="338"/>
      <c r="E5" s="338"/>
      <c r="F5" s="338"/>
      <c r="G5" s="338"/>
      <c r="H5" s="338" t="s">
        <v>118</v>
      </c>
      <c r="I5" s="338"/>
      <c r="J5" s="338"/>
      <c r="K5" s="338"/>
      <c r="L5" s="338"/>
      <c r="M5" s="338" t="s">
        <v>117</v>
      </c>
      <c r="N5" s="338"/>
      <c r="O5" s="338"/>
      <c r="P5" s="338"/>
      <c r="Q5" s="338"/>
      <c r="R5" s="338" t="s">
        <v>116</v>
      </c>
      <c r="S5" s="338"/>
      <c r="T5" s="338"/>
      <c r="U5" s="338"/>
      <c r="V5" s="338"/>
      <c r="W5" s="338" t="s">
        <v>115</v>
      </c>
      <c r="X5" s="338"/>
      <c r="Y5" s="338"/>
      <c r="Z5" s="338"/>
      <c r="AA5" s="338"/>
      <c r="AB5" s="337"/>
    </row>
    <row r="6" spans="1:30" ht="24.6" customHeight="1" x14ac:dyDescent="0.2">
      <c r="A6" s="344"/>
      <c r="B6" s="346"/>
      <c r="C6" s="30" t="s">
        <v>114</v>
      </c>
      <c r="D6" s="9" t="s">
        <v>364</v>
      </c>
      <c r="E6" s="9" t="s">
        <v>112</v>
      </c>
      <c r="F6" s="9" t="s">
        <v>111</v>
      </c>
      <c r="G6" s="9" t="s">
        <v>110</v>
      </c>
      <c r="H6" s="30" t="s">
        <v>114</v>
      </c>
      <c r="I6" s="9" t="s">
        <v>364</v>
      </c>
      <c r="J6" s="9" t="s">
        <v>112</v>
      </c>
      <c r="K6" s="9" t="s">
        <v>111</v>
      </c>
      <c r="L6" s="9" t="s">
        <v>110</v>
      </c>
      <c r="M6" s="30" t="s">
        <v>114</v>
      </c>
      <c r="N6" s="9" t="s">
        <v>364</v>
      </c>
      <c r="O6" s="9" t="s">
        <v>112</v>
      </c>
      <c r="P6" s="9" t="s">
        <v>111</v>
      </c>
      <c r="Q6" s="9" t="s">
        <v>110</v>
      </c>
      <c r="R6" s="30" t="s">
        <v>114</v>
      </c>
      <c r="S6" s="9" t="s">
        <v>364</v>
      </c>
      <c r="T6" s="9" t="s">
        <v>112</v>
      </c>
      <c r="U6" s="9" t="s">
        <v>111</v>
      </c>
      <c r="V6" s="9" t="s">
        <v>110</v>
      </c>
      <c r="W6" s="30" t="s">
        <v>114</v>
      </c>
      <c r="X6" s="9" t="s">
        <v>364</v>
      </c>
      <c r="Y6" s="9" t="s">
        <v>112</v>
      </c>
      <c r="Z6" s="9" t="s">
        <v>111</v>
      </c>
      <c r="AA6" s="9" t="s">
        <v>110</v>
      </c>
      <c r="AB6" s="337"/>
    </row>
    <row r="7" spans="1:30" s="32" customFormat="1" ht="21.6" customHeight="1" x14ac:dyDescent="0.2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5</v>
      </c>
      <c r="I7" s="31">
        <v>6</v>
      </c>
      <c r="J7" s="31">
        <v>10</v>
      </c>
      <c r="K7" s="31">
        <v>11</v>
      </c>
      <c r="L7" s="31">
        <v>12</v>
      </c>
      <c r="M7" s="31">
        <v>7</v>
      </c>
      <c r="N7" s="31">
        <v>8</v>
      </c>
      <c r="O7" s="31">
        <v>15</v>
      </c>
      <c r="P7" s="31">
        <v>16</v>
      </c>
      <c r="Q7" s="31">
        <v>17</v>
      </c>
      <c r="R7" s="31">
        <v>9</v>
      </c>
      <c r="S7" s="31">
        <v>10</v>
      </c>
      <c r="T7" s="31">
        <v>20</v>
      </c>
      <c r="U7" s="31">
        <v>21</v>
      </c>
      <c r="V7" s="31">
        <v>22</v>
      </c>
      <c r="W7" s="31">
        <v>11</v>
      </c>
      <c r="X7" s="31">
        <v>12</v>
      </c>
      <c r="Y7" s="31">
        <v>25</v>
      </c>
      <c r="Z7" s="31">
        <v>26</v>
      </c>
      <c r="AA7" s="31">
        <v>27</v>
      </c>
      <c r="AB7" s="31">
        <v>13</v>
      </c>
    </row>
    <row r="8" spans="1:30" s="32" customFormat="1" ht="21.6" customHeight="1" x14ac:dyDescent="0.2">
      <c r="A8" s="339" t="s">
        <v>108</v>
      </c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1"/>
      <c r="AC8" s="33"/>
      <c r="AD8" s="33"/>
    </row>
    <row r="9" spans="1:30" s="32" customFormat="1" ht="21.6" customHeight="1" x14ac:dyDescent="0.2">
      <c r="A9" s="34" t="s">
        <v>1</v>
      </c>
      <c r="B9" s="342" t="s">
        <v>1065</v>
      </c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5"/>
      <c r="AD9" s="36"/>
    </row>
    <row r="10" spans="1:30" s="39" customFormat="1" ht="13.9" customHeight="1" x14ac:dyDescent="0.2">
      <c r="A10" s="312" t="s">
        <v>8</v>
      </c>
      <c r="B10" s="37" t="s">
        <v>850</v>
      </c>
      <c r="C10" s="317">
        <f>D10+E10+F10+G10</f>
        <v>67429</v>
      </c>
      <c r="D10" s="318">
        <v>67429</v>
      </c>
      <c r="E10" s="38">
        <v>0</v>
      </c>
      <c r="F10" s="38">
        <v>0</v>
      </c>
      <c r="G10" s="38">
        <v>0</v>
      </c>
      <c r="H10" s="317">
        <f>I10+J10+K10+L10</f>
        <v>19781</v>
      </c>
      <c r="I10" s="318">
        <f>6885+12896</f>
        <v>19781</v>
      </c>
      <c r="J10" s="38">
        <v>0</v>
      </c>
      <c r="K10" s="38">
        <v>0</v>
      </c>
      <c r="L10" s="38">
        <v>0</v>
      </c>
      <c r="M10" s="317">
        <f>N10</f>
        <v>361</v>
      </c>
      <c r="N10" s="318">
        <f t="shared" ref="N10:N25" si="0">30758-12896-17501</f>
        <v>361</v>
      </c>
      <c r="O10" s="38">
        <v>0</v>
      </c>
      <c r="P10" s="38">
        <v>0</v>
      </c>
      <c r="Q10" s="38">
        <v>0</v>
      </c>
      <c r="R10" s="317">
        <f>S10</f>
        <v>8359</v>
      </c>
      <c r="S10" s="318">
        <f t="shared" ref="S10:S25" si="1">30758-22399</f>
        <v>8359</v>
      </c>
      <c r="T10" s="38">
        <v>0</v>
      </c>
      <c r="U10" s="38">
        <v>0</v>
      </c>
      <c r="V10" s="38">
        <v>0</v>
      </c>
      <c r="W10" s="317">
        <f>X10</f>
        <v>34182</v>
      </c>
      <c r="X10" s="318">
        <v>34182</v>
      </c>
      <c r="Y10" s="38">
        <v>0</v>
      </c>
      <c r="Z10" s="38">
        <v>0</v>
      </c>
      <c r="AA10" s="38">
        <v>0</v>
      </c>
      <c r="AB10" s="317">
        <f>C10+H10+M10+R10+W10</f>
        <v>130112</v>
      </c>
    </row>
    <row r="11" spans="1:30" s="39" customFormat="1" ht="15.75" customHeight="1" x14ac:dyDescent="0.2">
      <c r="A11" s="312"/>
      <c r="B11" s="40" t="s">
        <v>427</v>
      </c>
      <c r="C11" s="315"/>
      <c r="D11" s="313"/>
      <c r="E11" s="38"/>
      <c r="F11" s="38"/>
      <c r="G11" s="38"/>
      <c r="H11" s="315"/>
      <c r="I11" s="313"/>
      <c r="J11" s="38"/>
      <c r="K11" s="38"/>
      <c r="L11" s="38"/>
      <c r="M11" s="315"/>
      <c r="N11" s="313">
        <f t="shared" si="0"/>
        <v>361</v>
      </c>
      <c r="O11" s="38"/>
      <c r="P11" s="38"/>
      <c r="Q11" s="38"/>
      <c r="R11" s="315"/>
      <c r="S11" s="313">
        <f t="shared" si="1"/>
        <v>8359</v>
      </c>
      <c r="T11" s="38"/>
      <c r="U11" s="38"/>
      <c r="V11" s="38"/>
      <c r="W11" s="315"/>
      <c r="X11" s="313">
        <v>34182</v>
      </c>
      <c r="Y11" s="38"/>
      <c r="Z11" s="38"/>
      <c r="AA11" s="38"/>
      <c r="AB11" s="315"/>
    </row>
    <row r="12" spans="1:30" s="39" customFormat="1" ht="13.9" customHeight="1" x14ac:dyDescent="0.2">
      <c r="A12" s="312"/>
      <c r="B12" s="41" t="s">
        <v>429</v>
      </c>
      <c r="C12" s="315"/>
      <c r="D12" s="313"/>
      <c r="E12" s="38"/>
      <c r="F12" s="38"/>
      <c r="G12" s="38"/>
      <c r="H12" s="315"/>
      <c r="I12" s="313"/>
      <c r="J12" s="38"/>
      <c r="K12" s="38"/>
      <c r="L12" s="38"/>
      <c r="M12" s="315"/>
      <c r="N12" s="313">
        <f t="shared" si="0"/>
        <v>361</v>
      </c>
      <c r="O12" s="38"/>
      <c r="P12" s="38"/>
      <c r="Q12" s="38"/>
      <c r="R12" s="315"/>
      <c r="S12" s="313">
        <f t="shared" si="1"/>
        <v>8359</v>
      </c>
      <c r="T12" s="38"/>
      <c r="U12" s="38"/>
      <c r="V12" s="38"/>
      <c r="W12" s="315"/>
      <c r="X12" s="313">
        <v>34182</v>
      </c>
      <c r="Y12" s="38"/>
      <c r="Z12" s="38"/>
      <c r="AA12" s="38"/>
      <c r="AB12" s="315"/>
    </row>
    <row r="13" spans="1:30" s="39" customFormat="1" ht="13.9" customHeight="1" x14ac:dyDescent="0.2">
      <c r="A13" s="312"/>
      <c r="B13" s="41" t="s">
        <v>430</v>
      </c>
      <c r="C13" s="315"/>
      <c r="D13" s="313"/>
      <c r="E13" s="38"/>
      <c r="F13" s="38"/>
      <c r="G13" s="38"/>
      <c r="H13" s="315"/>
      <c r="I13" s="313"/>
      <c r="J13" s="38"/>
      <c r="K13" s="38"/>
      <c r="L13" s="38"/>
      <c r="M13" s="315"/>
      <c r="N13" s="313">
        <f t="shared" si="0"/>
        <v>361</v>
      </c>
      <c r="O13" s="38"/>
      <c r="P13" s="38"/>
      <c r="Q13" s="38"/>
      <c r="R13" s="315"/>
      <c r="S13" s="313">
        <f t="shared" si="1"/>
        <v>8359</v>
      </c>
      <c r="T13" s="38"/>
      <c r="U13" s="38"/>
      <c r="V13" s="38"/>
      <c r="W13" s="315"/>
      <c r="X13" s="313">
        <v>34182</v>
      </c>
      <c r="Y13" s="38"/>
      <c r="Z13" s="38"/>
      <c r="AA13" s="38"/>
      <c r="AB13" s="315"/>
    </row>
    <row r="14" spans="1:30" s="39" customFormat="1" ht="13.9" customHeight="1" x14ac:dyDescent="0.2">
      <c r="A14" s="312"/>
      <c r="B14" s="41" t="s">
        <v>431</v>
      </c>
      <c r="C14" s="315"/>
      <c r="D14" s="313"/>
      <c r="E14" s="38"/>
      <c r="F14" s="38"/>
      <c r="G14" s="38"/>
      <c r="H14" s="315"/>
      <c r="I14" s="313"/>
      <c r="J14" s="38"/>
      <c r="K14" s="38"/>
      <c r="L14" s="38"/>
      <c r="M14" s="315"/>
      <c r="N14" s="313">
        <f t="shared" si="0"/>
        <v>361</v>
      </c>
      <c r="O14" s="38"/>
      <c r="P14" s="38"/>
      <c r="Q14" s="38"/>
      <c r="R14" s="315"/>
      <c r="S14" s="313">
        <f t="shared" si="1"/>
        <v>8359</v>
      </c>
      <c r="T14" s="38"/>
      <c r="U14" s="38"/>
      <c r="V14" s="38"/>
      <c r="W14" s="315"/>
      <c r="X14" s="313">
        <v>34182</v>
      </c>
      <c r="Y14" s="38"/>
      <c r="Z14" s="38"/>
      <c r="AA14" s="38"/>
      <c r="AB14" s="315"/>
    </row>
    <row r="15" spans="1:30" s="39" customFormat="1" ht="13.9" customHeight="1" x14ac:dyDescent="0.2">
      <c r="A15" s="312"/>
      <c r="B15" s="41" t="s">
        <v>432</v>
      </c>
      <c r="C15" s="315"/>
      <c r="D15" s="313"/>
      <c r="E15" s="38"/>
      <c r="F15" s="38"/>
      <c r="G15" s="38"/>
      <c r="H15" s="315"/>
      <c r="I15" s="313"/>
      <c r="J15" s="38"/>
      <c r="K15" s="38"/>
      <c r="L15" s="38"/>
      <c r="M15" s="315"/>
      <c r="N15" s="313">
        <f t="shared" si="0"/>
        <v>361</v>
      </c>
      <c r="O15" s="38"/>
      <c r="P15" s="38"/>
      <c r="Q15" s="38"/>
      <c r="R15" s="315"/>
      <c r="S15" s="313">
        <f t="shared" si="1"/>
        <v>8359</v>
      </c>
      <c r="T15" s="38"/>
      <c r="U15" s="38"/>
      <c r="V15" s="38"/>
      <c r="W15" s="315"/>
      <c r="X15" s="313">
        <v>34182</v>
      </c>
      <c r="Y15" s="38"/>
      <c r="Z15" s="38"/>
      <c r="AA15" s="38"/>
      <c r="AB15" s="315"/>
    </row>
    <row r="16" spans="1:30" s="39" customFormat="1" ht="13.9" customHeight="1" x14ac:dyDescent="0.2">
      <c r="A16" s="312"/>
      <c r="B16" s="41" t="s">
        <v>433</v>
      </c>
      <c r="C16" s="315"/>
      <c r="D16" s="313"/>
      <c r="E16" s="38"/>
      <c r="F16" s="38"/>
      <c r="G16" s="38"/>
      <c r="H16" s="315"/>
      <c r="I16" s="313"/>
      <c r="J16" s="38"/>
      <c r="K16" s="38"/>
      <c r="L16" s="38"/>
      <c r="M16" s="315"/>
      <c r="N16" s="313">
        <f t="shared" si="0"/>
        <v>361</v>
      </c>
      <c r="O16" s="38"/>
      <c r="P16" s="38"/>
      <c r="Q16" s="38"/>
      <c r="R16" s="315"/>
      <c r="S16" s="313">
        <f t="shared" si="1"/>
        <v>8359</v>
      </c>
      <c r="T16" s="38"/>
      <c r="U16" s="38"/>
      <c r="V16" s="38"/>
      <c r="W16" s="315"/>
      <c r="X16" s="313">
        <v>34182</v>
      </c>
      <c r="Y16" s="38"/>
      <c r="Z16" s="38"/>
      <c r="AA16" s="38"/>
      <c r="AB16" s="315"/>
    </row>
    <row r="17" spans="1:28" s="39" customFormat="1" ht="13.9" customHeight="1" x14ac:dyDescent="0.2">
      <c r="A17" s="312"/>
      <c r="B17" s="41" t="s">
        <v>566</v>
      </c>
      <c r="C17" s="315"/>
      <c r="D17" s="313"/>
      <c r="E17" s="38"/>
      <c r="F17" s="38"/>
      <c r="G17" s="38"/>
      <c r="H17" s="315"/>
      <c r="I17" s="313"/>
      <c r="J17" s="38"/>
      <c r="K17" s="38"/>
      <c r="L17" s="38"/>
      <c r="M17" s="315"/>
      <c r="N17" s="313">
        <f t="shared" si="0"/>
        <v>361</v>
      </c>
      <c r="O17" s="38"/>
      <c r="P17" s="38"/>
      <c r="Q17" s="38"/>
      <c r="R17" s="315"/>
      <c r="S17" s="313">
        <f t="shared" si="1"/>
        <v>8359</v>
      </c>
      <c r="T17" s="38"/>
      <c r="U17" s="38"/>
      <c r="V17" s="38"/>
      <c r="W17" s="315"/>
      <c r="X17" s="313">
        <v>34182</v>
      </c>
      <c r="Y17" s="38"/>
      <c r="Z17" s="38"/>
      <c r="AA17" s="38"/>
      <c r="AB17" s="315"/>
    </row>
    <row r="18" spans="1:28" s="39" customFormat="1" ht="15.75" customHeight="1" x14ac:dyDescent="0.2">
      <c r="A18" s="312"/>
      <c r="B18" s="40" t="s">
        <v>428</v>
      </c>
      <c r="C18" s="315"/>
      <c r="D18" s="313"/>
      <c r="E18" s="38"/>
      <c r="F18" s="38"/>
      <c r="G18" s="38"/>
      <c r="H18" s="315"/>
      <c r="I18" s="313"/>
      <c r="J18" s="38"/>
      <c r="K18" s="38"/>
      <c r="L18" s="38"/>
      <c r="M18" s="315"/>
      <c r="N18" s="313">
        <f t="shared" si="0"/>
        <v>361</v>
      </c>
      <c r="O18" s="38"/>
      <c r="P18" s="38"/>
      <c r="Q18" s="38"/>
      <c r="R18" s="315"/>
      <c r="S18" s="313">
        <f t="shared" si="1"/>
        <v>8359</v>
      </c>
      <c r="T18" s="38"/>
      <c r="U18" s="38"/>
      <c r="V18" s="38"/>
      <c r="W18" s="315"/>
      <c r="X18" s="313">
        <v>34182</v>
      </c>
      <c r="Y18" s="38"/>
      <c r="Z18" s="38"/>
      <c r="AA18" s="38"/>
      <c r="AB18" s="315"/>
    </row>
    <row r="19" spans="1:28" s="39" customFormat="1" ht="17.25" customHeight="1" x14ac:dyDescent="0.2">
      <c r="A19" s="312"/>
      <c r="B19" s="42" t="s">
        <v>870</v>
      </c>
      <c r="C19" s="315"/>
      <c r="D19" s="313"/>
      <c r="E19" s="38"/>
      <c r="F19" s="38"/>
      <c r="G19" s="38"/>
      <c r="H19" s="315"/>
      <c r="I19" s="313"/>
      <c r="J19" s="38"/>
      <c r="K19" s="38"/>
      <c r="L19" s="38"/>
      <c r="M19" s="315"/>
      <c r="N19" s="313">
        <f t="shared" si="0"/>
        <v>361</v>
      </c>
      <c r="O19" s="38"/>
      <c r="P19" s="38"/>
      <c r="Q19" s="38"/>
      <c r="R19" s="315"/>
      <c r="S19" s="313">
        <f t="shared" si="1"/>
        <v>8359</v>
      </c>
      <c r="T19" s="38"/>
      <c r="U19" s="38"/>
      <c r="V19" s="38"/>
      <c r="W19" s="315"/>
      <c r="X19" s="313">
        <v>34182</v>
      </c>
      <c r="Y19" s="38"/>
      <c r="Z19" s="38"/>
      <c r="AA19" s="38"/>
      <c r="AB19" s="315"/>
    </row>
    <row r="20" spans="1:28" s="39" customFormat="1" ht="15.75" customHeight="1" x14ac:dyDescent="0.2">
      <c r="A20" s="312"/>
      <c r="B20" s="43" t="s">
        <v>783</v>
      </c>
      <c r="C20" s="315"/>
      <c r="D20" s="313"/>
      <c r="E20" s="38"/>
      <c r="F20" s="38"/>
      <c r="G20" s="38"/>
      <c r="H20" s="315"/>
      <c r="I20" s="313"/>
      <c r="J20" s="38"/>
      <c r="K20" s="38"/>
      <c r="L20" s="38"/>
      <c r="M20" s="315"/>
      <c r="N20" s="313">
        <f t="shared" si="0"/>
        <v>361</v>
      </c>
      <c r="O20" s="38"/>
      <c r="P20" s="38"/>
      <c r="Q20" s="38"/>
      <c r="R20" s="315"/>
      <c r="S20" s="313">
        <f t="shared" si="1"/>
        <v>8359</v>
      </c>
      <c r="T20" s="38"/>
      <c r="U20" s="38"/>
      <c r="V20" s="38"/>
      <c r="W20" s="315"/>
      <c r="X20" s="313">
        <v>34182</v>
      </c>
      <c r="Y20" s="38"/>
      <c r="Z20" s="38"/>
      <c r="AA20" s="38"/>
      <c r="AB20" s="315"/>
    </row>
    <row r="21" spans="1:28" s="39" customFormat="1" ht="15.75" customHeight="1" x14ac:dyDescent="0.2">
      <c r="A21" s="312"/>
      <c r="B21" s="41" t="s">
        <v>954</v>
      </c>
      <c r="C21" s="315"/>
      <c r="D21" s="313"/>
      <c r="E21" s="44"/>
      <c r="F21" s="44"/>
      <c r="G21" s="44"/>
      <c r="H21" s="315"/>
      <c r="I21" s="313"/>
      <c r="J21" s="44"/>
      <c r="K21" s="44"/>
      <c r="L21" s="44"/>
      <c r="M21" s="315"/>
      <c r="N21" s="313">
        <f t="shared" si="0"/>
        <v>361</v>
      </c>
      <c r="O21" s="44"/>
      <c r="P21" s="44"/>
      <c r="Q21" s="44"/>
      <c r="R21" s="315"/>
      <c r="S21" s="313">
        <f t="shared" si="1"/>
        <v>8359</v>
      </c>
      <c r="T21" s="44"/>
      <c r="U21" s="44"/>
      <c r="V21" s="44"/>
      <c r="W21" s="315"/>
      <c r="X21" s="313">
        <v>34182</v>
      </c>
      <c r="Y21" s="44"/>
      <c r="Z21" s="44"/>
      <c r="AA21" s="44"/>
      <c r="AB21" s="315"/>
    </row>
    <row r="22" spans="1:28" s="39" customFormat="1" ht="15.75" customHeight="1" x14ac:dyDescent="0.2">
      <c r="A22" s="312"/>
      <c r="B22" s="43" t="s">
        <v>871</v>
      </c>
      <c r="C22" s="315"/>
      <c r="D22" s="313"/>
      <c r="E22" s="44"/>
      <c r="F22" s="44"/>
      <c r="G22" s="44"/>
      <c r="H22" s="315"/>
      <c r="I22" s="313"/>
      <c r="J22" s="44"/>
      <c r="K22" s="44"/>
      <c r="L22" s="44"/>
      <c r="M22" s="315"/>
      <c r="N22" s="313">
        <f t="shared" si="0"/>
        <v>361</v>
      </c>
      <c r="O22" s="44"/>
      <c r="P22" s="44"/>
      <c r="Q22" s="44"/>
      <c r="R22" s="315"/>
      <c r="S22" s="313">
        <f t="shared" si="1"/>
        <v>8359</v>
      </c>
      <c r="T22" s="44"/>
      <c r="U22" s="44"/>
      <c r="V22" s="44"/>
      <c r="W22" s="315"/>
      <c r="X22" s="313">
        <v>34182</v>
      </c>
      <c r="Y22" s="44"/>
      <c r="Z22" s="44"/>
      <c r="AA22" s="44"/>
      <c r="AB22" s="315"/>
    </row>
    <row r="23" spans="1:28" s="39" customFormat="1" ht="15.75" customHeight="1" x14ac:dyDescent="0.2">
      <c r="A23" s="312"/>
      <c r="B23" s="41" t="s">
        <v>868</v>
      </c>
      <c r="C23" s="315"/>
      <c r="D23" s="313"/>
      <c r="E23" s="44"/>
      <c r="F23" s="44"/>
      <c r="G23" s="44"/>
      <c r="H23" s="315"/>
      <c r="I23" s="313"/>
      <c r="J23" s="44"/>
      <c r="K23" s="44"/>
      <c r="L23" s="44"/>
      <c r="M23" s="315"/>
      <c r="N23" s="313"/>
      <c r="O23" s="44"/>
      <c r="P23" s="44"/>
      <c r="Q23" s="44"/>
      <c r="R23" s="315"/>
      <c r="S23" s="313"/>
      <c r="T23" s="44"/>
      <c r="U23" s="44"/>
      <c r="V23" s="44"/>
      <c r="W23" s="315"/>
      <c r="X23" s="313"/>
      <c r="Y23" s="44"/>
      <c r="Z23" s="44"/>
      <c r="AA23" s="44"/>
      <c r="AB23" s="315"/>
    </row>
    <row r="24" spans="1:28" s="39" customFormat="1" ht="15.75" customHeight="1" x14ac:dyDescent="0.2">
      <c r="A24" s="312"/>
      <c r="B24" s="43" t="s">
        <v>1005</v>
      </c>
      <c r="C24" s="315"/>
      <c r="D24" s="313"/>
      <c r="E24" s="44"/>
      <c r="F24" s="44"/>
      <c r="G24" s="44"/>
      <c r="H24" s="315"/>
      <c r="I24" s="313"/>
      <c r="J24" s="44"/>
      <c r="K24" s="44"/>
      <c r="L24" s="44"/>
      <c r="M24" s="315"/>
      <c r="N24" s="313"/>
      <c r="O24" s="44"/>
      <c r="P24" s="44"/>
      <c r="Q24" s="44"/>
      <c r="R24" s="315"/>
      <c r="S24" s="313"/>
      <c r="T24" s="44"/>
      <c r="U24" s="44"/>
      <c r="V24" s="44"/>
      <c r="W24" s="315"/>
      <c r="X24" s="313"/>
      <c r="Y24" s="44"/>
      <c r="Z24" s="44"/>
      <c r="AA24" s="44"/>
      <c r="AB24" s="315"/>
    </row>
    <row r="25" spans="1:28" s="39" customFormat="1" ht="15.75" customHeight="1" x14ac:dyDescent="0.2">
      <c r="A25" s="312"/>
      <c r="B25" s="42" t="s">
        <v>869</v>
      </c>
      <c r="C25" s="315"/>
      <c r="D25" s="313"/>
      <c r="E25" s="44"/>
      <c r="F25" s="44"/>
      <c r="G25" s="44"/>
      <c r="H25" s="315"/>
      <c r="I25" s="313"/>
      <c r="J25" s="44"/>
      <c r="K25" s="44"/>
      <c r="L25" s="44"/>
      <c r="M25" s="315"/>
      <c r="N25" s="313">
        <f t="shared" si="0"/>
        <v>361</v>
      </c>
      <c r="O25" s="44"/>
      <c r="P25" s="44"/>
      <c r="Q25" s="44"/>
      <c r="R25" s="315"/>
      <c r="S25" s="313">
        <f t="shared" si="1"/>
        <v>8359</v>
      </c>
      <c r="T25" s="44"/>
      <c r="U25" s="44"/>
      <c r="V25" s="44"/>
      <c r="W25" s="315"/>
      <c r="X25" s="313">
        <v>34182</v>
      </c>
      <c r="Y25" s="44"/>
      <c r="Z25" s="44"/>
      <c r="AA25" s="44"/>
      <c r="AB25" s="315"/>
    </row>
    <row r="26" spans="1:28" s="39" customFormat="1" ht="21" customHeight="1" x14ac:dyDescent="0.2">
      <c r="A26" s="312" t="s">
        <v>25</v>
      </c>
      <c r="B26" s="37" t="s">
        <v>846</v>
      </c>
      <c r="C26" s="317">
        <f>D26+E26+F26+G26</f>
        <v>1235</v>
      </c>
      <c r="D26" s="318">
        <v>1235</v>
      </c>
      <c r="E26" s="38">
        <v>0</v>
      </c>
      <c r="F26" s="38">
        <v>0</v>
      </c>
      <c r="G26" s="38">
        <v>0</v>
      </c>
      <c r="H26" s="317">
        <f>I26+J26+K26+L26</f>
        <v>741</v>
      </c>
      <c r="I26" s="318">
        <v>741</v>
      </c>
      <c r="J26" s="38">
        <v>0</v>
      </c>
      <c r="K26" s="38">
        <v>0</v>
      </c>
      <c r="L26" s="38">
        <v>0</v>
      </c>
      <c r="M26" s="317">
        <f>N26+O26+P26+Q26</f>
        <v>0</v>
      </c>
      <c r="N26" s="318">
        <v>0</v>
      </c>
      <c r="O26" s="38">
        <v>0</v>
      </c>
      <c r="P26" s="38">
        <v>0</v>
      </c>
      <c r="Q26" s="38">
        <v>0</v>
      </c>
      <c r="R26" s="317">
        <f>S26+T26+U26+V26</f>
        <v>0</v>
      </c>
      <c r="S26" s="318">
        <v>0</v>
      </c>
      <c r="T26" s="38">
        <v>0</v>
      </c>
      <c r="U26" s="38">
        <v>0</v>
      </c>
      <c r="V26" s="38">
        <v>0</v>
      </c>
      <c r="W26" s="317">
        <f>X26+Y26+Z26+AA26</f>
        <v>0</v>
      </c>
      <c r="X26" s="318">
        <v>0</v>
      </c>
      <c r="Y26" s="38">
        <v>0</v>
      </c>
      <c r="Z26" s="38">
        <v>0</v>
      </c>
      <c r="AA26" s="38">
        <v>0</v>
      </c>
      <c r="AB26" s="317">
        <f>C26+H26+M26+R26+W26</f>
        <v>1976</v>
      </c>
    </row>
    <row r="27" spans="1:28" s="39" customFormat="1" ht="14.25" customHeight="1" x14ac:dyDescent="0.2">
      <c r="A27" s="312"/>
      <c r="B27" s="40" t="s">
        <v>981</v>
      </c>
      <c r="C27" s="315"/>
      <c r="D27" s="313"/>
      <c r="E27" s="38"/>
      <c r="F27" s="38"/>
      <c r="G27" s="38"/>
      <c r="H27" s="315"/>
      <c r="I27" s="313"/>
      <c r="J27" s="38"/>
      <c r="K27" s="38"/>
      <c r="L27" s="38"/>
      <c r="M27" s="315"/>
      <c r="N27" s="313"/>
      <c r="O27" s="38"/>
      <c r="P27" s="38"/>
      <c r="Q27" s="38"/>
      <c r="R27" s="315"/>
      <c r="S27" s="313"/>
      <c r="T27" s="38"/>
      <c r="U27" s="38"/>
      <c r="V27" s="38"/>
      <c r="W27" s="315"/>
      <c r="X27" s="313"/>
      <c r="Y27" s="38"/>
      <c r="Z27" s="38"/>
      <c r="AA27" s="38"/>
      <c r="AB27" s="315"/>
    </row>
    <row r="28" spans="1:28" s="39" customFormat="1" ht="12.75" customHeight="1" x14ac:dyDescent="0.2">
      <c r="A28" s="312"/>
      <c r="B28" s="41" t="s">
        <v>847</v>
      </c>
      <c r="C28" s="316"/>
      <c r="D28" s="314"/>
      <c r="E28" s="38"/>
      <c r="F28" s="38"/>
      <c r="G28" s="38"/>
      <c r="H28" s="316"/>
      <c r="I28" s="314"/>
      <c r="J28" s="38"/>
      <c r="K28" s="38"/>
      <c r="L28" s="38"/>
      <c r="M28" s="316"/>
      <c r="N28" s="314"/>
      <c r="O28" s="38"/>
      <c r="P28" s="38"/>
      <c r="Q28" s="38"/>
      <c r="R28" s="316"/>
      <c r="S28" s="314"/>
      <c r="T28" s="38"/>
      <c r="U28" s="38"/>
      <c r="V28" s="38"/>
      <c r="W28" s="316"/>
      <c r="X28" s="314"/>
      <c r="Y28" s="38"/>
      <c r="Z28" s="38"/>
      <c r="AA28" s="38"/>
      <c r="AB28" s="316"/>
    </row>
    <row r="29" spans="1:28" ht="17.25" customHeight="1" x14ac:dyDescent="0.2">
      <c r="A29" s="312" t="s">
        <v>37</v>
      </c>
      <c r="B29" s="37" t="s">
        <v>426</v>
      </c>
      <c r="C29" s="332">
        <f>D29+E29+F29+G29</f>
        <v>1644</v>
      </c>
      <c r="D29" s="333">
        <v>1644</v>
      </c>
      <c r="E29" s="38">
        <v>0</v>
      </c>
      <c r="F29" s="38">
        <v>0</v>
      </c>
      <c r="G29" s="38">
        <v>0</v>
      </c>
      <c r="H29" s="332">
        <f>I29+J29+K29+L29</f>
        <v>1472</v>
      </c>
      <c r="I29" s="333">
        <v>1472</v>
      </c>
      <c r="J29" s="38">
        <v>0</v>
      </c>
      <c r="K29" s="38">
        <v>0</v>
      </c>
      <c r="L29" s="38">
        <v>0</v>
      </c>
      <c r="M29" s="332">
        <f>N29</f>
        <v>2763</v>
      </c>
      <c r="N29" s="333">
        <f>1368-668+1946+117</f>
        <v>2763</v>
      </c>
      <c r="O29" s="38">
        <v>0</v>
      </c>
      <c r="P29" s="38">
        <v>0</v>
      </c>
      <c r="Q29" s="38">
        <v>0</v>
      </c>
      <c r="R29" s="332">
        <f>S29</f>
        <v>4600</v>
      </c>
      <c r="S29" s="333">
        <f>1368+3232</f>
        <v>4600</v>
      </c>
      <c r="T29" s="38">
        <v>0</v>
      </c>
      <c r="U29" s="38">
        <v>0</v>
      </c>
      <c r="V29" s="38">
        <v>0</v>
      </c>
      <c r="W29" s="332">
        <f>X29</f>
        <v>4463</v>
      </c>
      <c r="X29" s="333">
        <v>4463</v>
      </c>
      <c r="Y29" s="38">
        <v>0</v>
      </c>
      <c r="Z29" s="38">
        <v>0</v>
      </c>
      <c r="AA29" s="38">
        <v>0</v>
      </c>
      <c r="AB29" s="332">
        <f>C29+H29+M29+R29+W29</f>
        <v>14942</v>
      </c>
    </row>
    <row r="30" spans="1:28" ht="16.5" customHeight="1" x14ac:dyDescent="0.2">
      <c r="A30" s="312"/>
      <c r="B30" s="40" t="s">
        <v>427</v>
      </c>
      <c r="C30" s="332"/>
      <c r="D30" s="333"/>
      <c r="E30" s="38"/>
      <c r="F30" s="38"/>
      <c r="G30" s="38"/>
      <c r="H30" s="332"/>
      <c r="I30" s="333"/>
      <c r="J30" s="38"/>
      <c r="K30" s="38"/>
      <c r="L30" s="38"/>
      <c r="M30" s="332"/>
      <c r="N30" s="333"/>
      <c r="O30" s="38"/>
      <c r="P30" s="38"/>
      <c r="Q30" s="38"/>
      <c r="R30" s="332"/>
      <c r="S30" s="333"/>
      <c r="T30" s="38"/>
      <c r="U30" s="38"/>
      <c r="V30" s="38"/>
      <c r="W30" s="332"/>
      <c r="X30" s="333"/>
      <c r="Y30" s="38"/>
      <c r="Z30" s="38"/>
      <c r="AA30" s="38"/>
      <c r="AB30" s="332"/>
    </row>
    <row r="31" spans="1:28" ht="13.9" customHeight="1" x14ac:dyDescent="0.2">
      <c r="A31" s="312"/>
      <c r="B31" s="41" t="s">
        <v>787</v>
      </c>
      <c r="C31" s="332"/>
      <c r="D31" s="333"/>
      <c r="E31" s="38"/>
      <c r="F31" s="38"/>
      <c r="G31" s="38"/>
      <c r="H31" s="332"/>
      <c r="I31" s="333"/>
      <c r="J31" s="38"/>
      <c r="K31" s="38"/>
      <c r="L31" s="38"/>
      <c r="M31" s="332"/>
      <c r="N31" s="333"/>
      <c r="O31" s="38"/>
      <c r="P31" s="38"/>
      <c r="Q31" s="38"/>
      <c r="R31" s="332"/>
      <c r="S31" s="333"/>
      <c r="T31" s="38"/>
      <c r="U31" s="38"/>
      <c r="V31" s="38"/>
      <c r="W31" s="332"/>
      <c r="X31" s="333"/>
      <c r="Y31" s="38"/>
      <c r="Z31" s="38"/>
      <c r="AA31" s="38"/>
      <c r="AB31" s="332"/>
    </row>
    <row r="32" spans="1:28" ht="36.6" customHeight="1" x14ac:dyDescent="0.2">
      <c r="A32" s="312"/>
      <c r="B32" s="41" t="s">
        <v>788</v>
      </c>
      <c r="C32" s="332"/>
      <c r="D32" s="333"/>
      <c r="E32" s="38"/>
      <c r="F32" s="38"/>
      <c r="G32" s="38"/>
      <c r="H32" s="332"/>
      <c r="I32" s="333"/>
      <c r="J32" s="38"/>
      <c r="K32" s="38"/>
      <c r="L32" s="38"/>
      <c r="M32" s="332"/>
      <c r="N32" s="333"/>
      <c r="O32" s="38"/>
      <c r="P32" s="38"/>
      <c r="Q32" s="38"/>
      <c r="R32" s="332"/>
      <c r="S32" s="333"/>
      <c r="T32" s="38"/>
      <c r="U32" s="38"/>
      <c r="V32" s="38"/>
      <c r="W32" s="332"/>
      <c r="X32" s="333"/>
      <c r="Y32" s="38"/>
      <c r="Z32" s="38"/>
      <c r="AA32" s="38"/>
      <c r="AB32" s="332"/>
    </row>
    <row r="33" spans="1:28" ht="32.25" customHeight="1" x14ac:dyDescent="0.2">
      <c r="A33" s="312"/>
      <c r="B33" s="41" t="s">
        <v>789</v>
      </c>
      <c r="C33" s="332"/>
      <c r="D33" s="333"/>
      <c r="E33" s="38"/>
      <c r="F33" s="38"/>
      <c r="G33" s="38"/>
      <c r="H33" s="332"/>
      <c r="I33" s="333"/>
      <c r="J33" s="38"/>
      <c r="K33" s="38"/>
      <c r="L33" s="38"/>
      <c r="M33" s="332"/>
      <c r="N33" s="333"/>
      <c r="O33" s="38"/>
      <c r="P33" s="38"/>
      <c r="Q33" s="38"/>
      <c r="R33" s="332"/>
      <c r="S33" s="333"/>
      <c r="T33" s="38"/>
      <c r="U33" s="38"/>
      <c r="V33" s="38"/>
      <c r="W33" s="332"/>
      <c r="X33" s="333"/>
      <c r="Y33" s="38"/>
      <c r="Z33" s="38"/>
      <c r="AA33" s="38"/>
      <c r="AB33" s="332"/>
    </row>
    <row r="34" spans="1:28" ht="21.75" customHeight="1" x14ac:dyDescent="0.2">
      <c r="A34" s="312"/>
      <c r="B34" s="41" t="s">
        <v>790</v>
      </c>
      <c r="C34" s="332"/>
      <c r="D34" s="333"/>
      <c r="E34" s="38"/>
      <c r="F34" s="38"/>
      <c r="G34" s="38"/>
      <c r="H34" s="332"/>
      <c r="I34" s="333"/>
      <c r="J34" s="38"/>
      <c r="K34" s="38"/>
      <c r="L34" s="38"/>
      <c r="M34" s="332"/>
      <c r="N34" s="333"/>
      <c r="O34" s="38"/>
      <c r="P34" s="38"/>
      <c r="Q34" s="38"/>
      <c r="R34" s="332"/>
      <c r="S34" s="333"/>
      <c r="T34" s="38"/>
      <c r="U34" s="38"/>
      <c r="V34" s="38"/>
      <c r="W34" s="332"/>
      <c r="X34" s="333"/>
      <c r="Y34" s="38"/>
      <c r="Z34" s="38"/>
      <c r="AA34" s="38"/>
      <c r="AB34" s="332"/>
    </row>
    <row r="35" spans="1:28" ht="18" customHeight="1" x14ac:dyDescent="0.2">
      <c r="A35" s="312"/>
      <c r="B35" s="41" t="s">
        <v>791</v>
      </c>
      <c r="C35" s="332"/>
      <c r="D35" s="333"/>
      <c r="E35" s="38"/>
      <c r="F35" s="38"/>
      <c r="G35" s="38"/>
      <c r="H35" s="332"/>
      <c r="I35" s="333"/>
      <c r="J35" s="38"/>
      <c r="K35" s="38"/>
      <c r="L35" s="38"/>
      <c r="M35" s="332"/>
      <c r="N35" s="333"/>
      <c r="O35" s="38"/>
      <c r="P35" s="38"/>
      <c r="Q35" s="38"/>
      <c r="R35" s="332"/>
      <c r="S35" s="333"/>
      <c r="T35" s="38"/>
      <c r="U35" s="38"/>
      <c r="V35" s="38"/>
      <c r="W35" s="332"/>
      <c r="X35" s="333"/>
      <c r="Y35" s="38"/>
      <c r="Z35" s="38"/>
      <c r="AA35" s="38"/>
      <c r="AB35" s="332"/>
    </row>
    <row r="36" spans="1:28" ht="33.75" customHeight="1" x14ac:dyDescent="0.2">
      <c r="A36" s="312"/>
      <c r="B36" s="41" t="s">
        <v>792</v>
      </c>
      <c r="C36" s="332"/>
      <c r="D36" s="333"/>
      <c r="E36" s="38"/>
      <c r="F36" s="38"/>
      <c r="G36" s="38"/>
      <c r="H36" s="332"/>
      <c r="I36" s="333"/>
      <c r="J36" s="38"/>
      <c r="K36" s="38"/>
      <c r="L36" s="38"/>
      <c r="M36" s="332"/>
      <c r="N36" s="333"/>
      <c r="O36" s="38"/>
      <c r="P36" s="38"/>
      <c r="Q36" s="38"/>
      <c r="R36" s="332"/>
      <c r="S36" s="333"/>
      <c r="T36" s="38"/>
      <c r="U36" s="38"/>
      <c r="V36" s="38"/>
      <c r="W36" s="332"/>
      <c r="X36" s="333"/>
      <c r="Y36" s="38"/>
      <c r="Z36" s="38"/>
      <c r="AA36" s="38"/>
      <c r="AB36" s="332"/>
    </row>
    <row r="37" spans="1:28" ht="37.9" customHeight="1" x14ac:dyDescent="0.2">
      <c r="A37" s="312"/>
      <c r="B37" s="45" t="s">
        <v>793</v>
      </c>
      <c r="C37" s="332"/>
      <c r="D37" s="333"/>
      <c r="E37" s="38"/>
      <c r="F37" s="38"/>
      <c r="G37" s="38"/>
      <c r="H37" s="332"/>
      <c r="I37" s="333"/>
      <c r="J37" s="38"/>
      <c r="K37" s="38"/>
      <c r="L37" s="38"/>
      <c r="M37" s="332"/>
      <c r="N37" s="333"/>
      <c r="O37" s="38"/>
      <c r="P37" s="38"/>
      <c r="Q37" s="38"/>
      <c r="R37" s="332"/>
      <c r="S37" s="333"/>
      <c r="T37" s="38"/>
      <c r="U37" s="38"/>
      <c r="V37" s="38"/>
      <c r="W37" s="332"/>
      <c r="X37" s="333"/>
      <c r="Y37" s="38"/>
      <c r="Z37" s="38"/>
      <c r="AA37" s="38"/>
      <c r="AB37" s="332"/>
    </row>
    <row r="38" spans="1:28" ht="33" customHeight="1" x14ac:dyDescent="0.2">
      <c r="A38" s="322" t="s">
        <v>37</v>
      </c>
      <c r="B38" s="41" t="s">
        <v>794</v>
      </c>
      <c r="C38" s="317"/>
      <c r="D38" s="318"/>
      <c r="E38" s="38"/>
      <c r="F38" s="38"/>
      <c r="G38" s="38"/>
      <c r="H38" s="317"/>
      <c r="I38" s="318"/>
      <c r="J38" s="38"/>
      <c r="K38" s="38"/>
      <c r="L38" s="38"/>
      <c r="M38" s="317"/>
      <c r="N38" s="319"/>
      <c r="O38" s="38"/>
      <c r="P38" s="38"/>
      <c r="Q38" s="38"/>
      <c r="R38" s="317"/>
      <c r="S38" s="318"/>
      <c r="T38" s="38"/>
      <c r="U38" s="38"/>
      <c r="V38" s="38"/>
      <c r="W38" s="318"/>
      <c r="X38" s="318"/>
      <c r="Y38" s="38"/>
      <c r="Z38" s="38"/>
      <c r="AA38" s="38"/>
      <c r="AB38" s="317"/>
    </row>
    <row r="39" spans="1:28" ht="18" customHeight="1" x14ac:dyDescent="0.2">
      <c r="A39" s="323"/>
      <c r="B39" s="41" t="s">
        <v>796</v>
      </c>
      <c r="C39" s="315"/>
      <c r="D39" s="313"/>
      <c r="E39" s="46"/>
      <c r="F39" s="46"/>
      <c r="G39" s="46"/>
      <c r="H39" s="315"/>
      <c r="I39" s="313"/>
      <c r="J39" s="46"/>
      <c r="K39" s="46"/>
      <c r="L39" s="46"/>
      <c r="M39" s="315"/>
      <c r="N39" s="320"/>
      <c r="O39" s="47"/>
      <c r="P39" s="46"/>
      <c r="Q39" s="46"/>
      <c r="R39" s="315"/>
      <c r="S39" s="313"/>
      <c r="T39" s="46"/>
      <c r="U39" s="46"/>
      <c r="V39" s="46"/>
      <c r="W39" s="313"/>
      <c r="X39" s="313"/>
      <c r="Y39" s="46"/>
      <c r="Z39" s="46"/>
      <c r="AA39" s="46"/>
      <c r="AB39" s="315"/>
    </row>
    <row r="40" spans="1:28" ht="20.25" customHeight="1" x14ac:dyDescent="0.2">
      <c r="A40" s="323"/>
      <c r="B40" s="41" t="s">
        <v>835</v>
      </c>
      <c r="C40" s="315"/>
      <c r="D40" s="313"/>
      <c r="E40" s="38"/>
      <c r="F40" s="38"/>
      <c r="G40" s="38"/>
      <c r="H40" s="315"/>
      <c r="I40" s="313"/>
      <c r="J40" s="38"/>
      <c r="K40" s="38"/>
      <c r="L40" s="38"/>
      <c r="M40" s="315"/>
      <c r="N40" s="320"/>
      <c r="O40" s="48"/>
      <c r="P40" s="38"/>
      <c r="Q40" s="38"/>
      <c r="R40" s="315"/>
      <c r="S40" s="313"/>
      <c r="T40" s="38"/>
      <c r="U40" s="38"/>
      <c r="V40" s="38"/>
      <c r="W40" s="313"/>
      <c r="X40" s="313"/>
      <c r="Y40" s="38"/>
      <c r="Z40" s="38"/>
      <c r="AA40" s="38"/>
      <c r="AB40" s="315"/>
    </row>
    <row r="41" spans="1:28" ht="18.75" customHeight="1" x14ac:dyDescent="0.2">
      <c r="A41" s="323"/>
      <c r="B41" s="41" t="s">
        <v>836</v>
      </c>
      <c r="C41" s="315"/>
      <c r="D41" s="313"/>
      <c r="E41" s="46"/>
      <c r="F41" s="46"/>
      <c r="G41" s="46"/>
      <c r="H41" s="315"/>
      <c r="I41" s="313"/>
      <c r="J41" s="46"/>
      <c r="K41" s="46"/>
      <c r="L41" s="46"/>
      <c r="M41" s="315"/>
      <c r="N41" s="320"/>
      <c r="O41" s="47"/>
      <c r="P41" s="46"/>
      <c r="Q41" s="46"/>
      <c r="R41" s="315"/>
      <c r="S41" s="313"/>
      <c r="T41" s="46"/>
      <c r="U41" s="46"/>
      <c r="V41" s="46"/>
      <c r="W41" s="313"/>
      <c r="X41" s="313"/>
      <c r="Y41" s="46"/>
      <c r="Z41" s="46"/>
      <c r="AA41" s="46"/>
      <c r="AB41" s="315"/>
    </row>
    <row r="42" spans="1:28" ht="18" customHeight="1" x14ac:dyDescent="0.2">
      <c r="A42" s="323"/>
      <c r="B42" s="40" t="s">
        <v>428</v>
      </c>
      <c r="C42" s="315"/>
      <c r="D42" s="313"/>
      <c r="E42" s="38"/>
      <c r="F42" s="38"/>
      <c r="G42" s="38"/>
      <c r="H42" s="315"/>
      <c r="I42" s="313"/>
      <c r="J42" s="38"/>
      <c r="K42" s="38"/>
      <c r="L42" s="38"/>
      <c r="M42" s="315"/>
      <c r="N42" s="320"/>
      <c r="O42" s="48"/>
      <c r="P42" s="38"/>
      <c r="Q42" s="38"/>
      <c r="R42" s="315"/>
      <c r="S42" s="313"/>
      <c r="T42" s="38"/>
      <c r="U42" s="38"/>
      <c r="V42" s="38"/>
      <c r="W42" s="313"/>
      <c r="X42" s="313"/>
      <c r="Y42" s="38"/>
      <c r="Z42" s="38"/>
      <c r="AA42" s="38"/>
      <c r="AB42" s="315"/>
    </row>
    <row r="43" spans="1:28" ht="18" customHeight="1" x14ac:dyDescent="0.2">
      <c r="A43" s="323"/>
      <c r="B43" s="41" t="s">
        <v>913</v>
      </c>
      <c r="C43" s="315"/>
      <c r="D43" s="313"/>
      <c r="E43" s="38"/>
      <c r="F43" s="38"/>
      <c r="G43" s="38"/>
      <c r="H43" s="315"/>
      <c r="I43" s="313"/>
      <c r="J43" s="38"/>
      <c r="K43" s="38"/>
      <c r="L43" s="38"/>
      <c r="M43" s="315"/>
      <c r="N43" s="320"/>
      <c r="O43" s="48"/>
      <c r="P43" s="38"/>
      <c r="Q43" s="38"/>
      <c r="R43" s="315"/>
      <c r="S43" s="313"/>
      <c r="T43" s="38"/>
      <c r="U43" s="38"/>
      <c r="V43" s="38"/>
      <c r="W43" s="313"/>
      <c r="X43" s="313"/>
      <c r="Y43" s="38"/>
      <c r="Z43" s="38"/>
      <c r="AA43" s="38"/>
      <c r="AB43" s="315"/>
    </row>
    <row r="44" spans="1:28" ht="18" customHeight="1" x14ac:dyDescent="0.2">
      <c r="A44" s="323"/>
      <c r="B44" s="41" t="s">
        <v>914</v>
      </c>
      <c r="C44" s="315"/>
      <c r="D44" s="313"/>
      <c r="E44" s="38"/>
      <c r="F44" s="38"/>
      <c r="G44" s="38"/>
      <c r="H44" s="315"/>
      <c r="I44" s="313"/>
      <c r="J44" s="38"/>
      <c r="K44" s="38"/>
      <c r="L44" s="38"/>
      <c r="M44" s="315"/>
      <c r="N44" s="320"/>
      <c r="O44" s="48"/>
      <c r="P44" s="38"/>
      <c r="Q44" s="38"/>
      <c r="R44" s="315"/>
      <c r="S44" s="313"/>
      <c r="T44" s="38"/>
      <c r="U44" s="38"/>
      <c r="V44" s="38"/>
      <c r="W44" s="313"/>
      <c r="X44" s="313"/>
      <c r="Y44" s="38"/>
      <c r="Z44" s="38"/>
      <c r="AA44" s="38"/>
      <c r="AB44" s="315"/>
    </row>
    <row r="45" spans="1:28" ht="18" customHeight="1" x14ac:dyDescent="0.2">
      <c r="A45" s="323"/>
      <c r="B45" s="41" t="s">
        <v>915</v>
      </c>
      <c r="C45" s="315"/>
      <c r="D45" s="313"/>
      <c r="E45" s="38"/>
      <c r="F45" s="38"/>
      <c r="G45" s="38"/>
      <c r="H45" s="315"/>
      <c r="I45" s="313"/>
      <c r="J45" s="38"/>
      <c r="K45" s="38"/>
      <c r="L45" s="38"/>
      <c r="M45" s="315"/>
      <c r="N45" s="320"/>
      <c r="O45" s="48"/>
      <c r="P45" s="38"/>
      <c r="Q45" s="38"/>
      <c r="R45" s="315"/>
      <c r="S45" s="313"/>
      <c r="T45" s="38"/>
      <c r="U45" s="38"/>
      <c r="V45" s="38"/>
      <c r="W45" s="313"/>
      <c r="X45" s="313"/>
      <c r="Y45" s="38"/>
      <c r="Z45" s="38"/>
      <c r="AA45" s="38"/>
      <c r="AB45" s="315"/>
    </row>
    <row r="46" spans="1:28" ht="18" customHeight="1" x14ac:dyDescent="0.2">
      <c r="A46" s="323"/>
      <c r="B46" s="41" t="s">
        <v>916</v>
      </c>
      <c r="C46" s="315"/>
      <c r="D46" s="313"/>
      <c r="E46" s="38"/>
      <c r="F46" s="38"/>
      <c r="G46" s="38"/>
      <c r="H46" s="315"/>
      <c r="I46" s="313"/>
      <c r="J46" s="38"/>
      <c r="K46" s="38"/>
      <c r="L46" s="38"/>
      <c r="M46" s="315"/>
      <c r="N46" s="320"/>
      <c r="O46" s="48"/>
      <c r="P46" s="38"/>
      <c r="Q46" s="38"/>
      <c r="R46" s="315"/>
      <c r="S46" s="313"/>
      <c r="T46" s="38"/>
      <c r="U46" s="38"/>
      <c r="V46" s="38"/>
      <c r="W46" s="313"/>
      <c r="X46" s="313"/>
      <c r="Y46" s="38"/>
      <c r="Z46" s="38"/>
      <c r="AA46" s="38"/>
      <c r="AB46" s="315"/>
    </row>
    <row r="47" spans="1:28" ht="18" customHeight="1" x14ac:dyDescent="0.2">
      <c r="A47" s="323"/>
      <c r="B47" s="41" t="s">
        <v>917</v>
      </c>
      <c r="C47" s="315"/>
      <c r="D47" s="313"/>
      <c r="E47" s="38"/>
      <c r="F47" s="38"/>
      <c r="G47" s="38"/>
      <c r="H47" s="315"/>
      <c r="I47" s="313"/>
      <c r="J47" s="38"/>
      <c r="K47" s="38"/>
      <c r="L47" s="38"/>
      <c r="M47" s="315"/>
      <c r="N47" s="320"/>
      <c r="O47" s="48"/>
      <c r="P47" s="38"/>
      <c r="Q47" s="38"/>
      <c r="R47" s="315"/>
      <c r="S47" s="313"/>
      <c r="T47" s="38"/>
      <c r="U47" s="38"/>
      <c r="V47" s="38"/>
      <c r="W47" s="313"/>
      <c r="X47" s="313"/>
      <c r="Y47" s="38"/>
      <c r="Z47" s="38"/>
      <c r="AA47" s="38"/>
      <c r="AB47" s="315"/>
    </row>
    <row r="48" spans="1:28" ht="18" customHeight="1" x14ac:dyDescent="0.2">
      <c r="A48" s="323"/>
      <c r="B48" s="41" t="s">
        <v>918</v>
      </c>
      <c r="C48" s="315"/>
      <c r="D48" s="313"/>
      <c r="E48" s="38"/>
      <c r="F48" s="38"/>
      <c r="G48" s="38"/>
      <c r="H48" s="315"/>
      <c r="I48" s="313"/>
      <c r="J48" s="38"/>
      <c r="K48" s="38"/>
      <c r="L48" s="38"/>
      <c r="M48" s="315"/>
      <c r="N48" s="320"/>
      <c r="O48" s="48"/>
      <c r="P48" s="38"/>
      <c r="Q48" s="38"/>
      <c r="R48" s="315"/>
      <c r="S48" s="313"/>
      <c r="T48" s="38"/>
      <c r="U48" s="38"/>
      <c r="V48" s="38"/>
      <c r="W48" s="313"/>
      <c r="X48" s="313"/>
      <c r="Y48" s="38"/>
      <c r="Z48" s="38"/>
      <c r="AA48" s="38"/>
      <c r="AB48" s="315"/>
    </row>
    <row r="49" spans="1:28" ht="18" customHeight="1" x14ac:dyDescent="0.2">
      <c r="A49" s="323"/>
      <c r="B49" s="41" t="s">
        <v>919</v>
      </c>
      <c r="C49" s="315"/>
      <c r="D49" s="313"/>
      <c r="E49" s="38"/>
      <c r="F49" s="38"/>
      <c r="G49" s="38"/>
      <c r="H49" s="315"/>
      <c r="I49" s="313"/>
      <c r="J49" s="38"/>
      <c r="K49" s="38"/>
      <c r="L49" s="38"/>
      <c r="M49" s="315"/>
      <c r="N49" s="320"/>
      <c r="O49" s="48"/>
      <c r="P49" s="38"/>
      <c r="Q49" s="38"/>
      <c r="R49" s="315"/>
      <c r="S49" s="313"/>
      <c r="T49" s="38"/>
      <c r="U49" s="38"/>
      <c r="V49" s="38"/>
      <c r="W49" s="313"/>
      <c r="X49" s="313"/>
      <c r="Y49" s="38"/>
      <c r="Z49" s="38"/>
      <c r="AA49" s="38"/>
      <c r="AB49" s="315"/>
    </row>
    <row r="50" spans="1:28" ht="18" customHeight="1" x14ac:dyDescent="0.2">
      <c r="A50" s="323"/>
      <c r="B50" s="41" t="s">
        <v>1672</v>
      </c>
      <c r="C50" s="315"/>
      <c r="D50" s="313"/>
      <c r="E50" s="38"/>
      <c r="F50" s="38"/>
      <c r="G50" s="38"/>
      <c r="H50" s="315"/>
      <c r="I50" s="313"/>
      <c r="J50" s="38"/>
      <c r="K50" s="38"/>
      <c r="L50" s="38"/>
      <c r="M50" s="315"/>
      <c r="N50" s="320"/>
      <c r="O50" s="48"/>
      <c r="P50" s="38"/>
      <c r="Q50" s="38"/>
      <c r="R50" s="315"/>
      <c r="S50" s="313"/>
      <c r="T50" s="38"/>
      <c r="U50" s="38"/>
      <c r="V50" s="38"/>
      <c r="W50" s="313"/>
      <c r="X50" s="313"/>
      <c r="Y50" s="38"/>
      <c r="Z50" s="38"/>
      <c r="AA50" s="38"/>
      <c r="AB50" s="315"/>
    </row>
    <row r="51" spans="1:28" ht="18" customHeight="1" x14ac:dyDescent="0.2">
      <c r="A51" s="323"/>
      <c r="B51" s="41" t="s">
        <v>1678</v>
      </c>
      <c r="C51" s="315"/>
      <c r="D51" s="313"/>
      <c r="E51" s="38"/>
      <c r="F51" s="38"/>
      <c r="G51" s="38"/>
      <c r="H51" s="315"/>
      <c r="I51" s="313"/>
      <c r="J51" s="38"/>
      <c r="K51" s="38"/>
      <c r="L51" s="38"/>
      <c r="M51" s="315"/>
      <c r="N51" s="320"/>
      <c r="O51" s="48"/>
      <c r="P51" s="38"/>
      <c r="Q51" s="38"/>
      <c r="R51" s="315"/>
      <c r="S51" s="313"/>
      <c r="T51" s="38"/>
      <c r="U51" s="38"/>
      <c r="V51" s="38"/>
      <c r="W51" s="313"/>
      <c r="X51" s="313"/>
      <c r="Y51" s="38"/>
      <c r="Z51" s="38"/>
      <c r="AA51" s="38"/>
      <c r="AB51" s="315"/>
    </row>
    <row r="52" spans="1:28" ht="18" customHeight="1" x14ac:dyDescent="0.2">
      <c r="A52" s="323"/>
      <c r="B52" s="41" t="s">
        <v>920</v>
      </c>
      <c r="C52" s="315"/>
      <c r="D52" s="313"/>
      <c r="E52" s="38"/>
      <c r="F52" s="38"/>
      <c r="G52" s="38"/>
      <c r="H52" s="315"/>
      <c r="I52" s="313"/>
      <c r="J52" s="38"/>
      <c r="K52" s="38"/>
      <c r="L52" s="38"/>
      <c r="M52" s="315"/>
      <c r="N52" s="320"/>
      <c r="O52" s="48"/>
      <c r="P52" s="38"/>
      <c r="Q52" s="38"/>
      <c r="R52" s="315"/>
      <c r="S52" s="313"/>
      <c r="T52" s="38"/>
      <c r="U52" s="38"/>
      <c r="V52" s="38"/>
      <c r="W52" s="313"/>
      <c r="X52" s="313"/>
      <c r="Y52" s="38"/>
      <c r="Z52" s="38"/>
      <c r="AA52" s="38"/>
      <c r="AB52" s="315"/>
    </row>
    <row r="53" spans="1:28" ht="18" customHeight="1" x14ac:dyDescent="0.2">
      <c r="A53" s="323"/>
      <c r="B53" s="41" t="s">
        <v>921</v>
      </c>
      <c r="C53" s="315"/>
      <c r="D53" s="313"/>
      <c r="E53" s="38"/>
      <c r="F53" s="38"/>
      <c r="G53" s="38"/>
      <c r="H53" s="315"/>
      <c r="I53" s="313"/>
      <c r="J53" s="38"/>
      <c r="K53" s="38"/>
      <c r="L53" s="38"/>
      <c r="M53" s="315"/>
      <c r="N53" s="320"/>
      <c r="O53" s="48"/>
      <c r="P53" s="38"/>
      <c r="Q53" s="38"/>
      <c r="R53" s="315"/>
      <c r="S53" s="313"/>
      <c r="T53" s="38"/>
      <c r="U53" s="38"/>
      <c r="V53" s="38"/>
      <c r="W53" s="313"/>
      <c r="X53" s="313"/>
      <c r="Y53" s="38"/>
      <c r="Z53" s="38"/>
      <c r="AA53" s="38"/>
      <c r="AB53" s="315"/>
    </row>
    <row r="54" spans="1:28" ht="18" customHeight="1" x14ac:dyDescent="0.2">
      <c r="A54" s="323"/>
      <c r="B54" s="40" t="s">
        <v>783</v>
      </c>
      <c r="C54" s="315"/>
      <c r="D54" s="313"/>
      <c r="E54" s="38"/>
      <c r="F54" s="38"/>
      <c r="G54" s="38"/>
      <c r="H54" s="315"/>
      <c r="I54" s="313"/>
      <c r="J54" s="38"/>
      <c r="K54" s="38"/>
      <c r="L54" s="38"/>
      <c r="M54" s="315"/>
      <c r="N54" s="320"/>
      <c r="O54" s="48"/>
      <c r="P54" s="38"/>
      <c r="Q54" s="38"/>
      <c r="R54" s="315"/>
      <c r="S54" s="313"/>
      <c r="T54" s="38"/>
      <c r="U54" s="38"/>
      <c r="V54" s="38"/>
      <c r="W54" s="313"/>
      <c r="X54" s="313"/>
      <c r="Y54" s="38"/>
      <c r="Z54" s="38"/>
      <c r="AA54" s="38"/>
      <c r="AB54" s="315"/>
    </row>
    <row r="55" spans="1:28" ht="18" customHeight="1" x14ac:dyDescent="0.2">
      <c r="A55" s="323"/>
      <c r="B55" s="42" t="s">
        <v>1673</v>
      </c>
      <c r="C55" s="315"/>
      <c r="D55" s="313"/>
      <c r="E55" s="38"/>
      <c r="F55" s="38"/>
      <c r="G55" s="38"/>
      <c r="H55" s="315"/>
      <c r="I55" s="313"/>
      <c r="J55" s="38"/>
      <c r="K55" s="38"/>
      <c r="L55" s="38"/>
      <c r="M55" s="315"/>
      <c r="N55" s="320"/>
      <c r="O55" s="48"/>
      <c r="P55" s="38"/>
      <c r="Q55" s="38"/>
      <c r="R55" s="315"/>
      <c r="S55" s="313"/>
      <c r="T55" s="38"/>
      <c r="U55" s="38"/>
      <c r="V55" s="38"/>
      <c r="W55" s="313"/>
      <c r="X55" s="313"/>
      <c r="Y55" s="38"/>
      <c r="Z55" s="38"/>
      <c r="AA55" s="38"/>
      <c r="AB55" s="315"/>
    </row>
    <row r="56" spans="1:28" ht="15.75" x14ac:dyDescent="0.2">
      <c r="A56" s="323"/>
      <c r="B56" s="42" t="s">
        <v>1674</v>
      </c>
      <c r="C56" s="315"/>
      <c r="D56" s="313"/>
      <c r="E56" s="38"/>
      <c r="F56" s="38"/>
      <c r="G56" s="38"/>
      <c r="H56" s="315"/>
      <c r="I56" s="313"/>
      <c r="J56" s="38"/>
      <c r="K56" s="38"/>
      <c r="L56" s="38"/>
      <c r="M56" s="315"/>
      <c r="N56" s="320"/>
      <c r="O56" s="48"/>
      <c r="P56" s="38"/>
      <c r="Q56" s="38"/>
      <c r="R56" s="315"/>
      <c r="S56" s="313"/>
      <c r="T56" s="38"/>
      <c r="U56" s="38"/>
      <c r="V56" s="38"/>
      <c r="W56" s="313"/>
      <c r="X56" s="313"/>
      <c r="Y56" s="38"/>
      <c r="Z56" s="38"/>
      <c r="AA56" s="38"/>
      <c r="AB56" s="315"/>
    </row>
    <row r="57" spans="1:28" ht="18" customHeight="1" x14ac:dyDescent="0.2">
      <c r="A57" s="323"/>
      <c r="B57" s="42" t="s">
        <v>1675</v>
      </c>
      <c r="C57" s="315"/>
      <c r="D57" s="313"/>
      <c r="E57" s="38"/>
      <c r="F57" s="38"/>
      <c r="G57" s="38"/>
      <c r="H57" s="315"/>
      <c r="I57" s="313"/>
      <c r="J57" s="38"/>
      <c r="K57" s="38"/>
      <c r="L57" s="38"/>
      <c r="M57" s="315"/>
      <c r="N57" s="320"/>
      <c r="O57" s="48"/>
      <c r="P57" s="38"/>
      <c r="Q57" s="38"/>
      <c r="R57" s="315"/>
      <c r="S57" s="313"/>
      <c r="T57" s="38"/>
      <c r="U57" s="38"/>
      <c r="V57" s="38"/>
      <c r="W57" s="313"/>
      <c r="X57" s="313"/>
      <c r="Y57" s="38"/>
      <c r="Z57" s="38"/>
      <c r="AA57" s="38"/>
      <c r="AB57" s="315"/>
    </row>
    <row r="58" spans="1:28" ht="18" customHeight="1" x14ac:dyDescent="0.2">
      <c r="A58" s="323"/>
      <c r="B58" s="42" t="s">
        <v>1676</v>
      </c>
      <c r="C58" s="315"/>
      <c r="D58" s="313"/>
      <c r="E58" s="38"/>
      <c r="F58" s="38"/>
      <c r="G58" s="38"/>
      <c r="H58" s="315"/>
      <c r="I58" s="313"/>
      <c r="J58" s="38"/>
      <c r="K58" s="38"/>
      <c r="L58" s="38"/>
      <c r="M58" s="315"/>
      <c r="N58" s="320"/>
      <c r="O58" s="48"/>
      <c r="P58" s="38"/>
      <c r="Q58" s="38"/>
      <c r="R58" s="315"/>
      <c r="S58" s="313"/>
      <c r="T58" s="38"/>
      <c r="U58" s="38"/>
      <c r="V58" s="38"/>
      <c r="W58" s="313"/>
      <c r="X58" s="313"/>
      <c r="Y58" s="38"/>
      <c r="Z58" s="38"/>
      <c r="AA58" s="38"/>
      <c r="AB58" s="315"/>
    </row>
    <row r="59" spans="1:28" ht="18" customHeight="1" x14ac:dyDescent="0.2">
      <c r="A59" s="323"/>
      <c r="B59" s="42" t="s">
        <v>1677</v>
      </c>
      <c r="C59" s="315"/>
      <c r="D59" s="313"/>
      <c r="E59" s="38"/>
      <c r="F59" s="38"/>
      <c r="G59" s="38"/>
      <c r="H59" s="315"/>
      <c r="I59" s="313"/>
      <c r="J59" s="38"/>
      <c r="K59" s="38"/>
      <c r="L59" s="38"/>
      <c r="M59" s="315"/>
      <c r="N59" s="320"/>
      <c r="O59" s="48"/>
      <c r="P59" s="38"/>
      <c r="Q59" s="38"/>
      <c r="R59" s="315"/>
      <c r="S59" s="313"/>
      <c r="T59" s="38"/>
      <c r="U59" s="38"/>
      <c r="V59" s="38"/>
      <c r="W59" s="313"/>
      <c r="X59" s="313"/>
      <c r="Y59" s="38"/>
      <c r="Z59" s="38"/>
      <c r="AA59" s="38"/>
      <c r="AB59" s="315"/>
    </row>
    <row r="60" spans="1:28" ht="18" customHeight="1" x14ac:dyDescent="0.2">
      <c r="A60" s="323"/>
      <c r="B60" s="42" t="s">
        <v>1717</v>
      </c>
      <c r="C60" s="315"/>
      <c r="D60" s="313"/>
      <c r="E60" s="38"/>
      <c r="F60" s="38"/>
      <c r="G60" s="38"/>
      <c r="H60" s="315"/>
      <c r="I60" s="313"/>
      <c r="J60" s="38"/>
      <c r="K60" s="38"/>
      <c r="L60" s="38"/>
      <c r="M60" s="315"/>
      <c r="N60" s="320"/>
      <c r="O60" s="48"/>
      <c r="P60" s="38"/>
      <c r="Q60" s="38"/>
      <c r="R60" s="315"/>
      <c r="S60" s="313"/>
      <c r="T60" s="38"/>
      <c r="U60" s="38"/>
      <c r="V60" s="38"/>
      <c r="W60" s="313"/>
      <c r="X60" s="313"/>
      <c r="Y60" s="38"/>
      <c r="Z60" s="38"/>
      <c r="AA60" s="38"/>
      <c r="AB60" s="315"/>
    </row>
    <row r="61" spans="1:28" ht="31.5" customHeight="1" x14ac:dyDescent="0.2">
      <c r="A61" s="323"/>
      <c r="B61" s="42" t="s">
        <v>1719</v>
      </c>
      <c r="C61" s="315"/>
      <c r="D61" s="313"/>
      <c r="E61" s="38"/>
      <c r="F61" s="38"/>
      <c r="G61" s="38"/>
      <c r="H61" s="315"/>
      <c r="I61" s="313"/>
      <c r="J61" s="38"/>
      <c r="K61" s="38"/>
      <c r="L61" s="38"/>
      <c r="M61" s="315"/>
      <c r="N61" s="320"/>
      <c r="O61" s="48"/>
      <c r="P61" s="38"/>
      <c r="Q61" s="38"/>
      <c r="R61" s="315"/>
      <c r="S61" s="313"/>
      <c r="T61" s="38"/>
      <c r="U61" s="38"/>
      <c r="V61" s="38"/>
      <c r="W61" s="313"/>
      <c r="X61" s="313"/>
      <c r="Y61" s="38"/>
      <c r="Z61" s="38"/>
      <c r="AA61" s="38"/>
      <c r="AB61" s="315"/>
    </row>
    <row r="62" spans="1:28" ht="18" customHeight="1" x14ac:dyDescent="0.2">
      <c r="A62" s="323"/>
      <c r="B62" s="42" t="s">
        <v>1718</v>
      </c>
      <c r="C62" s="315"/>
      <c r="D62" s="313"/>
      <c r="E62" s="38"/>
      <c r="F62" s="38"/>
      <c r="G62" s="38"/>
      <c r="H62" s="315"/>
      <c r="I62" s="313"/>
      <c r="J62" s="38"/>
      <c r="K62" s="38"/>
      <c r="L62" s="38"/>
      <c r="M62" s="315"/>
      <c r="N62" s="320"/>
      <c r="O62" s="48"/>
      <c r="P62" s="38"/>
      <c r="Q62" s="38"/>
      <c r="R62" s="315"/>
      <c r="S62" s="313"/>
      <c r="T62" s="38"/>
      <c r="U62" s="38"/>
      <c r="V62" s="38"/>
      <c r="W62" s="313"/>
      <c r="X62" s="313"/>
      <c r="Y62" s="38"/>
      <c r="Z62" s="38"/>
      <c r="AA62" s="38"/>
      <c r="AB62" s="315"/>
    </row>
    <row r="63" spans="1:28" ht="32.25" customHeight="1" x14ac:dyDescent="0.2">
      <c r="A63" s="323"/>
      <c r="B63" s="42" t="s">
        <v>1720</v>
      </c>
      <c r="C63" s="315"/>
      <c r="D63" s="313"/>
      <c r="E63" s="38"/>
      <c r="F63" s="38"/>
      <c r="G63" s="38"/>
      <c r="H63" s="315"/>
      <c r="I63" s="313"/>
      <c r="J63" s="38"/>
      <c r="K63" s="38"/>
      <c r="L63" s="38"/>
      <c r="M63" s="315"/>
      <c r="N63" s="320"/>
      <c r="O63" s="48"/>
      <c r="P63" s="38"/>
      <c r="Q63" s="38"/>
      <c r="R63" s="315"/>
      <c r="S63" s="313"/>
      <c r="T63" s="38"/>
      <c r="U63" s="38"/>
      <c r="V63" s="38"/>
      <c r="W63" s="313"/>
      <c r="X63" s="313"/>
      <c r="Y63" s="38"/>
      <c r="Z63" s="38"/>
      <c r="AA63" s="38"/>
      <c r="AB63" s="315"/>
    </row>
    <row r="64" spans="1:28" ht="18" customHeight="1" x14ac:dyDescent="0.2">
      <c r="A64" s="323"/>
      <c r="B64" s="42" t="s">
        <v>1721</v>
      </c>
      <c r="C64" s="315"/>
      <c r="D64" s="313"/>
      <c r="E64" s="38"/>
      <c r="F64" s="38"/>
      <c r="G64" s="38"/>
      <c r="H64" s="315"/>
      <c r="I64" s="313"/>
      <c r="J64" s="38"/>
      <c r="K64" s="38"/>
      <c r="L64" s="38"/>
      <c r="M64" s="315"/>
      <c r="N64" s="320"/>
      <c r="O64" s="48"/>
      <c r="P64" s="38"/>
      <c r="Q64" s="38"/>
      <c r="R64" s="315"/>
      <c r="S64" s="313"/>
      <c r="T64" s="38"/>
      <c r="U64" s="38"/>
      <c r="V64" s="38"/>
      <c r="W64" s="313"/>
      <c r="X64" s="313"/>
      <c r="Y64" s="38"/>
      <c r="Z64" s="38"/>
      <c r="AA64" s="38"/>
      <c r="AB64" s="315"/>
    </row>
    <row r="65" spans="1:28" ht="18" customHeight="1" x14ac:dyDescent="0.2">
      <c r="A65" s="323"/>
      <c r="B65" s="42" t="s">
        <v>1722</v>
      </c>
      <c r="C65" s="315"/>
      <c r="D65" s="313"/>
      <c r="E65" s="38"/>
      <c r="F65" s="38"/>
      <c r="G65" s="38"/>
      <c r="H65" s="315"/>
      <c r="I65" s="313"/>
      <c r="J65" s="38"/>
      <c r="K65" s="38"/>
      <c r="L65" s="38"/>
      <c r="M65" s="315"/>
      <c r="N65" s="320"/>
      <c r="O65" s="48"/>
      <c r="P65" s="38"/>
      <c r="Q65" s="38"/>
      <c r="R65" s="315"/>
      <c r="S65" s="313"/>
      <c r="T65" s="38"/>
      <c r="U65" s="38"/>
      <c r="V65" s="38"/>
      <c r="W65" s="313"/>
      <c r="X65" s="313"/>
      <c r="Y65" s="38"/>
      <c r="Z65" s="38"/>
      <c r="AA65" s="38"/>
      <c r="AB65" s="315"/>
    </row>
    <row r="66" spans="1:28" ht="18" customHeight="1" x14ac:dyDescent="0.2">
      <c r="A66" s="323"/>
      <c r="B66" s="42" t="s">
        <v>1723</v>
      </c>
      <c r="C66" s="315"/>
      <c r="D66" s="313"/>
      <c r="E66" s="38"/>
      <c r="F66" s="38"/>
      <c r="G66" s="38"/>
      <c r="H66" s="315"/>
      <c r="I66" s="313"/>
      <c r="J66" s="38"/>
      <c r="K66" s="38"/>
      <c r="L66" s="38"/>
      <c r="M66" s="315"/>
      <c r="N66" s="320"/>
      <c r="O66" s="48"/>
      <c r="P66" s="38"/>
      <c r="Q66" s="38"/>
      <c r="R66" s="315"/>
      <c r="S66" s="313"/>
      <c r="T66" s="38"/>
      <c r="U66" s="38"/>
      <c r="V66" s="38"/>
      <c r="W66" s="313"/>
      <c r="X66" s="313"/>
      <c r="Y66" s="38"/>
      <c r="Z66" s="38"/>
      <c r="AA66" s="38"/>
      <c r="AB66" s="315"/>
    </row>
    <row r="67" spans="1:28" ht="18" customHeight="1" x14ac:dyDescent="0.2">
      <c r="A67" s="323"/>
      <c r="B67" s="42" t="s">
        <v>1724</v>
      </c>
      <c r="C67" s="315"/>
      <c r="D67" s="313"/>
      <c r="E67" s="38"/>
      <c r="F67" s="38"/>
      <c r="G67" s="38"/>
      <c r="H67" s="315"/>
      <c r="I67" s="313"/>
      <c r="J67" s="38"/>
      <c r="K67" s="38"/>
      <c r="L67" s="38"/>
      <c r="M67" s="315"/>
      <c r="N67" s="320"/>
      <c r="O67" s="48"/>
      <c r="P67" s="38"/>
      <c r="Q67" s="38"/>
      <c r="R67" s="315"/>
      <c r="S67" s="313"/>
      <c r="T67" s="38"/>
      <c r="U67" s="38"/>
      <c r="V67" s="38"/>
      <c r="W67" s="313"/>
      <c r="X67" s="313"/>
      <c r="Y67" s="38"/>
      <c r="Z67" s="38"/>
      <c r="AA67" s="38"/>
      <c r="AB67" s="315"/>
    </row>
    <row r="68" spans="1:28" ht="18" customHeight="1" x14ac:dyDescent="0.2">
      <c r="A68" s="323"/>
      <c r="B68" s="42" t="s">
        <v>1726</v>
      </c>
      <c r="C68" s="315"/>
      <c r="D68" s="313"/>
      <c r="E68" s="38"/>
      <c r="F68" s="38"/>
      <c r="G68" s="38"/>
      <c r="H68" s="315"/>
      <c r="I68" s="313"/>
      <c r="J68" s="38"/>
      <c r="K68" s="38"/>
      <c r="L68" s="38"/>
      <c r="M68" s="315"/>
      <c r="N68" s="320"/>
      <c r="O68" s="48"/>
      <c r="P68" s="38"/>
      <c r="Q68" s="38"/>
      <c r="R68" s="315"/>
      <c r="S68" s="313"/>
      <c r="T68" s="38"/>
      <c r="U68" s="38"/>
      <c r="V68" s="38"/>
      <c r="W68" s="313"/>
      <c r="X68" s="313"/>
      <c r="Y68" s="38"/>
      <c r="Z68" s="38"/>
      <c r="AA68" s="38"/>
      <c r="AB68" s="315"/>
    </row>
    <row r="69" spans="1:28" ht="18" customHeight="1" x14ac:dyDescent="0.2">
      <c r="A69" s="323"/>
      <c r="B69" s="40" t="s">
        <v>871</v>
      </c>
      <c r="C69" s="315"/>
      <c r="D69" s="313"/>
      <c r="E69" s="38"/>
      <c r="F69" s="38"/>
      <c r="G69" s="38"/>
      <c r="H69" s="315"/>
      <c r="I69" s="313"/>
      <c r="J69" s="38"/>
      <c r="K69" s="38"/>
      <c r="L69" s="38"/>
      <c r="M69" s="315"/>
      <c r="N69" s="320"/>
      <c r="O69" s="48"/>
      <c r="P69" s="38"/>
      <c r="Q69" s="38"/>
      <c r="R69" s="315"/>
      <c r="S69" s="313"/>
      <c r="T69" s="38"/>
      <c r="U69" s="38"/>
      <c r="V69" s="38"/>
      <c r="W69" s="313"/>
      <c r="X69" s="313"/>
      <c r="Y69" s="38"/>
      <c r="Z69" s="38"/>
      <c r="AA69" s="38"/>
      <c r="AB69" s="315"/>
    </row>
    <row r="70" spans="1:28" ht="18" customHeight="1" x14ac:dyDescent="0.2">
      <c r="A70" s="323"/>
      <c r="B70" s="41" t="s">
        <v>922</v>
      </c>
      <c r="C70" s="315"/>
      <c r="D70" s="313"/>
      <c r="E70" s="38"/>
      <c r="F70" s="38"/>
      <c r="G70" s="38"/>
      <c r="H70" s="315"/>
      <c r="I70" s="313"/>
      <c r="J70" s="38"/>
      <c r="K70" s="38"/>
      <c r="L70" s="38"/>
      <c r="M70" s="315"/>
      <c r="N70" s="320"/>
      <c r="O70" s="48"/>
      <c r="P70" s="38"/>
      <c r="Q70" s="38"/>
      <c r="R70" s="315"/>
      <c r="S70" s="313"/>
      <c r="T70" s="38"/>
      <c r="U70" s="38"/>
      <c r="V70" s="38"/>
      <c r="W70" s="313"/>
      <c r="X70" s="313"/>
      <c r="Y70" s="38"/>
      <c r="Z70" s="38"/>
      <c r="AA70" s="38"/>
      <c r="AB70" s="315"/>
    </row>
    <row r="71" spans="1:28" ht="18" customHeight="1" x14ac:dyDescent="0.2">
      <c r="A71" s="323"/>
      <c r="B71" s="41" t="s">
        <v>923</v>
      </c>
      <c r="C71" s="315"/>
      <c r="D71" s="313"/>
      <c r="E71" s="38"/>
      <c r="F71" s="38"/>
      <c r="G71" s="38"/>
      <c r="H71" s="315"/>
      <c r="I71" s="313"/>
      <c r="J71" s="38"/>
      <c r="K71" s="38"/>
      <c r="L71" s="38"/>
      <c r="M71" s="315"/>
      <c r="N71" s="320"/>
      <c r="O71" s="48"/>
      <c r="P71" s="38"/>
      <c r="Q71" s="38"/>
      <c r="R71" s="315"/>
      <c r="S71" s="313"/>
      <c r="T71" s="38"/>
      <c r="U71" s="38"/>
      <c r="V71" s="38"/>
      <c r="W71" s="313"/>
      <c r="X71" s="313"/>
      <c r="Y71" s="38"/>
      <c r="Z71" s="38"/>
      <c r="AA71" s="38"/>
      <c r="AB71" s="315"/>
    </row>
    <row r="72" spans="1:28" ht="18" customHeight="1" x14ac:dyDescent="0.2">
      <c r="A72" s="323"/>
      <c r="B72" s="41" t="s">
        <v>924</v>
      </c>
      <c r="C72" s="315"/>
      <c r="D72" s="313"/>
      <c r="E72" s="38"/>
      <c r="F72" s="38"/>
      <c r="G72" s="38"/>
      <c r="H72" s="315"/>
      <c r="I72" s="313"/>
      <c r="J72" s="38"/>
      <c r="K72" s="38"/>
      <c r="L72" s="38"/>
      <c r="M72" s="315"/>
      <c r="N72" s="320"/>
      <c r="O72" s="48"/>
      <c r="P72" s="38"/>
      <c r="Q72" s="38"/>
      <c r="R72" s="315"/>
      <c r="S72" s="313"/>
      <c r="T72" s="38"/>
      <c r="U72" s="38"/>
      <c r="V72" s="38"/>
      <c r="W72" s="313"/>
      <c r="X72" s="313"/>
      <c r="Y72" s="38"/>
      <c r="Z72" s="38"/>
      <c r="AA72" s="38"/>
      <c r="AB72" s="315"/>
    </row>
    <row r="73" spans="1:28" ht="18" customHeight="1" x14ac:dyDescent="0.2">
      <c r="A73" s="323"/>
      <c r="B73" s="41" t="s">
        <v>925</v>
      </c>
      <c r="C73" s="315"/>
      <c r="D73" s="313"/>
      <c r="E73" s="38"/>
      <c r="F73" s="38"/>
      <c r="G73" s="38"/>
      <c r="H73" s="315"/>
      <c r="I73" s="313"/>
      <c r="J73" s="38"/>
      <c r="K73" s="38"/>
      <c r="L73" s="38"/>
      <c r="M73" s="315"/>
      <c r="N73" s="320"/>
      <c r="O73" s="48"/>
      <c r="P73" s="38"/>
      <c r="Q73" s="38"/>
      <c r="R73" s="315"/>
      <c r="S73" s="313"/>
      <c r="T73" s="38"/>
      <c r="U73" s="38"/>
      <c r="V73" s="38"/>
      <c r="W73" s="313"/>
      <c r="X73" s="313"/>
      <c r="Y73" s="38"/>
      <c r="Z73" s="38"/>
      <c r="AA73" s="38"/>
      <c r="AB73" s="315"/>
    </row>
    <row r="74" spans="1:28" ht="18" customHeight="1" x14ac:dyDescent="0.2">
      <c r="A74" s="323"/>
      <c r="B74" s="41" t="s">
        <v>926</v>
      </c>
      <c r="C74" s="315"/>
      <c r="D74" s="313"/>
      <c r="E74" s="38"/>
      <c r="F74" s="38"/>
      <c r="G74" s="38"/>
      <c r="H74" s="315"/>
      <c r="I74" s="313"/>
      <c r="J74" s="38"/>
      <c r="K74" s="38"/>
      <c r="L74" s="38"/>
      <c r="M74" s="315"/>
      <c r="N74" s="320"/>
      <c r="O74" s="48"/>
      <c r="P74" s="38"/>
      <c r="Q74" s="38"/>
      <c r="R74" s="315"/>
      <c r="S74" s="313"/>
      <c r="T74" s="38"/>
      <c r="U74" s="38"/>
      <c r="V74" s="38"/>
      <c r="W74" s="313"/>
      <c r="X74" s="313"/>
      <c r="Y74" s="38"/>
      <c r="Z74" s="38"/>
      <c r="AA74" s="38"/>
      <c r="AB74" s="315"/>
    </row>
    <row r="75" spans="1:28" ht="18" customHeight="1" x14ac:dyDescent="0.2">
      <c r="A75" s="323"/>
      <c r="B75" s="41" t="s">
        <v>927</v>
      </c>
      <c r="C75" s="315"/>
      <c r="D75" s="313"/>
      <c r="E75" s="38"/>
      <c r="F75" s="38"/>
      <c r="G75" s="38"/>
      <c r="H75" s="315"/>
      <c r="I75" s="313"/>
      <c r="J75" s="38"/>
      <c r="K75" s="38"/>
      <c r="L75" s="38"/>
      <c r="M75" s="315"/>
      <c r="N75" s="320"/>
      <c r="O75" s="48"/>
      <c r="P75" s="38"/>
      <c r="Q75" s="38"/>
      <c r="R75" s="315"/>
      <c r="S75" s="313"/>
      <c r="T75" s="38"/>
      <c r="U75" s="38"/>
      <c r="V75" s="38"/>
      <c r="W75" s="313"/>
      <c r="X75" s="313"/>
      <c r="Y75" s="38"/>
      <c r="Z75" s="38"/>
      <c r="AA75" s="38"/>
      <c r="AB75" s="315"/>
    </row>
    <row r="76" spans="1:28" ht="18" customHeight="1" x14ac:dyDescent="0.2">
      <c r="A76" s="323"/>
      <c r="B76" s="41" t="s">
        <v>928</v>
      </c>
      <c r="C76" s="315"/>
      <c r="D76" s="313"/>
      <c r="E76" s="38"/>
      <c r="F76" s="38"/>
      <c r="G76" s="38"/>
      <c r="H76" s="315"/>
      <c r="I76" s="313"/>
      <c r="J76" s="38"/>
      <c r="K76" s="38"/>
      <c r="L76" s="38"/>
      <c r="M76" s="315"/>
      <c r="N76" s="320"/>
      <c r="O76" s="48"/>
      <c r="P76" s="38"/>
      <c r="Q76" s="38"/>
      <c r="R76" s="315"/>
      <c r="S76" s="313"/>
      <c r="T76" s="38"/>
      <c r="U76" s="38"/>
      <c r="V76" s="38"/>
      <c r="W76" s="313"/>
      <c r="X76" s="313"/>
      <c r="Y76" s="38"/>
      <c r="Z76" s="38"/>
      <c r="AA76" s="38"/>
      <c r="AB76" s="315"/>
    </row>
    <row r="77" spans="1:28" ht="18" customHeight="1" x14ac:dyDescent="0.2">
      <c r="A77" s="323"/>
      <c r="B77" s="41" t="s">
        <v>929</v>
      </c>
      <c r="C77" s="315"/>
      <c r="D77" s="313"/>
      <c r="E77" s="38"/>
      <c r="F77" s="38"/>
      <c r="G77" s="38"/>
      <c r="H77" s="315"/>
      <c r="I77" s="313"/>
      <c r="J77" s="38"/>
      <c r="K77" s="38"/>
      <c r="L77" s="38"/>
      <c r="M77" s="315"/>
      <c r="N77" s="320"/>
      <c r="O77" s="48"/>
      <c r="P77" s="38"/>
      <c r="Q77" s="38"/>
      <c r="R77" s="315"/>
      <c r="S77" s="313"/>
      <c r="T77" s="38"/>
      <c r="U77" s="38"/>
      <c r="V77" s="38"/>
      <c r="W77" s="313"/>
      <c r="X77" s="313"/>
      <c r="Y77" s="38"/>
      <c r="Z77" s="38"/>
      <c r="AA77" s="38"/>
      <c r="AB77" s="315"/>
    </row>
    <row r="78" spans="1:28" ht="18" customHeight="1" x14ac:dyDescent="0.2">
      <c r="A78" s="323"/>
      <c r="B78" s="41" t="s">
        <v>930</v>
      </c>
      <c r="C78" s="315"/>
      <c r="D78" s="313"/>
      <c r="E78" s="38"/>
      <c r="F78" s="38"/>
      <c r="G78" s="38"/>
      <c r="H78" s="315"/>
      <c r="I78" s="313"/>
      <c r="J78" s="38"/>
      <c r="K78" s="38"/>
      <c r="L78" s="38"/>
      <c r="M78" s="315"/>
      <c r="N78" s="320"/>
      <c r="O78" s="48"/>
      <c r="P78" s="38"/>
      <c r="Q78" s="38"/>
      <c r="R78" s="315"/>
      <c r="S78" s="313"/>
      <c r="T78" s="38"/>
      <c r="U78" s="38"/>
      <c r="V78" s="38"/>
      <c r="W78" s="313"/>
      <c r="X78" s="313"/>
      <c r="Y78" s="38"/>
      <c r="Z78" s="38"/>
      <c r="AA78" s="38"/>
      <c r="AB78" s="315"/>
    </row>
    <row r="79" spans="1:28" ht="18" customHeight="1" x14ac:dyDescent="0.2">
      <c r="A79" s="323"/>
      <c r="B79" s="41" t="s">
        <v>931</v>
      </c>
      <c r="C79" s="315"/>
      <c r="D79" s="313"/>
      <c r="E79" s="38"/>
      <c r="F79" s="38"/>
      <c r="G79" s="38"/>
      <c r="H79" s="315"/>
      <c r="I79" s="313"/>
      <c r="J79" s="38"/>
      <c r="K79" s="38"/>
      <c r="L79" s="38"/>
      <c r="M79" s="315"/>
      <c r="N79" s="320"/>
      <c r="O79" s="48"/>
      <c r="P79" s="38"/>
      <c r="Q79" s="38"/>
      <c r="R79" s="315"/>
      <c r="S79" s="313"/>
      <c r="T79" s="38"/>
      <c r="U79" s="38"/>
      <c r="V79" s="38"/>
      <c r="W79" s="313"/>
      <c r="X79" s="313"/>
      <c r="Y79" s="38"/>
      <c r="Z79" s="38"/>
      <c r="AA79" s="38"/>
      <c r="AB79" s="315"/>
    </row>
    <row r="80" spans="1:28" ht="18" customHeight="1" x14ac:dyDescent="0.2">
      <c r="A80" s="323"/>
      <c r="B80" s="41" t="s">
        <v>932</v>
      </c>
      <c r="C80" s="315"/>
      <c r="D80" s="313"/>
      <c r="E80" s="38"/>
      <c r="F80" s="38"/>
      <c r="G80" s="38"/>
      <c r="H80" s="315"/>
      <c r="I80" s="313"/>
      <c r="J80" s="38"/>
      <c r="K80" s="38"/>
      <c r="L80" s="38"/>
      <c r="M80" s="315"/>
      <c r="N80" s="320"/>
      <c r="O80" s="48"/>
      <c r="P80" s="38"/>
      <c r="Q80" s="38"/>
      <c r="R80" s="315"/>
      <c r="S80" s="313"/>
      <c r="T80" s="38"/>
      <c r="U80" s="38"/>
      <c r="V80" s="38"/>
      <c r="W80" s="313"/>
      <c r="X80" s="313"/>
      <c r="Y80" s="38"/>
      <c r="Z80" s="38"/>
      <c r="AA80" s="38"/>
      <c r="AB80" s="315"/>
    </row>
    <row r="81" spans="1:28" ht="18" customHeight="1" x14ac:dyDescent="0.2">
      <c r="A81" s="323"/>
      <c r="B81" s="40" t="s">
        <v>1005</v>
      </c>
      <c r="C81" s="315"/>
      <c r="D81" s="313"/>
      <c r="E81" s="38"/>
      <c r="F81" s="38"/>
      <c r="G81" s="38"/>
      <c r="H81" s="315"/>
      <c r="I81" s="313"/>
      <c r="J81" s="38"/>
      <c r="K81" s="38"/>
      <c r="L81" s="38"/>
      <c r="M81" s="315"/>
      <c r="N81" s="320"/>
      <c r="O81" s="48"/>
      <c r="P81" s="38"/>
      <c r="Q81" s="38"/>
      <c r="R81" s="315"/>
      <c r="S81" s="313"/>
      <c r="T81" s="38"/>
      <c r="U81" s="38"/>
      <c r="V81" s="38"/>
      <c r="W81" s="313"/>
      <c r="X81" s="313"/>
      <c r="Y81" s="38"/>
      <c r="Z81" s="38"/>
      <c r="AA81" s="38"/>
      <c r="AB81" s="315"/>
    </row>
    <row r="82" spans="1:28" ht="18" customHeight="1" x14ac:dyDescent="0.2">
      <c r="A82" s="323"/>
      <c r="B82" s="41" t="s">
        <v>933</v>
      </c>
      <c r="C82" s="315"/>
      <c r="D82" s="313"/>
      <c r="E82" s="38"/>
      <c r="F82" s="38"/>
      <c r="G82" s="38"/>
      <c r="H82" s="315"/>
      <c r="I82" s="313"/>
      <c r="J82" s="38"/>
      <c r="K82" s="38"/>
      <c r="L82" s="38"/>
      <c r="M82" s="315"/>
      <c r="N82" s="320"/>
      <c r="O82" s="48"/>
      <c r="P82" s="38"/>
      <c r="Q82" s="38"/>
      <c r="R82" s="315"/>
      <c r="S82" s="313"/>
      <c r="T82" s="38"/>
      <c r="U82" s="38"/>
      <c r="V82" s="38"/>
      <c r="W82" s="313"/>
      <c r="X82" s="313"/>
      <c r="Y82" s="38"/>
      <c r="Z82" s="38"/>
      <c r="AA82" s="38"/>
      <c r="AB82" s="315"/>
    </row>
    <row r="83" spans="1:28" ht="18" customHeight="1" x14ac:dyDescent="0.2">
      <c r="A83" s="323"/>
      <c r="B83" s="41" t="s">
        <v>934</v>
      </c>
      <c r="C83" s="315"/>
      <c r="D83" s="313"/>
      <c r="E83" s="38"/>
      <c r="F83" s="38"/>
      <c r="G83" s="38"/>
      <c r="H83" s="315"/>
      <c r="I83" s="313"/>
      <c r="J83" s="38"/>
      <c r="K83" s="38"/>
      <c r="L83" s="38"/>
      <c r="M83" s="315"/>
      <c r="N83" s="320"/>
      <c r="O83" s="48"/>
      <c r="P83" s="38"/>
      <c r="Q83" s="38"/>
      <c r="R83" s="315"/>
      <c r="S83" s="313"/>
      <c r="T83" s="38"/>
      <c r="U83" s="38"/>
      <c r="V83" s="38"/>
      <c r="W83" s="313"/>
      <c r="X83" s="313"/>
      <c r="Y83" s="38"/>
      <c r="Z83" s="38"/>
      <c r="AA83" s="38"/>
      <c r="AB83" s="315"/>
    </row>
    <row r="84" spans="1:28" ht="31.5" x14ac:dyDescent="0.2">
      <c r="A84" s="323"/>
      <c r="B84" s="41" t="s">
        <v>935</v>
      </c>
      <c r="C84" s="315"/>
      <c r="D84" s="313"/>
      <c r="E84" s="38"/>
      <c r="F84" s="38"/>
      <c r="G84" s="38"/>
      <c r="H84" s="315"/>
      <c r="I84" s="313"/>
      <c r="J84" s="38"/>
      <c r="K84" s="38"/>
      <c r="L84" s="38"/>
      <c r="M84" s="315"/>
      <c r="N84" s="320"/>
      <c r="O84" s="48"/>
      <c r="P84" s="38"/>
      <c r="Q84" s="38"/>
      <c r="R84" s="315"/>
      <c r="S84" s="313"/>
      <c r="T84" s="38"/>
      <c r="U84" s="38"/>
      <c r="V84" s="38"/>
      <c r="W84" s="313"/>
      <c r="X84" s="313"/>
      <c r="Y84" s="38"/>
      <c r="Z84" s="38"/>
      <c r="AA84" s="38"/>
      <c r="AB84" s="315"/>
    </row>
    <row r="85" spans="1:28" ht="18" customHeight="1" x14ac:dyDescent="0.2">
      <c r="A85" s="323"/>
      <c r="B85" s="41" t="s">
        <v>936</v>
      </c>
      <c r="C85" s="315"/>
      <c r="D85" s="313"/>
      <c r="E85" s="38"/>
      <c r="F85" s="38"/>
      <c r="G85" s="38"/>
      <c r="H85" s="315"/>
      <c r="I85" s="313"/>
      <c r="J85" s="38"/>
      <c r="K85" s="38"/>
      <c r="L85" s="38"/>
      <c r="M85" s="315"/>
      <c r="N85" s="320"/>
      <c r="O85" s="48"/>
      <c r="P85" s="38"/>
      <c r="Q85" s="38"/>
      <c r="R85" s="315"/>
      <c r="S85" s="313"/>
      <c r="T85" s="38"/>
      <c r="U85" s="38"/>
      <c r="V85" s="38"/>
      <c r="W85" s="313"/>
      <c r="X85" s="313"/>
      <c r="Y85" s="38"/>
      <c r="Z85" s="38"/>
      <c r="AA85" s="38"/>
      <c r="AB85" s="315"/>
    </row>
    <row r="86" spans="1:28" ht="18" customHeight="1" x14ac:dyDescent="0.2">
      <c r="A86" s="323"/>
      <c r="B86" s="41" t="s">
        <v>937</v>
      </c>
      <c r="C86" s="315"/>
      <c r="D86" s="313"/>
      <c r="E86" s="38"/>
      <c r="F86" s="38"/>
      <c r="G86" s="38"/>
      <c r="H86" s="315"/>
      <c r="I86" s="313"/>
      <c r="J86" s="38"/>
      <c r="K86" s="38"/>
      <c r="L86" s="38"/>
      <c r="M86" s="315"/>
      <c r="N86" s="320"/>
      <c r="O86" s="48"/>
      <c r="P86" s="38"/>
      <c r="Q86" s="38"/>
      <c r="R86" s="315"/>
      <c r="S86" s="313"/>
      <c r="T86" s="38"/>
      <c r="U86" s="38"/>
      <c r="V86" s="38"/>
      <c r="W86" s="313"/>
      <c r="X86" s="313"/>
      <c r="Y86" s="38"/>
      <c r="Z86" s="38"/>
      <c r="AA86" s="38"/>
      <c r="AB86" s="315"/>
    </row>
    <row r="87" spans="1:28" ht="18" customHeight="1" x14ac:dyDescent="0.2">
      <c r="A87" s="323"/>
      <c r="B87" s="41" t="s">
        <v>938</v>
      </c>
      <c r="C87" s="315"/>
      <c r="D87" s="313"/>
      <c r="E87" s="38"/>
      <c r="F87" s="38"/>
      <c r="G87" s="38"/>
      <c r="H87" s="315"/>
      <c r="I87" s="313"/>
      <c r="J87" s="38"/>
      <c r="K87" s="38"/>
      <c r="L87" s="38"/>
      <c r="M87" s="315"/>
      <c r="N87" s="320"/>
      <c r="O87" s="48"/>
      <c r="P87" s="38"/>
      <c r="Q87" s="38"/>
      <c r="R87" s="315"/>
      <c r="S87" s="313"/>
      <c r="T87" s="38"/>
      <c r="U87" s="38"/>
      <c r="V87" s="38"/>
      <c r="W87" s="313"/>
      <c r="X87" s="313"/>
      <c r="Y87" s="38"/>
      <c r="Z87" s="38"/>
      <c r="AA87" s="38"/>
      <c r="AB87" s="315"/>
    </row>
    <row r="88" spans="1:28" ht="18" customHeight="1" x14ac:dyDescent="0.2">
      <c r="A88" s="323"/>
      <c r="B88" s="41" t="s">
        <v>939</v>
      </c>
      <c r="C88" s="315"/>
      <c r="D88" s="313"/>
      <c r="E88" s="38"/>
      <c r="F88" s="38"/>
      <c r="G88" s="38"/>
      <c r="H88" s="315"/>
      <c r="I88" s="313"/>
      <c r="J88" s="38"/>
      <c r="K88" s="38"/>
      <c r="L88" s="38"/>
      <c r="M88" s="315"/>
      <c r="N88" s="320"/>
      <c r="O88" s="48"/>
      <c r="P88" s="38"/>
      <c r="Q88" s="38"/>
      <c r="R88" s="315"/>
      <c r="S88" s="313"/>
      <c r="T88" s="38"/>
      <c r="U88" s="38"/>
      <c r="V88" s="38"/>
      <c r="W88" s="313"/>
      <c r="X88" s="313"/>
      <c r="Y88" s="38"/>
      <c r="Z88" s="38"/>
      <c r="AA88" s="38"/>
      <c r="AB88" s="315"/>
    </row>
    <row r="89" spans="1:28" ht="18" customHeight="1" x14ac:dyDescent="0.2">
      <c r="A89" s="323"/>
      <c r="B89" s="41" t="s">
        <v>940</v>
      </c>
      <c r="C89" s="315"/>
      <c r="D89" s="313"/>
      <c r="E89" s="38"/>
      <c r="F89" s="38"/>
      <c r="G89" s="38"/>
      <c r="H89" s="315"/>
      <c r="I89" s="313"/>
      <c r="J89" s="38"/>
      <c r="K89" s="38"/>
      <c r="L89" s="38"/>
      <c r="M89" s="315"/>
      <c r="N89" s="320"/>
      <c r="O89" s="48"/>
      <c r="P89" s="38"/>
      <c r="Q89" s="38"/>
      <c r="R89" s="315"/>
      <c r="S89" s="313"/>
      <c r="T89" s="38"/>
      <c r="U89" s="38"/>
      <c r="V89" s="38"/>
      <c r="W89" s="313"/>
      <c r="X89" s="313"/>
      <c r="Y89" s="38"/>
      <c r="Z89" s="38"/>
      <c r="AA89" s="38"/>
      <c r="AB89" s="315"/>
    </row>
    <row r="90" spans="1:28" ht="18" customHeight="1" x14ac:dyDescent="0.2">
      <c r="A90" s="323"/>
      <c r="B90" s="41" t="s">
        <v>941</v>
      </c>
      <c r="C90" s="315"/>
      <c r="D90" s="313"/>
      <c r="E90" s="38"/>
      <c r="F90" s="38"/>
      <c r="G90" s="38"/>
      <c r="H90" s="315"/>
      <c r="I90" s="313"/>
      <c r="J90" s="38"/>
      <c r="K90" s="38"/>
      <c r="L90" s="38"/>
      <c r="M90" s="315"/>
      <c r="N90" s="320"/>
      <c r="O90" s="48"/>
      <c r="P90" s="38"/>
      <c r="Q90" s="38"/>
      <c r="R90" s="315"/>
      <c r="S90" s="313"/>
      <c r="T90" s="38"/>
      <c r="U90" s="38"/>
      <c r="V90" s="38"/>
      <c r="W90" s="313"/>
      <c r="X90" s="313"/>
      <c r="Y90" s="38"/>
      <c r="Z90" s="38"/>
      <c r="AA90" s="38"/>
      <c r="AB90" s="315"/>
    </row>
    <row r="91" spans="1:28" ht="31.5" x14ac:dyDescent="0.2">
      <c r="A91" s="323"/>
      <c r="B91" s="41" t="s">
        <v>942</v>
      </c>
      <c r="C91" s="315"/>
      <c r="D91" s="313"/>
      <c r="E91" s="38"/>
      <c r="F91" s="38"/>
      <c r="G91" s="38"/>
      <c r="H91" s="315"/>
      <c r="I91" s="313"/>
      <c r="J91" s="38"/>
      <c r="K91" s="38"/>
      <c r="L91" s="38"/>
      <c r="M91" s="315"/>
      <c r="N91" s="320"/>
      <c r="O91" s="48"/>
      <c r="P91" s="38"/>
      <c r="Q91" s="38"/>
      <c r="R91" s="315"/>
      <c r="S91" s="313"/>
      <c r="T91" s="38"/>
      <c r="U91" s="38"/>
      <c r="V91" s="38"/>
      <c r="W91" s="313"/>
      <c r="X91" s="313"/>
      <c r="Y91" s="38"/>
      <c r="Z91" s="38"/>
      <c r="AA91" s="38"/>
      <c r="AB91" s="315"/>
    </row>
    <row r="92" spans="1:28" ht="18" customHeight="1" x14ac:dyDescent="0.2">
      <c r="A92" s="323"/>
      <c r="B92" s="41" t="s">
        <v>943</v>
      </c>
      <c r="C92" s="315"/>
      <c r="D92" s="313"/>
      <c r="E92" s="38"/>
      <c r="F92" s="38"/>
      <c r="G92" s="38"/>
      <c r="H92" s="315"/>
      <c r="I92" s="313"/>
      <c r="J92" s="38"/>
      <c r="K92" s="38"/>
      <c r="L92" s="38"/>
      <c r="M92" s="315"/>
      <c r="N92" s="320"/>
      <c r="O92" s="48"/>
      <c r="P92" s="38"/>
      <c r="Q92" s="38"/>
      <c r="R92" s="315"/>
      <c r="S92" s="313"/>
      <c r="T92" s="38"/>
      <c r="U92" s="38"/>
      <c r="V92" s="38"/>
      <c r="W92" s="313"/>
      <c r="X92" s="313"/>
      <c r="Y92" s="38"/>
      <c r="Z92" s="38"/>
      <c r="AA92" s="38"/>
      <c r="AB92" s="315"/>
    </row>
    <row r="93" spans="1:28" ht="21.75" customHeight="1" x14ac:dyDescent="0.2">
      <c r="A93" s="324"/>
      <c r="B93" s="45" t="s">
        <v>944</v>
      </c>
      <c r="C93" s="316"/>
      <c r="D93" s="314"/>
      <c r="E93" s="38"/>
      <c r="F93" s="38"/>
      <c r="G93" s="38"/>
      <c r="H93" s="316"/>
      <c r="I93" s="314"/>
      <c r="J93" s="38"/>
      <c r="K93" s="38"/>
      <c r="L93" s="38"/>
      <c r="M93" s="316"/>
      <c r="N93" s="321"/>
      <c r="O93" s="48"/>
      <c r="P93" s="38"/>
      <c r="Q93" s="38"/>
      <c r="R93" s="316"/>
      <c r="S93" s="314"/>
      <c r="T93" s="38"/>
      <c r="U93" s="38"/>
      <c r="V93" s="38"/>
      <c r="W93" s="314"/>
      <c r="X93" s="314"/>
      <c r="Y93" s="38"/>
      <c r="Z93" s="38"/>
      <c r="AA93" s="38"/>
      <c r="AB93" s="316"/>
    </row>
    <row r="94" spans="1:28" ht="15" customHeight="1" x14ac:dyDescent="0.2">
      <c r="A94" s="322" t="s">
        <v>1074</v>
      </c>
      <c r="B94" s="37" t="s">
        <v>986</v>
      </c>
      <c r="C94" s="317">
        <f>D94+E94+F94+G94</f>
        <v>1020</v>
      </c>
      <c r="D94" s="318">
        <v>1020</v>
      </c>
      <c r="E94" s="38">
        <v>0</v>
      </c>
      <c r="F94" s="38">
        <v>0</v>
      </c>
      <c r="G94" s="38">
        <v>0</v>
      </c>
      <c r="H94" s="317">
        <f>I94</f>
        <v>1570</v>
      </c>
      <c r="I94" s="318">
        <f>1286+283+1</f>
        <v>1570</v>
      </c>
      <c r="J94" s="38">
        <v>0</v>
      </c>
      <c r="K94" s="38">
        <v>0</v>
      </c>
      <c r="L94" s="38">
        <v>0</v>
      </c>
      <c r="M94" s="317">
        <f>N94</f>
        <v>932</v>
      </c>
      <c r="N94" s="318">
        <f>94+838</f>
        <v>932</v>
      </c>
      <c r="O94" s="38">
        <v>0</v>
      </c>
      <c r="P94" s="38">
        <v>0</v>
      </c>
      <c r="Q94" s="38">
        <v>0</v>
      </c>
      <c r="R94" s="317">
        <f>S94</f>
        <v>14338</v>
      </c>
      <c r="S94" s="318">
        <v>14338</v>
      </c>
      <c r="T94" s="38">
        <v>0</v>
      </c>
      <c r="U94" s="38">
        <v>0</v>
      </c>
      <c r="V94" s="38">
        <v>0</v>
      </c>
      <c r="W94" s="317">
        <f>X94</f>
        <v>632</v>
      </c>
      <c r="X94" s="318">
        <v>632</v>
      </c>
      <c r="Y94" s="38">
        <v>0</v>
      </c>
      <c r="Z94" s="38">
        <v>0</v>
      </c>
      <c r="AA94" s="38">
        <v>0</v>
      </c>
      <c r="AB94" s="317">
        <f>C94+H94+M94+R94+W94</f>
        <v>18492</v>
      </c>
    </row>
    <row r="95" spans="1:28" ht="21" customHeight="1" x14ac:dyDescent="0.2">
      <c r="A95" s="323"/>
      <c r="B95" s="43" t="s">
        <v>981</v>
      </c>
      <c r="C95" s="315"/>
      <c r="D95" s="313"/>
      <c r="E95" s="38"/>
      <c r="F95" s="38"/>
      <c r="G95" s="38"/>
      <c r="H95" s="315"/>
      <c r="I95" s="313"/>
      <c r="J95" s="38"/>
      <c r="K95" s="38"/>
      <c r="L95" s="38"/>
      <c r="M95" s="315"/>
      <c r="N95" s="313"/>
      <c r="O95" s="38"/>
      <c r="P95" s="38"/>
      <c r="Q95" s="38"/>
      <c r="R95" s="315"/>
      <c r="S95" s="313"/>
      <c r="T95" s="38"/>
      <c r="U95" s="38"/>
      <c r="V95" s="38"/>
      <c r="W95" s="315"/>
      <c r="X95" s="313"/>
      <c r="Y95" s="38"/>
      <c r="Z95" s="38"/>
      <c r="AA95" s="38"/>
      <c r="AB95" s="315"/>
    </row>
    <row r="96" spans="1:28" ht="16.5" customHeight="1" x14ac:dyDescent="0.2">
      <c r="A96" s="323"/>
      <c r="B96" s="42" t="s">
        <v>858</v>
      </c>
      <c r="C96" s="315"/>
      <c r="D96" s="313"/>
      <c r="E96" s="38"/>
      <c r="F96" s="38"/>
      <c r="G96" s="38"/>
      <c r="H96" s="315"/>
      <c r="I96" s="313"/>
      <c r="J96" s="38"/>
      <c r="K96" s="38"/>
      <c r="L96" s="38"/>
      <c r="M96" s="315"/>
      <c r="N96" s="313"/>
      <c r="O96" s="38"/>
      <c r="P96" s="38"/>
      <c r="Q96" s="38"/>
      <c r="R96" s="315"/>
      <c r="S96" s="313"/>
      <c r="T96" s="38"/>
      <c r="U96" s="38"/>
      <c r="V96" s="38"/>
      <c r="W96" s="315"/>
      <c r="X96" s="313"/>
      <c r="Y96" s="38"/>
      <c r="Z96" s="38"/>
      <c r="AA96" s="38"/>
      <c r="AB96" s="315"/>
    </row>
    <row r="97" spans="1:28" ht="16.5" customHeight="1" x14ac:dyDescent="0.2">
      <c r="A97" s="323"/>
      <c r="B97" s="41" t="s">
        <v>575</v>
      </c>
      <c r="C97" s="315"/>
      <c r="D97" s="313"/>
      <c r="E97" s="38"/>
      <c r="F97" s="38"/>
      <c r="G97" s="38"/>
      <c r="H97" s="315"/>
      <c r="I97" s="313"/>
      <c r="J97" s="38"/>
      <c r="K97" s="38"/>
      <c r="L97" s="38"/>
      <c r="M97" s="315"/>
      <c r="N97" s="313"/>
      <c r="O97" s="38"/>
      <c r="P97" s="38"/>
      <c r="Q97" s="38"/>
      <c r="R97" s="315"/>
      <c r="S97" s="313"/>
      <c r="T97" s="38"/>
      <c r="U97" s="38"/>
      <c r="V97" s="38"/>
      <c r="W97" s="315"/>
      <c r="X97" s="313"/>
      <c r="Y97" s="38"/>
      <c r="Z97" s="38"/>
      <c r="AA97" s="38"/>
      <c r="AB97" s="315"/>
    </row>
    <row r="98" spans="1:28" ht="18" customHeight="1" x14ac:dyDescent="0.2">
      <c r="A98" s="323"/>
      <c r="B98" s="42" t="s">
        <v>786</v>
      </c>
      <c r="C98" s="315"/>
      <c r="D98" s="313"/>
      <c r="E98" s="46"/>
      <c r="F98" s="46"/>
      <c r="G98" s="46"/>
      <c r="H98" s="315"/>
      <c r="I98" s="313"/>
      <c r="J98" s="46"/>
      <c r="K98" s="46"/>
      <c r="L98" s="46"/>
      <c r="M98" s="315"/>
      <c r="N98" s="313"/>
      <c r="O98" s="46"/>
      <c r="P98" s="46"/>
      <c r="Q98" s="46"/>
      <c r="R98" s="315"/>
      <c r="S98" s="313"/>
      <c r="T98" s="46"/>
      <c r="U98" s="46"/>
      <c r="V98" s="46"/>
      <c r="W98" s="315"/>
      <c r="X98" s="313"/>
      <c r="Y98" s="46"/>
      <c r="Z98" s="46"/>
      <c r="AA98" s="46"/>
      <c r="AB98" s="315"/>
    </row>
    <row r="99" spans="1:28" ht="18" customHeight="1" x14ac:dyDescent="0.2">
      <c r="A99" s="323"/>
      <c r="B99" s="43" t="s">
        <v>783</v>
      </c>
      <c r="C99" s="315"/>
      <c r="D99" s="313"/>
      <c r="E99" s="38"/>
      <c r="F99" s="38"/>
      <c r="G99" s="38"/>
      <c r="H99" s="315"/>
      <c r="I99" s="313"/>
      <c r="J99" s="38"/>
      <c r="K99" s="38"/>
      <c r="L99" s="38"/>
      <c r="M99" s="315"/>
      <c r="N99" s="313"/>
      <c r="O99" s="38"/>
      <c r="P99" s="38"/>
      <c r="Q99" s="38"/>
      <c r="R99" s="315"/>
      <c r="S99" s="313"/>
      <c r="T99" s="38"/>
      <c r="U99" s="38"/>
      <c r="V99" s="38"/>
      <c r="W99" s="315"/>
      <c r="X99" s="313"/>
      <c r="Y99" s="38"/>
      <c r="Z99" s="38"/>
      <c r="AA99" s="38"/>
      <c r="AB99" s="315"/>
    </row>
    <row r="100" spans="1:28" ht="18" customHeight="1" x14ac:dyDescent="0.2">
      <c r="A100" s="323"/>
      <c r="B100" s="42" t="s">
        <v>1655</v>
      </c>
      <c r="C100" s="315"/>
      <c r="D100" s="313"/>
      <c r="E100" s="38"/>
      <c r="F100" s="38"/>
      <c r="G100" s="38"/>
      <c r="H100" s="315"/>
      <c r="I100" s="313"/>
      <c r="J100" s="38"/>
      <c r="K100" s="38"/>
      <c r="L100" s="38"/>
      <c r="M100" s="315"/>
      <c r="N100" s="313"/>
      <c r="O100" s="38"/>
      <c r="P100" s="38"/>
      <c r="Q100" s="38"/>
      <c r="R100" s="315"/>
      <c r="S100" s="313"/>
      <c r="T100" s="38"/>
      <c r="U100" s="38"/>
      <c r="V100" s="38"/>
      <c r="W100" s="315"/>
      <c r="X100" s="313"/>
      <c r="Y100" s="38"/>
      <c r="Z100" s="38"/>
      <c r="AA100" s="38"/>
      <c r="AB100" s="315"/>
    </row>
    <row r="101" spans="1:28" ht="18" customHeight="1" x14ac:dyDescent="0.2">
      <c r="A101" s="323"/>
      <c r="B101" s="42" t="s">
        <v>575</v>
      </c>
      <c r="C101" s="315"/>
      <c r="D101" s="313"/>
      <c r="E101" s="38"/>
      <c r="F101" s="38"/>
      <c r="G101" s="38"/>
      <c r="H101" s="315"/>
      <c r="I101" s="313"/>
      <c r="J101" s="38"/>
      <c r="K101" s="38"/>
      <c r="L101" s="38"/>
      <c r="M101" s="315"/>
      <c r="N101" s="313"/>
      <c r="O101" s="38"/>
      <c r="P101" s="38"/>
      <c r="Q101" s="38"/>
      <c r="R101" s="315"/>
      <c r="S101" s="313"/>
      <c r="T101" s="38"/>
      <c r="U101" s="38"/>
      <c r="V101" s="38"/>
      <c r="W101" s="315"/>
      <c r="X101" s="313"/>
      <c r="Y101" s="38"/>
      <c r="Z101" s="38"/>
      <c r="AA101" s="38"/>
      <c r="AB101" s="315"/>
    </row>
    <row r="102" spans="1:28" ht="18" customHeight="1" x14ac:dyDescent="0.2">
      <c r="A102" s="323"/>
      <c r="B102" s="42" t="s">
        <v>786</v>
      </c>
      <c r="C102" s="315"/>
      <c r="D102" s="313"/>
      <c r="E102" s="38"/>
      <c r="F102" s="38"/>
      <c r="G102" s="38"/>
      <c r="H102" s="315"/>
      <c r="I102" s="313"/>
      <c r="J102" s="38"/>
      <c r="K102" s="38"/>
      <c r="L102" s="38"/>
      <c r="M102" s="315"/>
      <c r="N102" s="313"/>
      <c r="O102" s="38"/>
      <c r="P102" s="38"/>
      <c r="Q102" s="38"/>
      <c r="R102" s="315"/>
      <c r="S102" s="313"/>
      <c r="T102" s="38"/>
      <c r="U102" s="38"/>
      <c r="V102" s="38"/>
      <c r="W102" s="315"/>
      <c r="X102" s="313"/>
      <c r="Y102" s="38"/>
      <c r="Z102" s="38"/>
      <c r="AA102" s="38"/>
      <c r="AB102" s="315"/>
    </row>
    <row r="103" spans="1:28" ht="18" customHeight="1" x14ac:dyDescent="0.2">
      <c r="A103" s="323"/>
      <c r="B103" s="43" t="s">
        <v>871</v>
      </c>
      <c r="C103" s="315"/>
      <c r="D103" s="313"/>
      <c r="E103" s="38"/>
      <c r="F103" s="38"/>
      <c r="G103" s="38"/>
      <c r="H103" s="315"/>
      <c r="I103" s="313"/>
      <c r="J103" s="38"/>
      <c r="K103" s="38"/>
      <c r="L103" s="38"/>
      <c r="M103" s="315"/>
      <c r="N103" s="313"/>
      <c r="O103" s="38"/>
      <c r="P103" s="38"/>
      <c r="Q103" s="38"/>
      <c r="R103" s="315"/>
      <c r="S103" s="313"/>
      <c r="T103" s="38"/>
      <c r="U103" s="38"/>
      <c r="V103" s="38"/>
      <c r="W103" s="315"/>
      <c r="X103" s="313"/>
      <c r="Y103" s="38"/>
      <c r="Z103" s="38"/>
      <c r="AA103" s="38"/>
      <c r="AB103" s="315"/>
    </row>
    <row r="104" spans="1:28" ht="18" customHeight="1" x14ac:dyDescent="0.2">
      <c r="A104" s="323"/>
      <c r="B104" s="42" t="s">
        <v>905</v>
      </c>
      <c r="C104" s="315"/>
      <c r="D104" s="313"/>
      <c r="E104" s="38"/>
      <c r="F104" s="38"/>
      <c r="G104" s="38"/>
      <c r="H104" s="315"/>
      <c r="I104" s="313"/>
      <c r="J104" s="38"/>
      <c r="K104" s="38"/>
      <c r="L104" s="38"/>
      <c r="M104" s="315"/>
      <c r="N104" s="313"/>
      <c r="O104" s="38"/>
      <c r="P104" s="38"/>
      <c r="Q104" s="38"/>
      <c r="R104" s="315"/>
      <c r="S104" s="313"/>
      <c r="T104" s="38"/>
      <c r="U104" s="38"/>
      <c r="V104" s="38"/>
      <c r="W104" s="315"/>
      <c r="X104" s="313"/>
      <c r="Y104" s="38"/>
      <c r="Z104" s="38"/>
      <c r="AA104" s="38"/>
      <c r="AB104" s="315"/>
    </row>
    <row r="105" spans="1:28" ht="18" customHeight="1" x14ac:dyDescent="0.2">
      <c r="A105" s="323"/>
      <c r="B105" s="42" t="s">
        <v>906</v>
      </c>
      <c r="C105" s="315"/>
      <c r="D105" s="313"/>
      <c r="E105" s="38"/>
      <c r="F105" s="38"/>
      <c r="G105" s="38"/>
      <c r="H105" s="315"/>
      <c r="I105" s="313"/>
      <c r="J105" s="38"/>
      <c r="K105" s="38"/>
      <c r="L105" s="38"/>
      <c r="M105" s="315"/>
      <c r="N105" s="313"/>
      <c r="O105" s="38"/>
      <c r="P105" s="38"/>
      <c r="Q105" s="38"/>
      <c r="R105" s="315"/>
      <c r="S105" s="313"/>
      <c r="T105" s="38"/>
      <c r="U105" s="38"/>
      <c r="V105" s="38"/>
      <c r="W105" s="315"/>
      <c r="X105" s="313"/>
      <c r="Y105" s="38"/>
      <c r="Z105" s="38"/>
      <c r="AA105" s="38"/>
      <c r="AB105" s="315"/>
    </row>
    <row r="106" spans="1:28" ht="18" customHeight="1" x14ac:dyDescent="0.2">
      <c r="A106" s="323"/>
      <c r="B106" s="42" t="s">
        <v>909</v>
      </c>
      <c r="C106" s="315"/>
      <c r="D106" s="313"/>
      <c r="E106" s="38"/>
      <c r="F106" s="38"/>
      <c r="G106" s="38"/>
      <c r="H106" s="315"/>
      <c r="I106" s="313"/>
      <c r="J106" s="38"/>
      <c r="K106" s="38"/>
      <c r="L106" s="38"/>
      <c r="M106" s="315"/>
      <c r="N106" s="313"/>
      <c r="O106" s="38"/>
      <c r="P106" s="38"/>
      <c r="Q106" s="38"/>
      <c r="R106" s="315"/>
      <c r="S106" s="313"/>
      <c r="T106" s="38"/>
      <c r="U106" s="38"/>
      <c r="V106" s="38"/>
      <c r="W106" s="315"/>
      <c r="X106" s="313"/>
      <c r="Y106" s="38"/>
      <c r="Z106" s="38"/>
      <c r="AA106" s="38"/>
      <c r="AB106" s="315"/>
    </row>
    <row r="107" spans="1:28" ht="18" customHeight="1" x14ac:dyDescent="0.2">
      <c r="A107" s="323"/>
      <c r="B107" s="42" t="s">
        <v>910</v>
      </c>
      <c r="C107" s="315"/>
      <c r="D107" s="313"/>
      <c r="E107" s="38"/>
      <c r="F107" s="38"/>
      <c r="G107" s="38"/>
      <c r="H107" s="315"/>
      <c r="I107" s="313"/>
      <c r="J107" s="38"/>
      <c r="K107" s="38"/>
      <c r="L107" s="38"/>
      <c r="M107" s="315"/>
      <c r="N107" s="313"/>
      <c r="O107" s="38"/>
      <c r="P107" s="38"/>
      <c r="Q107" s="38"/>
      <c r="R107" s="315"/>
      <c r="S107" s="313"/>
      <c r="T107" s="38"/>
      <c r="U107" s="38"/>
      <c r="V107" s="38"/>
      <c r="W107" s="315"/>
      <c r="X107" s="313"/>
      <c r="Y107" s="38"/>
      <c r="Z107" s="38"/>
      <c r="AA107" s="38"/>
      <c r="AB107" s="315"/>
    </row>
    <row r="108" spans="1:28" ht="18" customHeight="1" x14ac:dyDescent="0.2">
      <c r="A108" s="349"/>
      <c r="B108" s="41" t="s">
        <v>911</v>
      </c>
      <c r="C108" s="315"/>
      <c r="D108" s="313"/>
      <c r="E108" s="38"/>
      <c r="F108" s="38"/>
      <c r="G108" s="38"/>
      <c r="H108" s="315"/>
      <c r="I108" s="313"/>
      <c r="J108" s="38"/>
      <c r="K108" s="38"/>
      <c r="L108" s="38"/>
      <c r="M108" s="315"/>
      <c r="N108" s="313"/>
      <c r="O108" s="38"/>
      <c r="P108" s="38"/>
      <c r="Q108" s="38"/>
      <c r="R108" s="315"/>
      <c r="S108" s="313"/>
      <c r="T108" s="38"/>
      <c r="U108" s="38"/>
      <c r="V108" s="38"/>
      <c r="W108" s="315"/>
      <c r="X108" s="313"/>
      <c r="Y108" s="38"/>
      <c r="Z108" s="38"/>
      <c r="AA108" s="38"/>
      <c r="AB108" s="315"/>
    </row>
    <row r="109" spans="1:28" ht="18" customHeight="1" x14ac:dyDescent="0.2">
      <c r="A109" s="323"/>
      <c r="B109" s="43" t="s">
        <v>1005</v>
      </c>
      <c r="C109" s="315"/>
      <c r="D109" s="313"/>
      <c r="E109" s="38"/>
      <c r="F109" s="38"/>
      <c r="G109" s="38"/>
      <c r="H109" s="315"/>
      <c r="I109" s="313"/>
      <c r="J109" s="38"/>
      <c r="K109" s="38"/>
      <c r="L109" s="38"/>
      <c r="M109" s="315"/>
      <c r="N109" s="313"/>
      <c r="O109" s="38"/>
      <c r="P109" s="38"/>
      <c r="Q109" s="38"/>
      <c r="R109" s="315"/>
      <c r="S109" s="313"/>
      <c r="T109" s="38"/>
      <c r="U109" s="38"/>
      <c r="V109" s="38"/>
      <c r="W109" s="315"/>
      <c r="X109" s="313"/>
      <c r="Y109" s="38"/>
      <c r="Z109" s="38"/>
      <c r="AA109" s="38"/>
      <c r="AB109" s="315"/>
    </row>
    <row r="110" spans="1:28" ht="18" customHeight="1" x14ac:dyDescent="0.2">
      <c r="A110" s="323"/>
      <c r="B110" s="42" t="s">
        <v>907</v>
      </c>
      <c r="C110" s="315"/>
      <c r="D110" s="313"/>
      <c r="E110" s="38"/>
      <c r="F110" s="38"/>
      <c r="G110" s="38"/>
      <c r="H110" s="315"/>
      <c r="I110" s="313"/>
      <c r="J110" s="38"/>
      <c r="K110" s="38"/>
      <c r="L110" s="38"/>
      <c r="M110" s="315"/>
      <c r="N110" s="313"/>
      <c r="O110" s="38"/>
      <c r="P110" s="38"/>
      <c r="Q110" s="38"/>
      <c r="R110" s="315"/>
      <c r="S110" s="313"/>
      <c r="T110" s="38"/>
      <c r="U110" s="38"/>
      <c r="V110" s="38"/>
      <c r="W110" s="315"/>
      <c r="X110" s="313"/>
      <c r="Y110" s="38"/>
      <c r="Z110" s="38"/>
      <c r="AA110" s="38"/>
      <c r="AB110" s="315"/>
    </row>
    <row r="111" spans="1:28" ht="18" customHeight="1" x14ac:dyDescent="0.2">
      <c r="A111" s="324"/>
      <c r="B111" s="45" t="s">
        <v>908</v>
      </c>
      <c r="C111" s="316"/>
      <c r="D111" s="314"/>
      <c r="E111" s="38"/>
      <c r="F111" s="38"/>
      <c r="G111" s="38"/>
      <c r="H111" s="316"/>
      <c r="I111" s="314"/>
      <c r="J111" s="38"/>
      <c r="K111" s="38"/>
      <c r="L111" s="38"/>
      <c r="M111" s="316"/>
      <c r="N111" s="314"/>
      <c r="O111" s="38"/>
      <c r="P111" s="38"/>
      <c r="Q111" s="38"/>
      <c r="R111" s="316"/>
      <c r="S111" s="314"/>
      <c r="T111" s="38"/>
      <c r="U111" s="38"/>
      <c r="V111" s="38"/>
      <c r="W111" s="316"/>
      <c r="X111" s="314"/>
      <c r="Y111" s="38"/>
      <c r="Z111" s="38"/>
      <c r="AA111" s="38"/>
      <c r="AB111" s="316"/>
    </row>
    <row r="112" spans="1:28" ht="15" customHeight="1" x14ac:dyDescent="0.2">
      <c r="A112" s="322" t="s">
        <v>1075</v>
      </c>
      <c r="B112" s="49" t="s">
        <v>434</v>
      </c>
      <c r="C112" s="317">
        <f>D112+E112+F112+G112</f>
        <v>8411</v>
      </c>
      <c r="D112" s="318">
        <v>8411</v>
      </c>
      <c r="E112" s="38">
        <v>0</v>
      </c>
      <c r="F112" s="38">
        <v>0</v>
      </c>
      <c r="G112" s="38">
        <v>0</v>
      </c>
      <c r="H112" s="317">
        <f>I112+J112+K112+L112</f>
        <v>3081</v>
      </c>
      <c r="I112" s="318">
        <f>7310-5219+841+153-4</f>
        <v>3081</v>
      </c>
      <c r="J112" s="38">
        <v>0</v>
      </c>
      <c r="K112" s="38">
        <v>0</v>
      </c>
      <c r="L112" s="38">
        <v>0</v>
      </c>
      <c r="M112" s="317">
        <f>N112</f>
        <v>1912</v>
      </c>
      <c r="N112" s="318">
        <f t="shared" ref="N112" si="2">8219-6307</f>
        <v>1912</v>
      </c>
      <c r="O112" s="38">
        <v>0</v>
      </c>
      <c r="P112" s="38">
        <v>0</v>
      </c>
      <c r="Q112" s="38">
        <v>0</v>
      </c>
      <c r="R112" s="317">
        <f>S112</f>
        <v>0</v>
      </c>
      <c r="S112" s="318">
        <v>0</v>
      </c>
      <c r="T112" s="38">
        <v>0</v>
      </c>
      <c r="U112" s="38">
        <v>0</v>
      </c>
      <c r="V112" s="38">
        <v>0</v>
      </c>
      <c r="W112" s="318">
        <v>0</v>
      </c>
      <c r="X112" s="318">
        <v>0</v>
      </c>
      <c r="Y112" s="38">
        <v>0</v>
      </c>
      <c r="Z112" s="38">
        <v>0</v>
      </c>
      <c r="AA112" s="38">
        <v>0</v>
      </c>
      <c r="AB112" s="317">
        <f>C112+H112+M112+R112+W112</f>
        <v>13404</v>
      </c>
    </row>
    <row r="113" spans="1:28" ht="15" customHeight="1" x14ac:dyDescent="0.2">
      <c r="A113" s="323"/>
      <c r="B113" s="50" t="s">
        <v>427</v>
      </c>
      <c r="C113" s="315"/>
      <c r="D113" s="313"/>
      <c r="E113" s="38"/>
      <c r="F113" s="38"/>
      <c r="G113" s="38"/>
      <c r="H113" s="315"/>
      <c r="I113" s="313"/>
      <c r="J113" s="38"/>
      <c r="K113" s="38"/>
      <c r="L113" s="38"/>
      <c r="M113" s="315"/>
      <c r="N113" s="313"/>
      <c r="O113" s="38"/>
      <c r="P113" s="38"/>
      <c r="Q113" s="38"/>
      <c r="R113" s="315"/>
      <c r="S113" s="313"/>
      <c r="T113" s="38"/>
      <c r="U113" s="38"/>
      <c r="V113" s="38"/>
      <c r="W113" s="313"/>
      <c r="X113" s="313"/>
      <c r="Y113" s="38"/>
      <c r="Z113" s="38"/>
      <c r="AA113" s="38"/>
      <c r="AB113" s="315"/>
    </row>
    <row r="114" spans="1:28" ht="15" customHeight="1" x14ac:dyDescent="0.2">
      <c r="A114" s="323"/>
      <c r="B114" s="49" t="s">
        <v>580</v>
      </c>
      <c r="C114" s="315"/>
      <c r="D114" s="313"/>
      <c r="E114" s="38"/>
      <c r="F114" s="38"/>
      <c r="G114" s="38"/>
      <c r="H114" s="315"/>
      <c r="I114" s="313"/>
      <c r="J114" s="38"/>
      <c r="K114" s="38"/>
      <c r="L114" s="38"/>
      <c r="M114" s="315"/>
      <c r="N114" s="313"/>
      <c r="O114" s="38"/>
      <c r="P114" s="38"/>
      <c r="Q114" s="38"/>
      <c r="R114" s="315"/>
      <c r="S114" s="313"/>
      <c r="T114" s="38"/>
      <c r="U114" s="38"/>
      <c r="V114" s="38"/>
      <c r="W114" s="313"/>
      <c r="X114" s="313"/>
      <c r="Y114" s="38"/>
      <c r="Z114" s="38"/>
      <c r="AA114" s="38"/>
      <c r="AB114" s="315"/>
    </row>
    <row r="115" spans="1:28" ht="15" customHeight="1" x14ac:dyDescent="0.2">
      <c r="A115" s="323"/>
      <c r="B115" s="49" t="s">
        <v>443</v>
      </c>
      <c r="C115" s="315"/>
      <c r="D115" s="313"/>
      <c r="E115" s="38"/>
      <c r="F115" s="38"/>
      <c r="G115" s="38"/>
      <c r="H115" s="315"/>
      <c r="I115" s="313"/>
      <c r="J115" s="38"/>
      <c r="K115" s="38"/>
      <c r="L115" s="38"/>
      <c r="M115" s="315"/>
      <c r="N115" s="313"/>
      <c r="O115" s="38"/>
      <c r="P115" s="38"/>
      <c r="Q115" s="38"/>
      <c r="R115" s="315"/>
      <c r="S115" s="313"/>
      <c r="T115" s="38"/>
      <c r="U115" s="38"/>
      <c r="V115" s="38"/>
      <c r="W115" s="313"/>
      <c r="X115" s="313"/>
      <c r="Y115" s="38"/>
      <c r="Z115" s="38"/>
      <c r="AA115" s="38"/>
      <c r="AB115" s="315"/>
    </row>
    <row r="116" spans="1:28" ht="15" customHeight="1" x14ac:dyDescent="0.2">
      <c r="A116" s="323"/>
      <c r="B116" s="49" t="s">
        <v>784</v>
      </c>
      <c r="C116" s="315"/>
      <c r="D116" s="313"/>
      <c r="E116" s="38"/>
      <c r="F116" s="38"/>
      <c r="G116" s="38"/>
      <c r="H116" s="315"/>
      <c r="I116" s="313"/>
      <c r="J116" s="38"/>
      <c r="K116" s="38"/>
      <c r="L116" s="38"/>
      <c r="M116" s="315"/>
      <c r="N116" s="313"/>
      <c r="O116" s="38"/>
      <c r="P116" s="38"/>
      <c r="Q116" s="38"/>
      <c r="R116" s="315"/>
      <c r="S116" s="313"/>
      <c r="T116" s="38"/>
      <c r="U116" s="38"/>
      <c r="V116" s="38"/>
      <c r="W116" s="313"/>
      <c r="X116" s="313"/>
      <c r="Y116" s="38"/>
      <c r="Z116" s="38"/>
      <c r="AA116" s="38"/>
      <c r="AB116" s="315"/>
    </row>
    <row r="117" spans="1:28" ht="15" customHeight="1" x14ac:dyDescent="0.2">
      <c r="A117" s="323"/>
      <c r="B117" s="49" t="s">
        <v>785</v>
      </c>
      <c r="C117" s="315"/>
      <c r="D117" s="313"/>
      <c r="E117" s="38"/>
      <c r="F117" s="38"/>
      <c r="G117" s="38"/>
      <c r="H117" s="315"/>
      <c r="I117" s="313"/>
      <c r="J117" s="38"/>
      <c r="K117" s="38"/>
      <c r="L117" s="38"/>
      <c r="M117" s="315"/>
      <c r="N117" s="313"/>
      <c r="O117" s="38"/>
      <c r="P117" s="38"/>
      <c r="Q117" s="38"/>
      <c r="R117" s="315"/>
      <c r="S117" s="313"/>
      <c r="T117" s="38"/>
      <c r="U117" s="38"/>
      <c r="V117" s="38"/>
      <c r="W117" s="313"/>
      <c r="X117" s="313"/>
      <c r="Y117" s="38"/>
      <c r="Z117" s="38"/>
      <c r="AA117" s="38"/>
      <c r="AB117" s="315"/>
    </row>
    <row r="118" spans="1:28" ht="15" customHeight="1" x14ac:dyDescent="0.2">
      <c r="A118" s="323"/>
      <c r="B118" s="49" t="s">
        <v>445</v>
      </c>
      <c r="C118" s="315"/>
      <c r="D118" s="313"/>
      <c r="E118" s="38"/>
      <c r="F118" s="38"/>
      <c r="G118" s="38"/>
      <c r="H118" s="315"/>
      <c r="I118" s="313"/>
      <c r="J118" s="38"/>
      <c r="K118" s="38"/>
      <c r="L118" s="38"/>
      <c r="M118" s="315"/>
      <c r="N118" s="313"/>
      <c r="O118" s="38"/>
      <c r="P118" s="38"/>
      <c r="Q118" s="38"/>
      <c r="R118" s="315"/>
      <c r="S118" s="313"/>
      <c r="T118" s="38"/>
      <c r="U118" s="38"/>
      <c r="V118" s="38"/>
      <c r="W118" s="313"/>
      <c r="X118" s="313"/>
      <c r="Y118" s="38"/>
      <c r="Z118" s="38"/>
      <c r="AA118" s="38"/>
      <c r="AB118" s="315"/>
    </row>
    <row r="119" spans="1:28" ht="15" customHeight="1" x14ac:dyDescent="0.2">
      <c r="A119" s="323"/>
      <c r="B119" s="49" t="s">
        <v>444</v>
      </c>
      <c r="C119" s="315"/>
      <c r="D119" s="313"/>
      <c r="E119" s="38"/>
      <c r="F119" s="38"/>
      <c r="G119" s="38"/>
      <c r="H119" s="315"/>
      <c r="I119" s="313"/>
      <c r="J119" s="38"/>
      <c r="K119" s="38"/>
      <c r="L119" s="38"/>
      <c r="M119" s="315"/>
      <c r="N119" s="313"/>
      <c r="O119" s="38"/>
      <c r="P119" s="38"/>
      <c r="Q119" s="38"/>
      <c r="R119" s="315"/>
      <c r="S119" s="313"/>
      <c r="T119" s="38"/>
      <c r="U119" s="38"/>
      <c r="V119" s="38"/>
      <c r="W119" s="313"/>
      <c r="X119" s="313"/>
      <c r="Y119" s="38"/>
      <c r="Z119" s="38"/>
      <c r="AA119" s="38"/>
      <c r="AB119" s="315"/>
    </row>
    <row r="120" spans="1:28" ht="15" customHeight="1" x14ac:dyDescent="0.2">
      <c r="A120" s="323"/>
      <c r="B120" s="49" t="s">
        <v>446</v>
      </c>
      <c r="C120" s="315"/>
      <c r="D120" s="313"/>
      <c r="E120" s="38"/>
      <c r="F120" s="38"/>
      <c r="G120" s="38"/>
      <c r="H120" s="315"/>
      <c r="I120" s="313"/>
      <c r="J120" s="38"/>
      <c r="K120" s="38"/>
      <c r="L120" s="38"/>
      <c r="M120" s="315"/>
      <c r="N120" s="313"/>
      <c r="O120" s="38"/>
      <c r="P120" s="38"/>
      <c r="Q120" s="38"/>
      <c r="R120" s="315"/>
      <c r="S120" s="313"/>
      <c r="T120" s="38"/>
      <c r="U120" s="38"/>
      <c r="V120" s="38"/>
      <c r="W120" s="313"/>
      <c r="X120" s="313"/>
      <c r="Y120" s="38"/>
      <c r="Z120" s="38"/>
      <c r="AA120" s="38"/>
      <c r="AB120" s="315"/>
    </row>
    <row r="121" spans="1:28" ht="15" customHeight="1" x14ac:dyDescent="0.2">
      <c r="A121" s="323"/>
      <c r="B121" s="49" t="s">
        <v>435</v>
      </c>
      <c r="C121" s="315"/>
      <c r="D121" s="313"/>
      <c r="E121" s="38"/>
      <c r="F121" s="38"/>
      <c r="G121" s="38"/>
      <c r="H121" s="315"/>
      <c r="I121" s="313"/>
      <c r="J121" s="38"/>
      <c r="K121" s="38"/>
      <c r="L121" s="38"/>
      <c r="M121" s="315"/>
      <c r="N121" s="313"/>
      <c r="O121" s="38"/>
      <c r="P121" s="38"/>
      <c r="Q121" s="38"/>
      <c r="R121" s="315"/>
      <c r="S121" s="313"/>
      <c r="T121" s="38"/>
      <c r="U121" s="38"/>
      <c r="V121" s="38"/>
      <c r="W121" s="313"/>
      <c r="X121" s="313"/>
      <c r="Y121" s="38"/>
      <c r="Z121" s="38"/>
      <c r="AA121" s="38"/>
      <c r="AB121" s="315"/>
    </row>
    <row r="122" spans="1:28" ht="15" customHeight="1" x14ac:dyDescent="0.2">
      <c r="A122" s="323"/>
      <c r="B122" s="49" t="s">
        <v>447</v>
      </c>
      <c r="C122" s="315"/>
      <c r="D122" s="313"/>
      <c r="E122" s="38"/>
      <c r="F122" s="38"/>
      <c r="G122" s="38"/>
      <c r="H122" s="315"/>
      <c r="I122" s="313"/>
      <c r="J122" s="38"/>
      <c r="K122" s="38"/>
      <c r="L122" s="38"/>
      <c r="M122" s="315"/>
      <c r="N122" s="313"/>
      <c r="O122" s="38"/>
      <c r="P122" s="38"/>
      <c r="Q122" s="38"/>
      <c r="R122" s="315"/>
      <c r="S122" s="313"/>
      <c r="T122" s="38"/>
      <c r="U122" s="38"/>
      <c r="V122" s="38"/>
      <c r="W122" s="313"/>
      <c r="X122" s="313"/>
      <c r="Y122" s="38"/>
      <c r="Z122" s="38"/>
      <c r="AA122" s="38"/>
      <c r="AB122" s="315"/>
    </row>
    <row r="123" spans="1:28" ht="15" customHeight="1" x14ac:dyDescent="0.2">
      <c r="A123" s="323"/>
      <c r="B123" s="49" t="s">
        <v>581</v>
      </c>
      <c r="C123" s="315"/>
      <c r="D123" s="313"/>
      <c r="E123" s="38"/>
      <c r="F123" s="38"/>
      <c r="G123" s="38"/>
      <c r="H123" s="315"/>
      <c r="I123" s="313"/>
      <c r="J123" s="38"/>
      <c r="K123" s="38"/>
      <c r="L123" s="38"/>
      <c r="M123" s="315"/>
      <c r="N123" s="313"/>
      <c r="O123" s="38"/>
      <c r="P123" s="38"/>
      <c r="Q123" s="38"/>
      <c r="R123" s="315"/>
      <c r="S123" s="313"/>
      <c r="T123" s="38"/>
      <c r="U123" s="38"/>
      <c r="V123" s="38"/>
      <c r="W123" s="313"/>
      <c r="X123" s="313"/>
      <c r="Y123" s="38"/>
      <c r="Z123" s="38"/>
      <c r="AA123" s="38"/>
      <c r="AB123" s="315"/>
    </row>
    <row r="124" spans="1:28" ht="15" customHeight="1" x14ac:dyDescent="0.2">
      <c r="A124" s="323"/>
      <c r="B124" s="49" t="s">
        <v>582</v>
      </c>
      <c r="C124" s="315"/>
      <c r="D124" s="313"/>
      <c r="E124" s="38"/>
      <c r="F124" s="38"/>
      <c r="G124" s="38"/>
      <c r="H124" s="315"/>
      <c r="I124" s="313"/>
      <c r="J124" s="38"/>
      <c r="K124" s="38"/>
      <c r="L124" s="38"/>
      <c r="M124" s="315"/>
      <c r="N124" s="313"/>
      <c r="O124" s="38"/>
      <c r="P124" s="38"/>
      <c r="Q124" s="38"/>
      <c r="R124" s="315"/>
      <c r="S124" s="313"/>
      <c r="T124" s="38"/>
      <c r="U124" s="38"/>
      <c r="V124" s="38"/>
      <c r="W124" s="313"/>
      <c r="X124" s="313"/>
      <c r="Y124" s="38"/>
      <c r="Z124" s="38"/>
      <c r="AA124" s="38"/>
      <c r="AB124" s="315"/>
    </row>
    <row r="125" spans="1:28" ht="31.5" x14ac:dyDescent="0.2">
      <c r="A125" s="323"/>
      <c r="B125" s="49" t="s">
        <v>837</v>
      </c>
      <c r="C125" s="315"/>
      <c r="D125" s="313"/>
      <c r="E125" s="38"/>
      <c r="F125" s="38"/>
      <c r="G125" s="38"/>
      <c r="H125" s="315"/>
      <c r="I125" s="313"/>
      <c r="J125" s="38"/>
      <c r="K125" s="38"/>
      <c r="L125" s="38"/>
      <c r="M125" s="315"/>
      <c r="N125" s="313"/>
      <c r="O125" s="38"/>
      <c r="P125" s="38"/>
      <c r="Q125" s="38"/>
      <c r="R125" s="315"/>
      <c r="S125" s="313"/>
      <c r="T125" s="38"/>
      <c r="U125" s="38"/>
      <c r="V125" s="38"/>
      <c r="W125" s="313"/>
      <c r="X125" s="313"/>
      <c r="Y125" s="38"/>
      <c r="Z125" s="38"/>
      <c r="AA125" s="38"/>
      <c r="AB125" s="315"/>
    </row>
    <row r="126" spans="1:28" ht="15" customHeight="1" x14ac:dyDescent="0.2">
      <c r="A126" s="323"/>
      <c r="B126" s="50" t="s">
        <v>428</v>
      </c>
      <c r="C126" s="315"/>
      <c r="D126" s="313"/>
      <c r="E126" s="38"/>
      <c r="F126" s="38"/>
      <c r="G126" s="38"/>
      <c r="H126" s="315"/>
      <c r="I126" s="313"/>
      <c r="J126" s="38"/>
      <c r="K126" s="38"/>
      <c r="L126" s="38"/>
      <c r="M126" s="315"/>
      <c r="N126" s="313"/>
      <c r="O126" s="38"/>
      <c r="P126" s="38"/>
      <c r="Q126" s="38"/>
      <c r="R126" s="315"/>
      <c r="S126" s="313"/>
      <c r="T126" s="38"/>
      <c r="U126" s="38"/>
      <c r="V126" s="38"/>
      <c r="W126" s="313"/>
      <c r="X126" s="313"/>
      <c r="Y126" s="38"/>
      <c r="Z126" s="38"/>
      <c r="AA126" s="38"/>
      <c r="AB126" s="315"/>
    </row>
    <row r="127" spans="1:28" ht="15" customHeight="1" x14ac:dyDescent="0.2">
      <c r="A127" s="323"/>
      <c r="B127" s="49" t="s">
        <v>1056</v>
      </c>
      <c r="C127" s="315"/>
      <c r="D127" s="313"/>
      <c r="E127" s="38"/>
      <c r="F127" s="38"/>
      <c r="G127" s="38"/>
      <c r="H127" s="315"/>
      <c r="I127" s="313"/>
      <c r="J127" s="38"/>
      <c r="K127" s="38"/>
      <c r="L127" s="38"/>
      <c r="M127" s="315"/>
      <c r="N127" s="313"/>
      <c r="O127" s="38"/>
      <c r="P127" s="38"/>
      <c r="Q127" s="38"/>
      <c r="R127" s="315"/>
      <c r="S127" s="313"/>
      <c r="T127" s="38"/>
      <c r="U127" s="38"/>
      <c r="V127" s="38"/>
      <c r="W127" s="313"/>
      <c r="X127" s="313"/>
      <c r="Y127" s="38"/>
      <c r="Z127" s="38"/>
      <c r="AA127" s="38"/>
      <c r="AB127" s="315"/>
    </row>
    <row r="128" spans="1:28" ht="15" customHeight="1" x14ac:dyDescent="0.2">
      <c r="A128" s="323"/>
      <c r="B128" s="49" t="s">
        <v>1054</v>
      </c>
      <c r="C128" s="315"/>
      <c r="D128" s="313"/>
      <c r="E128" s="38"/>
      <c r="F128" s="38"/>
      <c r="G128" s="38"/>
      <c r="H128" s="315"/>
      <c r="I128" s="313"/>
      <c r="J128" s="38"/>
      <c r="K128" s="38"/>
      <c r="L128" s="38"/>
      <c r="M128" s="315"/>
      <c r="N128" s="313"/>
      <c r="O128" s="38"/>
      <c r="P128" s="38"/>
      <c r="Q128" s="38"/>
      <c r="R128" s="315"/>
      <c r="S128" s="313"/>
      <c r="T128" s="38"/>
      <c r="U128" s="38"/>
      <c r="V128" s="38"/>
      <c r="W128" s="313"/>
      <c r="X128" s="313"/>
      <c r="Y128" s="38"/>
      <c r="Z128" s="38"/>
      <c r="AA128" s="38"/>
      <c r="AB128" s="315"/>
    </row>
    <row r="129" spans="1:28" ht="18" customHeight="1" x14ac:dyDescent="0.2">
      <c r="A129" s="323"/>
      <c r="B129" s="50" t="s">
        <v>783</v>
      </c>
      <c r="C129" s="315"/>
      <c r="D129" s="313"/>
      <c r="E129" s="38"/>
      <c r="F129" s="38"/>
      <c r="G129" s="38"/>
      <c r="H129" s="315"/>
      <c r="I129" s="313"/>
      <c r="J129" s="38"/>
      <c r="K129" s="38"/>
      <c r="L129" s="38"/>
      <c r="M129" s="315"/>
      <c r="N129" s="313"/>
      <c r="O129" s="38"/>
      <c r="P129" s="38"/>
      <c r="Q129" s="38"/>
      <c r="R129" s="315"/>
      <c r="S129" s="313"/>
      <c r="T129" s="38"/>
      <c r="U129" s="38"/>
      <c r="V129" s="38"/>
      <c r="W129" s="313"/>
      <c r="X129" s="313"/>
      <c r="Y129" s="38"/>
      <c r="Z129" s="38"/>
      <c r="AA129" s="38"/>
      <c r="AB129" s="315"/>
    </row>
    <row r="130" spans="1:28" ht="18" customHeight="1" x14ac:dyDescent="0.2">
      <c r="A130" s="323"/>
      <c r="B130" s="49" t="s">
        <v>858</v>
      </c>
      <c r="C130" s="316"/>
      <c r="D130" s="314"/>
      <c r="E130" s="38"/>
      <c r="F130" s="38"/>
      <c r="G130" s="38"/>
      <c r="H130" s="316"/>
      <c r="I130" s="314"/>
      <c r="J130" s="38"/>
      <c r="K130" s="38"/>
      <c r="L130" s="38"/>
      <c r="M130" s="316"/>
      <c r="N130" s="314"/>
      <c r="O130" s="38"/>
      <c r="P130" s="38"/>
      <c r="Q130" s="38"/>
      <c r="R130" s="316"/>
      <c r="S130" s="314"/>
      <c r="T130" s="38"/>
      <c r="U130" s="38"/>
      <c r="V130" s="38"/>
      <c r="W130" s="314"/>
      <c r="X130" s="314"/>
      <c r="Y130" s="38"/>
      <c r="Z130" s="38"/>
      <c r="AA130" s="38"/>
      <c r="AB130" s="316"/>
    </row>
    <row r="131" spans="1:28" ht="20.25" customHeight="1" x14ac:dyDescent="0.2">
      <c r="A131" s="322" t="s">
        <v>1076</v>
      </c>
      <c r="B131" s="37" t="s">
        <v>985</v>
      </c>
      <c r="C131" s="317">
        <f>D131</f>
        <v>817</v>
      </c>
      <c r="D131" s="318">
        <v>817</v>
      </c>
      <c r="E131" s="328"/>
      <c r="F131" s="328"/>
      <c r="G131" s="328"/>
      <c r="H131" s="317">
        <f>I131</f>
        <v>2512</v>
      </c>
      <c r="I131" s="318">
        <f>1695+817</f>
        <v>2512</v>
      </c>
      <c r="J131" s="328"/>
      <c r="K131" s="328"/>
      <c r="L131" s="328"/>
      <c r="M131" s="317">
        <f>N131</f>
        <v>5558</v>
      </c>
      <c r="N131" s="318">
        <f>615+578+1853+2512</f>
        <v>5558</v>
      </c>
      <c r="O131" s="328"/>
      <c r="P131" s="328"/>
      <c r="Q131" s="328"/>
      <c r="R131" s="317">
        <f>S131</f>
        <v>3573</v>
      </c>
      <c r="S131" s="318">
        <v>3573</v>
      </c>
      <c r="T131" s="328"/>
      <c r="U131" s="328"/>
      <c r="V131" s="328"/>
      <c r="W131" s="317">
        <f>X131</f>
        <v>3719</v>
      </c>
      <c r="X131" s="318">
        <v>3719</v>
      </c>
      <c r="Y131" s="328"/>
      <c r="Z131" s="328"/>
      <c r="AA131" s="328"/>
      <c r="AB131" s="317">
        <f>C131+H131+M131+R131+W131</f>
        <v>16179</v>
      </c>
    </row>
    <row r="132" spans="1:28" ht="15" customHeight="1" x14ac:dyDescent="0.2">
      <c r="A132" s="323"/>
      <c r="B132" s="40" t="s">
        <v>981</v>
      </c>
      <c r="C132" s="315"/>
      <c r="D132" s="313"/>
      <c r="E132" s="329"/>
      <c r="F132" s="329"/>
      <c r="G132" s="329"/>
      <c r="H132" s="315"/>
      <c r="I132" s="313"/>
      <c r="J132" s="329"/>
      <c r="K132" s="329"/>
      <c r="L132" s="329"/>
      <c r="M132" s="315"/>
      <c r="N132" s="313">
        <f t="shared" ref="N132:N143" si="3">615+578+1853</f>
        <v>3046</v>
      </c>
      <c r="O132" s="329"/>
      <c r="P132" s="329"/>
      <c r="Q132" s="329"/>
      <c r="R132" s="315"/>
      <c r="S132" s="313"/>
      <c r="T132" s="329"/>
      <c r="U132" s="329"/>
      <c r="V132" s="329"/>
      <c r="W132" s="315"/>
      <c r="X132" s="313"/>
      <c r="Y132" s="329"/>
      <c r="Z132" s="329"/>
      <c r="AA132" s="329"/>
      <c r="AB132" s="315"/>
    </row>
    <row r="133" spans="1:28" ht="15" customHeight="1" x14ac:dyDescent="0.2">
      <c r="A133" s="323"/>
      <c r="B133" s="41" t="s">
        <v>577</v>
      </c>
      <c r="C133" s="315"/>
      <c r="D133" s="313"/>
      <c r="E133" s="330"/>
      <c r="F133" s="330"/>
      <c r="G133" s="330"/>
      <c r="H133" s="315"/>
      <c r="I133" s="313"/>
      <c r="J133" s="330"/>
      <c r="K133" s="330"/>
      <c r="L133" s="330"/>
      <c r="M133" s="315"/>
      <c r="N133" s="313">
        <f t="shared" si="3"/>
        <v>3046</v>
      </c>
      <c r="O133" s="330"/>
      <c r="P133" s="330"/>
      <c r="Q133" s="330"/>
      <c r="R133" s="315"/>
      <c r="S133" s="313"/>
      <c r="T133" s="330"/>
      <c r="U133" s="330"/>
      <c r="V133" s="330"/>
      <c r="W133" s="315"/>
      <c r="X133" s="313"/>
      <c r="Y133" s="330"/>
      <c r="Z133" s="330"/>
      <c r="AA133" s="330"/>
      <c r="AB133" s="315"/>
    </row>
    <row r="134" spans="1:28" ht="15" customHeight="1" x14ac:dyDescent="0.2">
      <c r="A134" s="323"/>
      <c r="B134" s="41" t="s">
        <v>786</v>
      </c>
      <c r="C134" s="315"/>
      <c r="D134" s="313"/>
      <c r="E134" s="51"/>
      <c r="F134" s="51"/>
      <c r="G134" s="51"/>
      <c r="H134" s="315"/>
      <c r="I134" s="313"/>
      <c r="J134" s="51"/>
      <c r="K134" s="51"/>
      <c r="L134" s="51"/>
      <c r="M134" s="315"/>
      <c r="N134" s="313">
        <f t="shared" si="3"/>
        <v>3046</v>
      </c>
      <c r="O134" s="51"/>
      <c r="P134" s="51"/>
      <c r="Q134" s="51"/>
      <c r="R134" s="315"/>
      <c r="S134" s="313"/>
      <c r="T134" s="51"/>
      <c r="U134" s="51"/>
      <c r="V134" s="51"/>
      <c r="W134" s="315"/>
      <c r="X134" s="313"/>
      <c r="Y134" s="51"/>
      <c r="Z134" s="51"/>
      <c r="AA134" s="51"/>
      <c r="AB134" s="315"/>
    </row>
    <row r="135" spans="1:28" ht="18.75" customHeight="1" x14ac:dyDescent="0.2">
      <c r="A135" s="323"/>
      <c r="B135" s="40" t="s">
        <v>783</v>
      </c>
      <c r="C135" s="315"/>
      <c r="D135" s="313"/>
      <c r="E135" s="51"/>
      <c r="F135" s="51"/>
      <c r="G135" s="51"/>
      <c r="H135" s="315"/>
      <c r="I135" s="313"/>
      <c r="J135" s="51"/>
      <c r="K135" s="51"/>
      <c r="L135" s="51"/>
      <c r="M135" s="315"/>
      <c r="N135" s="313">
        <f t="shared" si="3"/>
        <v>3046</v>
      </c>
      <c r="O135" s="51"/>
      <c r="P135" s="51"/>
      <c r="Q135" s="51"/>
      <c r="R135" s="315"/>
      <c r="S135" s="313"/>
      <c r="T135" s="51"/>
      <c r="U135" s="51"/>
      <c r="V135" s="51"/>
      <c r="W135" s="315"/>
      <c r="X135" s="313"/>
      <c r="Y135" s="51"/>
      <c r="Z135" s="51"/>
      <c r="AA135" s="51"/>
      <c r="AB135" s="315"/>
    </row>
    <row r="136" spans="1:28" ht="18.75" customHeight="1" x14ac:dyDescent="0.2">
      <c r="A136" s="323"/>
      <c r="B136" s="41" t="s">
        <v>988</v>
      </c>
      <c r="C136" s="315"/>
      <c r="D136" s="313"/>
      <c r="E136" s="51"/>
      <c r="F136" s="51"/>
      <c r="G136" s="51"/>
      <c r="H136" s="315"/>
      <c r="I136" s="313"/>
      <c r="J136" s="51"/>
      <c r="K136" s="51"/>
      <c r="L136" s="51"/>
      <c r="M136" s="315"/>
      <c r="N136" s="313">
        <f t="shared" si="3"/>
        <v>3046</v>
      </c>
      <c r="O136" s="51"/>
      <c r="P136" s="51"/>
      <c r="Q136" s="51"/>
      <c r="R136" s="315"/>
      <c r="S136" s="313"/>
      <c r="T136" s="51"/>
      <c r="U136" s="51"/>
      <c r="V136" s="51"/>
      <c r="W136" s="315"/>
      <c r="X136" s="313"/>
      <c r="Y136" s="51"/>
      <c r="Z136" s="51"/>
      <c r="AA136" s="51"/>
      <c r="AB136" s="315"/>
    </row>
    <row r="137" spans="1:28" ht="18.75" customHeight="1" x14ac:dyDescent="0.2">
      <c r="A137" s="323"/>
      <c r="B137" s="41" t="s">
        <v>1004</v>
      </c>
      <c r="C137" s="315"/>
      <c r="D137" s="313"/>
      <c r="E137" s="51"/>
      <c r="F137" s="51"/>
      <c r="G137" s="51"/>
      <c r="H137" s="315"/>
      <c r="I137" s="313"/>
      <c r="J137" s="51"/>
      <c r="K137" s="51"/>
      <c r="L137" s="51"/>
      <c r="M137" s="315"/>
      <c r="N137" s="313">
        <f t="shared" si="3"/>
        <v>3046</v>
      </c>
      <c r="O137" s="51"/>
      <c r="P137" s="51"/>
      <c r="Q137" s="51"/>
      <c r="R137" s="315"/>
      <c r="S137" s="313"/>
      <c r="T137" s="51"/>
      <c r="U137" s="51"/>
      <c r="V137" s="51"/>
      <c r="W137" s="315"/>
      <c r="X137" s="313"/>
      <c r="Y137" s="51"/>
      <c r="Z137" s="51"/>
      <c r="AA137" s="51"/>
      <c r="AB137" s="315"/>
    </row>
    <row r="138" spans="1:28" ht="18.75" customHeight="1" x14ac:dyDescent="0.2">
      <c r="A138" s="323"/>
      <c r="B138" s="41" t="s">
        <v>1656</v>
      </c>
      <c r="C138" s="315"/>
      <c r="D138" s="313"/>
      <c r="E138" s="51"/>
      <c r="F138" s="51"/>
      <c r="G138" s="51"/>
      <c r="H138" s="315"/>
      <c r="I138" s="313"/>
      <c r="J138" s="51"/>
      <c r="K138" s="51"/>
      <c r="L138" s="51"/>
      <c r="M138" s="315"/>
      <c r="N138" s="313"/>
      <c r="O138" s="51"/>
      <c r="P138" s="51"/>
      <c r="Q138" s="51"/>
      <c r="R138" s="315"/>
      <c r="S138" s="313"/>
      <c r="T138" s="51"/>
      <c r="U138" s="51"/>
      <c r="V138" s="51"/>
      <c r="W138" s="315"/>
      <c r="X138" s="313"/>
      <c r="Y138" s="51"/>
      <c r="Z138" s="51"/>
      <c r="AA138" s="51"/>
      <c r="AB138" s="315"/>
    </row>
    <row r="139" spans="1:28" ht="18.75" customHeight="1" x14ac:dyDescent="0.2">
      <c r="A139" s="323"/>
      <c r="B139" s="41" t="s">
        <v>577</v>
      </c>
      <c r="C139" s="315"/>
      <c r="D139" s="313"/>
      <c r="E139" s="51"/>
      <c r="F139" s="51"/>
      <c r="G139" s="51"/>
      <c r="H139" s="315"/>
      <c r="I139" s="313"/>
      <c r="J139" s="51"/>
      <c r="K139" s="51"/>
      <c r="L139" s="51"/>
      <c r="M139" s="315"/>
      <c r="N139" s="313"/>
      <c r="O139" s="51"/>
      <c r="P139" s="51"/>
      <c r="Q139" s="51"/>
      <c r="R139" s="315"/>
      <c r="S139" s="313"/>
      <c r="T139" s="51"/>
      <c r="U139" s="51"/>
      <c r="V139" s="51"/>
      <c r="W139" s="315"/>
      <c r="X139" s="313"/>
      <c r="Y139" s="51"/>
      <c r="Z139" s="51"/>
      <c r="AA139" s="51"/>
      <c r="AB139" s="315"/>
    </row>
    <row r="140" spans="1:28" ht="18.75" customHeight="1" x14ac:dyDescent="0.2">
      <c r="A140" s="323"/>
      <c r="B140" s="41" t="s">
        <v>786</v>
      </c>
      <c r="C140" s="315"/>
      <c r="D140" s="313"/>
      <c r="E140" s="51"/>
      <c r="F140" s="51"/>
      <c r="G140" s="51"/>
      <c r="H140" s="315"/>
      <c r="I140" s="313"/>
      <c r="J140" s="51"/>
      <c r="K140" s="51"/>
      <c r="L140" s="51"/>
      <c r="M140" s="315"/>
      <c r="N140" s="313"/>
      <c r="O140" s="51"/>
      <c r="P140" s="51"/>
      <c r="Q140" s="51"/>
      <c r="R140" s="315"/>
      <c r="S140" s="313"/>
      <c r="T140" s="51"/>
      <c r="U140" s="51"/>
      <c r="V140" s="51"/>
      <c r="W140" s="315"/>
      <c r="X140" s="313"/>
      <c r="Y140" s="51"/>
      <c r="Z140" s="51"/>
      <c r="AA140" s="51"/>
      <c r="AB140" s="315"/>
    </row>
    <row r="141" spans="1:28" ht="15.75" x14ac:dyDescent="0.2">
      <c r="A141" s="323"/>
      <c r="B141" s="40" t="s">
        <v>871</v>
      </c>
      <c r="C141" s="315"/>
      <c r="D141" s="313"/>
      <c r="E141" s="51"/>
      <c r="F141" s="51"/>
      <c r="G141" s="51"/>
      <c r="H141" s="315"/>
      <c r="I141" s="313"/>
      <c r="J141" s="51"/>
      <c r="K141" s="51"/>
      <c r="L141" s="51"/>
      <c r="M141" s="315"/>
      <c r="N141" s="313">
        <f t="shared" si="3"/>
        <v>3046</v>
      </c>
      <c r="O141" s="51"/>
      <c r="P141" s="51"/>
      <c r="Q141" s="51"/>
      <c r="R141" s="315"/>
      <c r="S141" s="313"/>
      <c r="T141" s="51"/>
      <c r="U141" s="51"/>
      <c r="V141" s="51"/>
      <c r="W141" s="315"/>
      <c r="X141" s="313"/>
      <c r="Y141" s="51"/>
      <c r="Z141" s="51"/>
      <c r="AA141" s="51"/>
      <c r="AB141" s="315"/>
    </row>
    <row r="142" spans="1:28" ht="15.75" x14ac:dyDescent="0.2">
      <c r="A142" s="323"/>
      <c r="B142" s="41" t="s">
        <v>1657</v>
      </c>
      <c r="C142" s="315"/>
      <c r="D142" s="313"/>
      <c r="E142" s="51"/>
      <c r="F142" s="51"/>
      <c r="G142" s="51"/>
      <c r="H142" s="315"/>
      <c r="I142" s="313"/>
      <c r="J142" s="51"/>
      <c r="K142" s="51"/>
      <c r="L142" s="51"/>
      <c r="M142" s="315"/>
      <c r="N142" s="313">
        <f t="shared" si="3"/>
        <v>3046</v>
      </c>
      <c r="O142" s="51"/>
      <c r="P142" s="51"/>
      <c r="Q142" s="51"/>
      <c r="R142" s="315"/>
      <c r="S142" s="313"/>
      <c r="T142" s="51"/>
      <c r="U142" s="51"/>
      <c r="V142" s="51"/>
      <c r="W142" s="315"/>
      <c r="X142" s="313"/>
      <c r="Y142" s="51"/>
      <c r="Z142" s="51"/>
      <c r="AA142" s="51"/>
      <c r="AB142" s="315"/>
    </row>
    <row r="143" spans="1:28" ht="15.75" x14ac:dyDescent="0.2">
      <c r="A143" s="323"/>
      <c r="B143" s="41" t="s">
        <v>810</v>
      </c>
      <c r="C143" s="315"/>
      <c r="D143" s="313"/>
      <c r="E143" s="51"/>
      <c r="F143" s="51"/>
      <c r="G143" s="51"/>
      <c r="H143" s="315"/>
      <c r="I143" s="313"/>
      <c r="J143" s="51"/>
      <c r="K143" s="51"/>
      <c r="L143" s="51"/>
      <c r="M143" s="315"/>
      <c r="N143" s="313">
        <f t="shared" si="3"/>
        <v>3046</v>
      </c>
      <c r="O143" s="51"/>
      <c r="P143" s="51"/>
      <c r="Q143" s="51"/>
      <c r="R143" s="315"/>
      <c r="S143" s="313"/>
      <c r="T143" s="51"/>
      <c r="U143" s="51"/>
      <c r="V143" s="51"/>
      <c r="W143" s="315"/>
      <c r="X143" s="313"/>
      <c r="Y143" s="51"/>
      <c r="Z143" s="51"/>
      <c r="AA143" s="51"/>
      <c r="AB143" s="315"/>
    </row>
    <row r="144" spans="1:28" ht="15.75" x14ac:dyDescent="0.2">
      <c r="A144" s="52"/>
      <c r="B144" s="40" t="s">
        <v>1005</v>
      </c>
      <c r="C144" s="53"/>
      <c r="D144" s="54"/>
      <c r="E144" s="51"/>
      <c r="F144" s="51"/>
      <c r="G144" s="51"/>
      <c r="H144" s="53"/>
      <c r="I144" s="54"/>
      <c r="J144" s="51"/>
      <c r="K144" s="51"/>
      <c r="L144" s="51"/>
      <c r="M144" s="53"/>
      <c r="N144" s="54"/>
      <c r="O144" s="51"/>
      <c r="P144" s="51"/>
      <c r="Q144" s="51"/>
      <c r="R144" s="53"/>
      <c r="S144" s="54"/>
      <c r="T144" s="51"/>
      <c r="U144" s="51"/>
      <c r="V144" s="51"/>
      <c r="W144" s="53"/>
      <c r="X144" s="54"/>
      <c r="Y144" s="51"/>
      <c r="Z144" s="51"/>
      <c r="AA144" s="51"/>
      <c r="AB144" s="53"/>
    </row>
    <row r="145" spans="1:30" ht="31.5" x14ac:dyDescent="0.2">
      <c r="A145" s="52"/>
      <c r="B145" s="41" t="s">
        <v>1660</v>
      </c>
      <c r="C145" s="53"/>
      <c r="D145" s="54"/>
      <c r="E145" s="51"/>
      <c r="F145" s="51"/>
      <c r="G145" s="51"/>
      <c r="H145" s="53"/>
      <c r="I145" s="54"/>
      <c r="J145" s="51"/>
      <c r="K145" s="51"/>
      <c r="L145" s="51"/>
      <c r="M145" s="53"/>
      <c r="N145" s="54"/>
      <c r="O145" s="51"/>
      <c r="P145" s="51"/>
      <c r="Q145" s="51"/>
      <c r="R145" s="53"/>
      <c r="S145" s="54"/>
      <c r="T145" s="51"/>
      <c r="U145" s="51"/>
      <c r="V145" s="51"/>
      <c r="W145" s="53"/>
      <c r="X145" s="54"/>
      <c r="Y145" s="51"/>
      <c r="Z145" s="51"/>
      <c r="AA145" s="51"/>
      <c r="AB145" s="53"/>
    </row>
    <row r="146" spans="1:30" ht="15.75" x14ac:dyDescent="0.2">
      <c r="A146" s="52"/>
      <c r="B146" s="41" t="s">
        <v>1658</v>
      </c>
      <c r="C146" s="53"/>
      <c r="D146" s="54"/>
      <c r="E146" s="51"/>
      <c r="F146" s="51"/>
      <c r="G146" s="51"/>
      <c r="H146" s="53"/>
      <c r="I146" s="54"/>
      <c r="J146" s="51"/>
      <c r="K146" s="51"/>
      <c r="L146" s="51"/>
      <c r="M146" s="53"/>
      <c r="N146" s="54"/>
      <c r="O146" s="51"/>
      <c r="P146" s="51"/>
      <c r="Q146" s="51"/>
      <c r="R146" s="53"/>
      <c r="S146" s="54"/>
      <c r="T146" s="51"/>
      <c r="U146" s="51"/>
      <c r="V146" s="51"/>
      <c r="W146" s="53"/>
      <c r="X146" s="54"/>
      <c r="Y146" s="51"/>
      <c r="Z146" s="51"/>
      <c r="AA146" s="51"/>
      <c r="AB146" s="53"/>
    </row>
    <row r="147" spans="1:30" ht="15.75" x14ac:dyDescent="0.2">
      <c r="A147" s="52"/>
      <c r="B147" s="41" t="s">
        <v>1659</v>
      </c>
      <c r="C147" s="53"/>
      <c r="D147" s="54"/>
      <c r="E147" s="51"/>
      <c r="F147" s="51"/>
      <c r="G147" s="51"/>
      <c r="H147" s="53"/>
      <c r="I147" s="54"/>
      <c r="J147" s="51"/>
      <c r="K147" s="51"/>
      <c r="L147" s="51"/>
      <c r="M147" s="53"/>
      <c r="N147" s="54"/>
      <c r="O147" s="51"/>
      <c r="P147" s="51"/>
      <c r="Q147" s="51"/>
      <c r="R147" s="53"/>
      <c r="S147" s="54"/>
      <c r="T147" s="51"/>
      <c r="U147" s="51"/>
      <c r="V147" s="51"/>
      <c r="W147" s="53"/>
      <c r="X147" s="54"/>
      <c r="Y147" s="51"/>
      <c r="Z147" s="51"/>
      <c r="AA147" s="51"/>
      <c r="AB147" s="53"/>
    </row>
    <row r="148" spans="1:30" ht="15.75" x14ac:dyDescent="0.2">
      <c r="A148" s="52"/>
      <c r="B148" s="41" t="s">
        <v>1661</v>
      </c>
      <c r="C148" s="53"/>
      <c r="D148" s="54"/>
      <c r="E148" s="51"/>
      <c r="F148" s="51"/>
      <c r="G148" s="51"/>
      <c r="H148" s="53"/>
      <c r="I148" s="54"/>
      <c r="J148" s="51"/>
      <c r="K148" s="51"/>
      <c r="L148" s="51"/>
      <c r="M148" s="53"/>
      <c r="N148" s="54"/>
      <c r="O148" s="51"/>
      <c r="P148" s="51"/>
      <c r="Q148" s="51"/>
      <c r="R148" s="53"/>
      <c r="S148" s="54"/>
      <c r="T148" s="51"/>
      <c r="U148" s="51"/>
      <c r="V148" s="51"/>
      <c r="W148" s="53"/>
      <c r="X148" s="54"/>
      <c r="Y148" s="51"/>
      <c r="Z148" s="51"/>
      <c r="AA148" s="51"/>
      <c r="AB148" s="53"/>
    </row>
    <row r="149" spans="1:30" ht="18" customHeight="1" x14ac:dyDescent="0.2">
      <c r="A149" s="8" t="s">
        <v>1077</v>
      </c>
      <c r="B149" s="55" t="s">
        <v>859</v>
      </c>
      <c r="C149" s="56">
        <f>D149</f>
        <v>0</v>
      </c>
      <c r="D149" s="38">
        <v>0</v>
      </c>
      <c r="E149" s="57"/>
      <c r="F149" s="57"/>
      <c r="G149" s="57"/>
      <c r="H149" s="56">
        <f>I149</f>
        <v>0</v>
      </c>
      <c r="I149" s="38">
        <v>0</v>
      </c>
      <c r="J149" s="57"/>
      <c r="K149" s="57"/>
      <c r="L149" s="57"/>
      <c r="M149" s="56">
        <f>N149</f>
        <v>10733</v>
      </c>
      <c r="N149" s="38">
        <v>10733</v>
      </c>
      <c r="O149" s="57"/>
      <c r="P149" s="57"/>
      <c r="Q149" s="57"/>
      <c r="R149" s="56">
        <f>S149</f>
        <v>0</v>
      </c>
      <c r="S149" s="38">
        <v>0</v>
      </c>
      <c r="T149" s="57"/>
      <c r="U149" s="57"/>
      <c r="V149" s="57"/>
      <c r="W149" s="56">
        <f>X149</f>
        <v>0</v>
      </c>
      <c r="X149" s="38">
        <v>0</v>
      </c>
      <c r="Y149" s="57"/>
      <c r="Z149" s="57"/>
      <c r="AA149" s="57"/>
      <c r="AB149" s="56">
        <f>C149+H149+M149+R149+W149</f>
        <v>10733</v>
      </c>
    </row>
    <row r="150" spans="1:30" ht="42" customHeight="1" x14ac:dyDescent="0.2">
      <c r="A150" s="58" t="s">
        <v>10</v>
      </c>
      <c r="B150" s="342" t="s">
        <v>1078</v>
      </c>
      <c r="C150" s="343"/>
      <c r="D150" s="343"/>
      <c r="E150" s="343"/>
      <c r="F150" s="343"/>
      <c r="G150" s="343"/>
      <c r="H150" s="343"/>
      <c r="I150" s="343"/>
      <c r="J150" s="343"/>
      <c r="K150" s="343"/>
      <c r="L150" s="343"/>
      <c r="M150" s="343"/>
      <c r="N150" s="343"/>
      <c r="O150" s="343"/>
      <c r="P150" s="343"/>
      <c r="Q150" s="343"/>
      <c r="R150" s="343"/>
      <c r="S150" s="343"/>
      <c r="T150" s="343"/>
      <c r="U150" s="343"/>
      <c r="V150" s="343"/>
      <c r="W150" s="343"/>
      <c r="X150" s="343"/>
      <c r="Y150" s="343"/>
      <c r="Z150" s="343"/>
      <c r="AA150" s="343"/>
      <c r="AB150" s="343"/>
      <c r="AC150" s="59"/>
      <c r="AD150" s="60"/>
    </row>
    <row r="151" spans="1:30" ht="15" customHeight="1" x14ac:dyDescent="0.2">
      <c r="A151" s="325" t="s">
        <v>11</v>
      </c>
      <c r="B151" s="37" t="s">
        <v>599</v>
      </c>
      <c r="C151" s="317">
        <f>D151</f>
        <v>51269</v>
      </c>
      <c r="D151" s="318">
        <v>51269</v>
      </c>
      <c r="E151" s="61"/>
      <c r="F151" s="61"/>
      <c r="G151" s="61"/>
      <c r="H151" s="317">
        <f>I151</f>
        <v>13924</v>
      </c>
      <c r="I151" s="318">
        <f>13924</f>
        <v>13924</v>
      </c>
      <c r="J151" s="61"/>
      <c r="K151" s="61"/>
      <c r="L151" s="61"/>
      <c r="M151" s="317">
        <f>N151</f>
        <v>17647</v>
      </c>
      <c r="N151" s="318">
        <f>11888+2036+1353+2370</f>
        <v>17647</v>
      </c>
      <c r="O151" s="61"/>
      <c r="P151" s="61"/>
      <c r="Q151" s="61"/>
      <c r="R151" s="317">
        <f>S151</f>
        <v>2500</v>
      </c>
      <c r="S151" s="318">
        <f t="shared" ref="S151:S168" si="4">13924-11424</f>
        <v>2500</v>
      </c>
      <c r="T151" s="61"/>
      <c r="U151" s="61"/>
      <c r="V151" s="61"/>
      <c r="W151" s="317">
        <f>X151</f>
        <v>2500</v>
      </c>
      <c r="X151" s="318">
        <f t="shared" ref="X151:X168" si="5">29000+781-27281</f>
        <v>2500</v>
      </c>
      <c r="Y151" s="61"/>
      <c r="Z151" s="61"/>
      <c r="AA151" s="61"/>
      <c r="AB151" s="317">
        <f>C151+H151+M151+R151+W151</f>
        <v>87840</v>
      </c>
    </row>
    <row r="152" spans="1:30" ht="15" customHeight="1" x14ac:dyDescent="0.2">
      <c r="A152" s="326"/>
      <c r="B152" s="40" t="s">
        <v>437</v>
      </c>
      <c r="C152" s="315"/>
      <c r="D152" s="313"/>
      <c r="E152" s="61"/>
      <c r="F152" s="61"/>
      <c r="G152" s="61"/>
      <c r="H152" s="315"/>
      <c r="I152" s="313"/>
      <c r="J152" s="61"/>
      <c r="K152" s="61"/>
      <c r="L152" s="61"/>
      <c r="M152" s="315"/>
      <c r="N152" s="313">
        <f t="shared" ref="N152:N168" si="6">11888+2036+1353</f>
        <v>15277</v>
      </c>
      <c r="O152" s="61"/>
      <c r="P152" s="61"/>
      <c r="Q152" s="61"/>
      <c r="R152" s="315"/>
      <c r="S152" s="313">
        <f t="shared" si="4"/>
        <v>2500</v>
      </c>
      <c r="T152" s="61"/>
      <c r="U152" s="61"/>
      <c r="V152" s="61"/>
      <c r="W152" s="315"/>
      <c r="X152" s="313">
        <f t="shared" si="5"/>
        <v>2500</v>
      </c>
      <c r="Y152" s="61"/>
      <c r="Z152" s="61"/>
      <c r="AA152" s="61"/>
      <c r="AB152" s="315"/>
    </row>
    <row r="153" spans="1:30" ht="15" customHeight="1" x14ac:dyDescent="0.2">
      <c r="A153" s="326"/>
      <c r="B153" s="41" t="s">
        <v>512</v>
      </c>
      <c r="C153" s="315"/>
      <c r="D153" s="313"/>
      <c r="E153" s="61"/>
      <c r="F153" s="61"/>
      <c r="G153" s="61"/>
      <c r="H153" s="315"/>
      <c r="I153" s="313"/>
      <c r="J153" s="61"/>
      <c r="K153" s="61"/>
      <c r="L153" s="61"/>
      <c r="M153" s="315"/>
      <c r="N153" s="313">
        <f t="shared" si="6"/>
        <v>15277</v>
      </c>
      <c r="O153" s="61"/>
      <c r="P153" s="61"/>
      <c r="Q153" s="61"/>
      <c r="R153" s="315"/>
      <c r="S153" s="313">
        <f t="shared" si="4"/>
        <v>2500</v>
      </c>
      <c r="T153" s="61"/>
      <c r="U153" s="61"/>
      <c r="V153" s="61"/>
      <c r="W153" s="315"/>
      <c r="X153" s="313">
        <f t="shared" si="5"/>
        <v>2500</v>
      </c>
      <c r="Y153" s="61"/>
      <c r="Z153" s="61"/>
      <c r="AA153" s="61"/>
      <c r="AB153" s="315"/>
    </row>
    <row r="154" spans="1:30" ht="18" customHeight="1" x14ac:dyDescent="0.2">
      <c r="A154" s="326"/>
      <c r="B154" s="41" t="s">
        <v>513</v>
      </c>
      <c r="C154" s="315"/>
      <c r="D154" s="313"/>
      <c r="E154" s="61"/>
      <c r="F154" s="61"/>
      <c r="G154" s="61"/>
      <c r="H154" s="315"/>
      <c r="I154" s="313"/>
      <c r="J154" s="61"/>
      <c r="K154" s="61"/>
      <c r="L154" s="61"/>
      <c r="M154" s="315"/>
      <c r="N154" s="313">
        <f t="shared" si="6"/>
        <v>15277</v>
      </c>
      <c r="O154" s="61"/>
      <c r="P154" s="61"/>
      <c r="Q154" s="61"/>
      <c r="R154" s="315"/>
      <c r="S154" s="313">
        <f t="shared" si="4"/>
        <v>2500</v>
      </c>
      <c r="T154" s="61"/>
      <c r="U154" s="61"/>
      <c r="V154" s="61"/>
      <c r="W154" s="315"/>
      <c r="X154" s="313">
        <f t="shared" si="5"/>
        <v>2500</v>
      </c>
      <c r="Y154" s="61"/>
      <c r="Z154" s="61"/>
      <c r="AA154" s="61"/>
      <c r="AB154" s="315"/>
    </row>
    <row r="155" spans="1:30" ht="18" customHeight="1" x14ac:dyDescent="0.2">
      <c r="A155" s="326"/>
      <c r="B155" s="41" t="s">
        <v>514</v>
      </c>
      <c r="C155" s="315"/>
      <c r="D155" s="313"/>
      <c r="E155" s="61"/>
      <c r="F155" s="61"/>
      <c r="G155" s="61"/>
      <c r="H155" s="315"/>
      <c r="I155" s="313"/>
      <c r="J155" s="61"/>
      <c r="K155" s="61"/>
      <c r="L155" s="61"/>
      <c r="M155" s="315"/>
      <c r="N155" s="313">
        <f t="shared" si="6"/>
        <v>15277</v>
      </c>
      <c r="O155" s="61"/>
      <c r="P155" s="61"/>
      <c r="Q155" s="61"/>
      <c r="R155" s="315"/>
      <c r="S155" s="313">
        <f t="shared" si="4"/>
        <v>2500</v>
      </c>
      <c r="T155" s="61"/>
      <c r="U155" s="61"/>
      <c r="V155" s="61"/>
      <c r="W155" s="315"/>
      <c r="X155" s="313">
        <f t="shared" si="5"/>
        <v>2500</v>
      </c>
      <c r="Y155" s="61"/>
      <c r="Z155" s="61"/>
      <c r="AA155" s="61"/>
      <c r="AB155" s="315"/>
    </row>
    <row r="156" spans="1:30" ht="18" customHeight="1" x14ac:dyDescent="0.2">
      <c r="A156" s="326"/>
      <c r="B156" s="41" t="s">
        <v>515</v>
      </c>
      <c r="C156" s="315"/>
      <c r="D156" s="313"/>
      <c r="E156" s="61"/>
      <c r="F156" s="61"/>
      <c r="G156" s="61"/>
      <c r="H156" s="315"/>
      <c r="I156" s="313"/>
      <c r="J156" s="61"/>
      <c r="K156" s="61"/>
      <c r="L156" s="61"/>
      <c r="M156" s="315"/>
      <c r="N156" s="313">
        <f t="shared" si="6"/>
        <v>15277</v>
      </c>
      <c r="O156" s="61"/>
      <c r="P156" s="61"/>
      <c r="Q156" s="61"/>
      <c r="R156" s="315"/>
      <c r="S156" s="313">
        <f t="shared" si="4"/>
        <v>2500</v>
      </c>
      <c r="T156" s="61"/>
      <c r="U156" s="61"/>
      <c r="V156" s="61"/>
      <c r="W156" s="315"/>
      <c r="X156" s="313">
        <f t="shared" si="5"/>
        <v>2500</v>
      </c>
      <c r="Y156" s="61"/>
      <c r="Z156" s="61"/>
      <c r="AA156" s="61"/>
      <c r="AB156" s="315"/>
    </row>
    <row r="157" spans="1:30" ht="18" customHeight="1" x14ac:dyDescent="0.2">
      <c r="A157" s="326"/>
      <c r="B157" s="41" t="s">
        <v>516</v>
      </c>
      <c r="C157" s="315"/>
      <c r="D157" s="313"/>
      <c r="E157" s="61"/>
      <c r="F157" s="61"/>
      <c r="G157" s="61"/>
      <c r="H157" s="315"/>
      <c r="I157" s="313"/>
      <c r="J157" s="61"/>
      <c r="K157" s="61"/>
      <c r="L157" s="61"/>
      <c r="M157" s="315"/>
      <c r="N157" s="313">
        <f t="shared" si="6"/>
        <v>15277</v>
      </c>
      <c r="O157" s="61"/>
      <c r="P157" s="61"/>
      <c r="Q157" s="61"/>
      <c r="R157" s="315"/>
      <c r="S157" s="313">
        <f t="shared" si="4"/>
        <v>2500</v>
      </c>
      <c r="T157" s="61"/>
      <c r="U157" s="61"/>
      <c r="V157" s="61"/>
      <c r="W157" s="315"/>
      <c r="X157" s="313">
        <f t="shared" si="5"/>
        <v>2500</v>
      </c>
      <c r="Y157" s="61"/>
      <c r="Z157" s="61"/>
      <c r="AA157" s="61"/>
      <c r="AB157" s="315"/>
    </row>
    <row r="158" spans="1:30" ht="15" customHeight="1" x14ac:dyDescent="0.2">
      <c r="A158" s="326"/>
      <c r="B158" s="41" t="s">
        <v>517</v>
      </c>
      <c r="C158" s="315"/>
      <c r="D158" s="313"/>
      <c r="E158" s="61"/>
      <c r="F158" s="61"/>
      <c r="G158" s="61"/>
      <c r="H158" s="315"/>
      <c r="I158" s="313"/>
      <c r="J158" s="61"/>
      <c r="K158" s="61"/>
      <c r="L158" s="61"/>
      <c r="M158" s="315"/>
      <c r="N158" s="313">
        <f t="shared" si="6"/>
        <v>15277</v>
      </c>
      <c r="O158" s="61"/>
      <c r="P158" s="61"/>
      <c r="Q158" s="61"/>
      <c r="R158" s="315"/>
      <c r="S158" s="313">
        <f t="shared" si="4"/>
        <v>2500</v>
      </c>
      <c r="T158" s="61"/>
      <c r="U158" s="61"/>
      <c r="V158" s="61"/>
      <c r="W158" s="315"/>
      <c r="X158" s="313">
        <f t="shared" si="5"/>
        <v>2500</v>
      </c>
      <c r="Y158" s="61"/>
      <c r="Z158" s="61"/>
      <c r="AA158" s="61"/>
      <c r="AB158" s="315"/>
    </row>
    <row r="159" spans="1:30" ht="18" customHeight="1" x14ac:dyDescent="0.2">
      <c r="A159" s="326"/>
      <c r="B159" s="41" t="s">
        <v>518</v>
      </c>
      <c r="C159" s="315"/>
      <c r="D159" s="313"/>
      <c r="E159" s="61"/>
      <c r="F159" s="61"/>
      <c r="G159" s="61"/>
      <c r="H159" s="315"/>
      <c r="I159" s="313"/>
      <c r="J159" s="61"/>
      <c r="K159" s="61"/>
      <c r="L159" s="61"/>
      <c r="M159" s="315"/>
      <c r="N159" s="313">
        <f t="shared" si="6"/>
        <v>15277</v>
      </c>
      <c r="O159" s="61"/>
      <c r="P159" s="61"/>
      <c r="Q159" s="61"/>
      <c r="R159" s="315"/>
      <c r="S159" s="313">
        <f t="shared" si="4"/>
        <v>2500</v>
      </c>
      <c r="T159" s="61"/>
      <c r="U159" s="61"/>
      <c r="V159" s="61"/>
      <c r="W159" s="315"/>
      <c r="X159" s="313">
        <f t="shared" si="5"/>
        <v>2500</v>
      </c>
      <c r="Y159" s="61"/>
      <c r="Z159" s="61"/>
      <c r="AA159" s="61"/>
      <c r="AB159" s="315"/>
    </row>
    <row r="160" spans="1:30" ht="18.75" customHeight="1" x14ac:dyDescent="0.2">
      <c r="A160" s="326"/>
      <c r="B160" s="41" t="s">
        <v>519</v>
      </c>
      <c r="C160" s="315"/>
      <c r="D160" s="313"/>
      <c r="E160" s="61"/>
      <c r="F160" s="61"/>
      <c r="G160" s="61"/>
      <c r="H160" s="315"/>
      <c r="I160" s="313"/>
      <c r="J160" s="61"/>
      <c r="K160" s="61"/>
      <c r="L160" s="61"/>
      <c r="M160" s="315"/>
      <c r="N160" s="313">
        <f t="shared" si="6"/>
        <v>15277</v>
      </c>
      <c r="O160" s="61"/>
      <c r="P160" s="61"/>
      <c r="Q160" s="61"/>
      <c r="R160" s="315"/>
      <c r="S160" s="313">
        <f t="shared" si="4"/>
        <v>2500</v>
      </c>
      <c r="T160" s="61"/>
      <c r="U160" s="61"/>
      <c r="V160" s="61"/>
      <c r="W160" s="315"/>
      <c r="X160" s="313">
        <f t="shared" si="5"/>
        <v>2500</v>
      </c>
      <c r="Y160" s="61"/>
      <c r="Z160" s="61"/>
      <c r="AA160" s="61"/>
      <c r="AB160" s="315"/>
    </row>
    <row r="161" spans="1:28" ht="15.75" customHeight="1" x14ac:dyDescent="0.2">
      <c r="A161" s="326"/>
      <c r="B161" s="41" t="s">
        <v>520</v>
      </c>
      <c r="C161" s="315"/>
      <c r="D161" s="313"/>
      <c r="E161" s="61"/>
      <c r="F161" s="61"/>
      <c r="G161" s="61"/>
      <c r="H161" s="315"/>
      <c r="I161" s="313"/>
      <c r="J161" s="61"/>
      <c r="K161" s="61"/>
      <c r="L161" s="61"/>
      <c r="M161" s="315"/>
      <c r="N161" s="313">
        <f t="shared" si="6"/>
        <v>15277</v>
      </c>
      <c r="O161" s="61"/>
      <c r="P161" s="61"/>
      <c r="Q161" s="61"/>
      <c r="R161" s="315"/>
      <c r="S161" s="313">
        <f t="shared" si="4"/>
        <v>2500</v>
      </c>
      <c r="T161" s="61"/>
      <c r="U161" s="61"/>
      <c r="V161" s="61"/>
      <c r="W161" s="315"/>
      <c r="X161" s="313">
        <f t="shared" si="5"/>
        <v>2500</v>
      </c>
      <c r="Y161" s="61"/>
      <c r="Z161" s="61"/>
      <c r="AA161" s="61"/>
      <c r="AB161" s="315"/>
    </row>
    <row r="162" spans="1:28" ht="15" customHeight="1" x14ac:dyDescent="0.2">
      <c r="A162" s="326"/>
      <c r="B162" s="41" t="s">
        <v>521</v>
      </c>
      <c r="C162" s="315"/>
      <c r="D162" s="313"/>
      <c r="E162" s="61"/>
      <c r="F162" s="61"/>
      <c r="G162" s="61"/>
      <c r="H162" s="315"/>
      <c r="I162" s="313"/>
      <c r="J162" s="61"/>
      <c r="K162" s="61"/>
      <c r="L162" s="61"/>
      <c r="M162" s="315"/>
      <c r="N162" s="313">
        <f t="shared" si="6"/>
        <v>15277</v>
      </c>
      <c r="O162" s="61"/>
      <c r="P162" s="61"/>
      <c r="Q162" s="61"/>
      <c r="R162" s="315"/>
      <c r="S162" s="313">
        <f t="shared" si="4"/>
        <v>2500</v>
      </c>
      <c r="T162" s="61"/>
      <c r="U162" s="61"/>
      <c r="V162" s="61"/>
      <c r="W162" s="315"/>
      <c r="X162" s="313">
        <f t="shared" si="5"/>
        <v>2500</v>
      </c>
      <c r="Y162" s="61"/>
      <c r="Z162" s="61"/>
      <c r="AA162" s="61"/>
      <c r="AB162" s="315"/>
    </row>
    <row r="163" spans="1:28" ht="12" customHeight="1" x14ac:dyDescent="0.2">
      <c r="A163" s="326"/>
      <c r="B163" s="41" t="s">
        <v>522</v>
      </c>
      <c r="C163" s="315"/>
      <c r="D163" s="313"/>
      <c r="E163" s="61"/>
      <c r="F163" s="61"/>
      <c r="G163" s="61"/>
      <c r="H163" s="315"/>
      <c r="I163" s="313"/>
      <c r="J163" s="61"/>
      <c r="K163" s="61"/>
      <c r="L163" s="61"/>
      <c r="M163" s="315"/>
      <c r="N163" s="313">
        <f t="shared" si="6"/>
        <v>15277</v>
      </c>
      <c r="O163" s="61"/>
      <c r="P163" s="61"/>
      <c r="Q163" s="61"/>
      <c r="R163" s="315"/>
      <c r="S163" s="313">
        <f t="shared" si="4"/>
        <v>2500</v>
      </c>
      <c r="T163" s="61"/>
      <c r="U163" s="61"/>
      <c r="V163" s="61"/>
      <c r="W163" s="315"/>
      <c r="X163" s="313">
        <f t="shared" si="5"/>
        <v>2500</v>
      </c>
      <c r="Y163" s="61"/>
      <c r="Z163" s="61"/>
      <c r="AA163" s="61"/>
      <c r="AB163" s="315"/>
    </row>
    <row r="164" spans="1:28" ht="18" customHeight="1" x14ac:dyDescent="0.2">
      <c r="A164" s="326"/>
      <c r="B164" s="41" t="s">
        <v>523</v>
      </c>
      <c r="C164" s="315"/>
      <c r="D164" s="313"/>
      <c r="E164" s="61"/>
      <c r="F164" s="61"/>
      <c r="G164" s="61"/>
      <c r="H164" s="315"/>
      <c r="I164" s="313"/>
      <c r="J164" s="61"/>
      <c r="K164" s="61"/>
      <c r="L164" s="61"/>
      <c r="M164" s="315"/>
      <c r="N164" s="313">
        <f t="shared" si="6"/>
        <v>15277</v>
      </c>
      <c r="O164" s="61"/>
      <c r="P164" s="61"/>
      <c r="Q164" s="61"/>
      <c r="R164" s="315"/>
      <c r="S164" s="313">
        <f t="shared" si="4"/>
        <v>2500</v>
      </c>
      <c r="T164" s="61"/>
      <c r="U164" s="61"/>
      <c r="V164" s="61"/>
      <c r="W164" s="315"/>
      <c r="X164" s="313">
        <f t="shared" si="5"/>
        <v>2500</v>
      </c>
      <c r="Y164" s="61"/>
      <c r="Z164" s="61"/>
      <c r="AA164" s="61"/>
      <c r="AB164" s="315"/>
    </row>
    <row r="165" spans="1:28" ht="18" customHeight="1" x14ac:dyDescent="0.2">
      <c r="A165" s="326"/>
      <c r="B165" s="41" t="s">
        <v>524</v>
      </c>
      <c r="C165" s="315"/>
      <c r="D165" s="313"/>
      <c r="E165" s="61"/>
      <c r="F165" s="61"/>
      <c r="G165" s="61"/>
      <c r="H165" s="315"/>
      <c r="I165" s="313"/>
      <c r="J165" s="61"/>
      <c r="K165" s="61"/>
      <c r="L165" s="61"/>
      <c r="M165" s="315"/>
      <c r="N165" s="313">
        <f t="shared" si="6"/>
        <v>15277</v>
      </c>
      <c r="O165" s="61"/>
      <c r="P165" s="61"/>
      <c r="Q165" s="61"/>
      <c r="R165" s="315"/>
      <c r="S165" s="313">
        <f t="shared" si="4"/>
        <v>2500</v>
      </c>
      <c r="T165" s="61"/>
      <c r="U165" s="61"/>
      <c r="V165" s="61"/>
      <c r="W165" s="315"/>
      <c r="X165" s="313">
        <f t="shared" si="5"/>
        <v>2500</v>
      </c>
      <c r="Y165" s="61"/>
      <c r="Z165" s="61"/>
      <c r="AA165" s="61"/>
      <c r="AB165" s="315"/>
    </row>
    <row r="166" spans="1:28" ht="18" customHeight="1" x14ac:dyDescent="0.2">
      <c r="A166" s="326"/>
      <c r="B166" s="41" t="s">
        <v>525</v>
      </c>
      <c r="C166" s="315"/>
      <c r="D166" s="313"/>
      <c r="E166" s="61"/>
      <c r="F166" s="61"/>
      <c r="G166" s="61"/>
      <c r="H166" s="315"/>
      <c r="I166" s="313"/>
      <c r="J166" s="61"/>
      <c r="K166" s="61"/>
      <c r="L166" s="61"/>
      <c r="M166" s="315"/>
      <c r="N166" s="313">
        <f t="shared" si="6"/>
        <v>15277</v>
      </c>
      <c r="O166" s="61"/>
      <c r="P166" s="61"/>
      <c r="Q166" s="61"/>
      <c r="R166" s="315"/>
      <c r="S166" s="313">
        <f t="shared" si="4"/>
        <v>2500</v>
      </c>
      <c r="T166" s="61"/>
      <c r="U166" s="61"/>
      <c r="V166" s="61"/>
      <c r="W166" s="315"/>
      <c r="X166" s="313">
        <f t="shared" si="5"/>
        <v>2500</v>
      </c>
      <c r="Y166" s="61"/>
      <c r="Z166" s="61"/>
      <c r="AA166" s="61"/>
      <c r="AB166" s="315"/>
    </row>
    <row r="167" spans="1:28" ht="18" customHeight="1" x14ac:dyDescent="0.2">
      <c r="A167" s="326"/>
      <c r="B167" s="41" t="s">
        <v>526</v>
      </c>
      <c r="C167" s="315"/>
      <c r="D167" s="313"/>
      <c r="E167" s="61"/>
      <c r="F167" s="61"/>
      <c r="G167" s="61"/>
      <c r="H167" s="315"/>
      <c r="I167" s="313"/>
      <c r="J167" s="61"/>
      <c r="K167" s="61"/>
      <c r="L167" s="61"/>
      <c r="M167" s="315"/>
      <c r="N167" s="313">
        <f t="shared" si="6"/>
        <v>15277</v>
      </c>
      <c r="O167" s="61"/>
      <c r="P167" s="61"/>
      <c r="Q167" s="61"/>
      <c r="R167" s="315"/>
      <c r="S167" s="313">
        <f t="shared" si="4"/>
        <v>2500</v>
      </c>
      <c r="T167" s="61"/>
      <c r="U167" s="61"/>
      <c r="V167" s="61"/>
      <c r="W167" s="315"/>
      <c r="X167" s="313">
        <f t="shared" si="5"/>
        <v>2500</v>
      </c>
      <c r="Y167" s="61"/>
      <c r="Z167" s="61"/>
      <c r="AA167" s="61"/>
      <c r="AB167" s="315"/>
    </row>
    <row r="168" spans="1:28" ht="18" customHeight="1" x14ac:dyDescent="0.2">
      <c r="A168" s="327"/>
      <c r="B168" s="45" t="s">
        <v>527</v>
      </c>
      <c r="C168" s="316"/>
      <c r="D168" s="314"/>
      <c r="E168" s="61"/>
      <c r="F168" s="61"/>
      <c r="G168" s="61"/>
      <c r="H168" s="316"/>
      <c r="I168" s="314"/>
      <c r="J168" s="61"/>
      <c r="K168" s="61"/>
      <c r="L168" s="61"/>
      <c r="M168" s="316"/>
      <c r="N168" s="314">
        <f t="shared" si="6"/>
        <v>15277</v>
      </c>
      <c r="O168" s="61"/>
      <c r="P168" s="61"/>
      <c r="Q168" s="61"/>
      <c r="R168" s="316"/>
      <c r="S168" s="314">
        <f t="shared" si="4"/>
        <v>2500</v>
      </c>
      <c r="T168" s="61"/>
      <c r="U168" s="61"/>
      <c r="V168" s="61"/>
      <c r="W168" s="316"/>
      <c r="X168" s="314">
        <f t="shared" si="5"/>
        <v>2500</v>
      </c>
      <c r="Y168" s="61"/>
      <c r="Z168" s="61"/>
      <c r="AA168" s="61"/>
      <c r="AB168" s="316"/>
    </row>
    <row r="169" spans="1:28" ht="18" customHeight="1" x14ac:dyDescent="0.2">
      <c r="A169" s="322" t="s">
        <v>11</v>
      </c>
      <c r="B169" s="41" t="s">
        <v>528</v>
      </c>
      <c r="C169" s="317"/>
      <c r="D169" s="318"/>
      <c r="E169" s="61"/>
      <c r="F169" s="61"/>
      <c r="G169" s="61"/>
      <c r="H169" s="317"/>
      <c r="I169" s="318"/>
      <c r="J169" s="61"/>
      <c r="K169" s="61"/>
      <c r="L169" s="61"/>
      <c r="M169" s="317"/>
      <c r="N169" s="318"/>
      <c r="O169" s="61"/>
      <c r="P169" s="61"/>
      <c r="Q169" s="61"/>
      <c r="R169" s="317"/>
      <c r="S169" s="318"/>
      <c r="T169" s="61"/>
      <c r="U169" s="61"/>
      <c r="V169" s="61"/>
      <c r="W169" s="317"/>
      <c r="X169" s="318"/>
      <c r="Y169" s="61"/>
      <c r="Z169" s="61"/>
      <c r="AA169" s="61"/>
      <c r="AB169" s="317"/>
    </row>
    <row r="170" spans="1:28" ht="18" customHeight="1" x14ac:dyDescent="0.2">
      <c r="A170" s="323"/>
      <c r="B170" s="41" t="s">
        <v>529</v>
      </c>
      <c r="C170" s="315"/>
      <c r="D170" s="313"/>
      <c r="E170" s="61"/>
      <c r="F170" s="61"/>
      <c r="G170" s="61"/>
      <c r="H170" s="315"/>
      <c r="I170" s="313"/>
      <c r="J170" s="61"/>
      <c r="K170" s="61"/>
      <c r="L170" s="61"/>
      <c r="M170" s="315"/>
      <c r="N170" s="313"/>
      <c r="O170" s="61"/>
      <c r="P170" s="61"/>
      <c r="Q170" s="61"/>
      <c r="R170" s="315"/>
      <c r="S170" s="313"/>
      <c r="T170" s="61"/>
      <c r="U170" s="61"/>
      <c r="V170" s="61"/>
      <c r="W170" s="315"/>
      <c r="X170" s="313"/>
      <c r="Y170" s="61"/>
      <c r="Z170" s="61"/>
      <c r="AA170" s="61"/>
      <c r="AB170" s="315"/>
    </row>
    <row r="171" spans="1:28" ht="18" customHeight="1" x14ac:dyDescent="0.2">
      <c r="A171" s="323"/>
      <c r="B171" s="41" t="s">
        <v>530</v>
      </c>
      <c r="C171" s="315"/>
      <c r="D171" s="313"/>
      <c r="E171" s="61"/>
      <c r="F171" s="61"/>
      <c r="G171" s="61"/>
      <c r="H171" s="315"/>
      <c r="I171" s="313"/>
      <c r="J171" s="61"/>
      <c r="K171" s="61"/>
      <c r="L171" s="61"/>
      <c r="M171" s="315"/>
      <c r="N171" s="313"/>
      <c r="O171" s="61"/>
      <c r="P171" s="61"/>
      <c r="Q171" s="61"/>
      <c r="R171" s="315"/>
      <c r="S171" s="313"/>
      <c r="T171" s="61"/>
      <c r="U171" s="61"/>
      <c r="V171" s="61"/>
      <c r="W171" s="315"/>
      <c r="X171" s="313"/>
      <c r="Y171" s="61"/>
      <c r="Z171" s="61"/>
      <c r="AA171" s="61"/>
      <c r="AB171" s="315"/>
    </row>
    <row r="172" spans="1:28" ht="18" customHeight="1" x14ac:dyDescent="0.2">
      <c r="A172" s="323"/>
      <c r="B172" s="41" t="s">
        <v>531</v>
      </c>
      <c r="C172" s="315"/>
      <c r="D172" s="313"/>
      <c r="E172" s="61"/>
      <c r="F172" s="61"/>
      <c r="G172" s="61"/>
      <c r="H172" s="315"/>
      <c r="I172" s="313"/>
      <c r="J172" s="61"/>
      <c r="K172" s="61"/>
      <c r="L172" s="61"/>
      <c r="M172" s="315"/>
      <c r="N172" s="313"/>
      <c r="O172" s="61"/>
      <c r="P172" s="61"/>
      <c r="Q172" s="61"/>
      <c r="R172" s="315"/>
      <c r="S172" s="313"/>
      <c r="T172" s="61"/>
      <c r="U172" s="61"/>
      <c r="V172" s="61"/>
      <c r="W172" s="315"/>
      <c r="X172" s="313"/>
      <c r="Y172" s="61"/>
      <c r="Z172" s="61"/>
      <c r="AA172" s="61"/>
      <c r="AB172" s="315"/>
    </row>
    <row r="173" spans="1:28" ht="18" customHeight="1" x14ac:dyDescent="0.2">
      <c r="A173" s="323"/>
      <c r="B173" s="41" t="s">
        <v>532</v>
      </c>
      <c r="C173" s="315"/>
      <c r="D173" s="313"/>
      <c r="E173" s="61"/>
      <c r="F173" s="61"/>
      <c r="G173" s="61"/>
      <c r="H173" s="315"/>
      <c r="I173" s="313"/>
      <c r="J173" s="61"/>
      <c r="K173" s="61"/>
      <c r="L173" s="61"/>
      <c r="M173" s="315"/>
      <c r="N173" s="313"/>
      <c r="O173" s="61"/>
      <c r="P173" s="61"/>
      <c r="Q173" s="61"/>
      <c r="R173" s="315"/>
      <c r="S173" s="313"/>
      <c r="T173" s="61"/>
      <c r="U173" s="61"/>
      <c r="V173" s="61"/>
      <c r="W173" s="315"/>
      <c r="X173" s="313"/>
      <c r="Y173" s="61"/>
      <c r="Z173" s="61"/>
      <c r="AA173" s="61"/>
      <c r="AB173" s="315"/>
    </row>
    <row r="174" spans="1:28" ht="18" customHeight="1" x14ac:dyDescent="0.2">
      <c r="A174" s="323"/>
      <c r="B174" s="41" t="s">
        <v>533</v>
      </c>
      <c r="C174" s="315"/>
      <c r="D174" s="313"/>
      <c r="E174" s="61"/>
      <c r="F174" s="61"/>
      <c r="G174" s="61"/>
      <c r="H174" s="315"/>
      <c r="I174" s="313"/>
      <c r="J174" s="61"/>
      <c r="K174" s="61"/>
      <c r="L174" s="61"/>
      <c r="M174" s="315"/>
      <c r="N174" s="313"/>
      <c r="O174" s="61"/>
      <c r="P174" s="61"/>
      <c r="Q174" s="61"/>
      <c r="R174" s="315"/>
      <c r="S174" s="313"/>
      <c r="T174" s="61"/>
      <c r="U174" s="61"/>
      <c r="V174" s="61"/>
      <c r="W174" s="315"/>
      <c r="X174" s="313"/>
      <c r="Y174" s="61"/>
      <c r="Z174" s="61"/>
      <c r="AA174" s="61"/>
      <c r="AB174" s="315"/>
    </row>
    <row r="175" spans="1:28" ht="20.25" customHeight="1" x14ac:dyDescent="0.2">
      <c r="A175" s="323"/>
      <c r="B175" s="41" t="s">
        <v>534</v>
      </c>
      <c r="C175" s="315"/>
      <c r="D175" s="313"/>
      <c r="E175" s="61"/>
      <c r="F175" s="61"/>
      <c r="G175" s="61"/>
      <c r="H175" s="315"/>
      <c r="I175" s="313"/>
      <c r="J175" s="61"/>
      <c r="K175" s="61"/>
      <c r="L175" s="61"/>
      <c r="M175" s="315"/>
      <c r="N175" s="313"/>
      <c r="O175" s="61"/>
      <c r="P175" s="61"/>
      <c r="Q175" s="61"/>
      <c r="R175" s="315"/>
      <c r="S175" s="313"/>
      <c r="T175" s="61"/>
      <c r="U175" s="61"/>
      <c r="V175" s="61"/>
      <c r="W175" s="315"/>
      <c r="X175" s="313"/>
      <c r="Y175" s="61"/>
      <c r="Z175" s="61"/>
      <c r="AA175" s="61"/>
      <c r="AB175" s="315"/>
    </row>
    <row r="176" spans="1:28" ht="18" customHeight="1" x14ac:dyDescent="0.2">
      <c r="A176" s="323"/>
      <c r="B176" s="41" t="s">
        <v>535</v>
      </c>
      <c r="C176" s="315"/>
      <c r="D176" s="313"/>
      <c r="E176" s="61"/>
      <c r="F176" s="61"/>
      <c r="G176" s="61"/>
      <c r="H176" s="315"/>
      <c r="I176" s="313"/>
      <c r="J176" s="61"/>
      <c r="K176" s="61"/>
      <c r="L176" s="61"/>
      <c r="M176" s="315"/>
      <c r="N176" s="313"/>
      <c r="O176" s="61"/>
      <c r="P176" s="61"/>
      <c r="Q176" s="61"/>
      <c r="R176" s="315"/>
      <c r="S176" s="313"/>
      <c r="T176" s="61"/>
      <c r="U176" s="61"/>
      <c r="V176" s="61"/>
      <c r="W176" s="315"/>
      <c r="X176" s="313"/>
      <c r="Y176" s="61"/>
      <c r="Z176" s="61"/>
      <c r="AA176" s="61"/>
      <c r="AB176" s="315"/>
    </row>
    <row r="177" spans="1:28" ht="18" customHeight="1" x14ac:dyDescent="0.2">
      <c r="A177" s="323"/>
      <c r="B177" s="41" t="s">
        <v>536</v>
      </c>
      <c r="C177" s="315"/>
      <c r="D177" s="313"/>
      <c r="E177" s="61"/>
      <c r="F177" s="61"/>
      <c r="G177" s="61"/>
      <c r="H177" s="315"/>
      <c r="I177" s="313"/>
      <c r="J177" s="61"/>
      <c r="K177" s="61"/>
      <c r="L177" s="61"/>
      <c r="M177" s="315"/>
      <c r="N177" s="313"/>
      <c r="O177" s="61"/>
      <c r="P177" s="61"/>
      <c r="Q177" s="61"/>
      <c r="R177" s="315"/>
      <c r="S177" s="313"/>
      <c r="T177" s="61"/>
      <c r="U177" s="61"/>
      <c r="V177" s="61"/>
      <c r="W177" s="315"/>
      <c r="X177" s="313"/>
      <c r="Y177" s="61"/>
      <c r="Z177" s="61"/>
      <c r="AA177" s="61"/>
      <c r="AB177" s="315"/>
    </row>
    <row r="178" spans="1:28" ht="18" customHeight="1" x14ac:dyDescent="0.2">
      <c r="A178" s="323"/>
      <c r="B178" s="41" t="s">
        <v>537</v>
      </c>
      <c r="C178" s="315"/>
      <c r="D178" s="313"/>
      <c r="E178" s="61"/>
      <c r="F178" s="61"/>
      <c r="G178" s="61"/>
      <c r="H178" s="315"/>
      <c r="I178" s="313"/>
      <c r="J178" s="61"/>
      <c r="K178" s="61"/>
      <c r="L178" s="61"/>
      <c r="M178" s="315"/>
      <c r="N178" s="313"/>
      <c r="O178" s="61"/>
      <c r="P178" s="61"/>
      <c r="Q178" s="61"/>
      <c r="R178" s="315"/>
      <c r="S178" s="313"/>
      <c r="T178" s="61"/>
      <c r="U178" s="61"/>
      <c r="V178" s="61"/>
      <c r="W178" s="315"/>
      <c r="X178" s="313"/>
      <c r="Y178" s="61"/>
      <c r="Z178" s="61"/>
      <c r="AA178" s="61"/>
      <c r="AB178" s="315"/>
    </row>
    <row r="179" spans="1:28" ht="18" customHeight="1" x14ac:dyDescent="0.2">
      <c r="A179" s="323"/>
      <c r="B179" s="41" t="s">
        <v>538</v>
      </c>
      <c r="C179" s="315"/>
      <c r="D179" s="313"/>
      <c r="E179" s="61"/>
      <c r="F179" s="61"/>
      <c r="G179" s="61"/>
      <c r="H179" s="315"/>
      <c r="I179" s="313"/>
      <c r="J179" s="61"/>
      <c r="K179" s="61"/>
      <c r="L179" s="61"/>
      <c r="M179" s="315"/>
      <c r="N179" s="313"/>
      <c r="O179" s="61"/>
      <c r="P179" s="61"/>
      <c r="Q179" s="61"/>
      <c r="R179" s="315"/>
      <c r="S179" s="313"/>
      <c r="T179" s="61"/>
      <c r="U179" s="61"/>
      <c r="V179" s="61"/>
      <c r="W179" s="315"/>
      <c r="X179" s="313"/>
      <c r="Y179" s="61"/>
      <c r="Z179" s="61"/>
      <c r="AA179" s="61"/>
      <c r="AB179" s="315"/>
    </row>
    <row r="180" spans="1:28" ht="18" customHeight="1" x14ac:dyDescent="0.2">
      <c r="A180" s="323"/>
      <c r="B180" s="41" t="s">
        <v>539</v>
      </c>
      <c r="C180" s="315"/>
      <c r="D180" s="313"/>
      <c r="E180" s="61"/>
      <c r="F180" s="61"/>
      <c r="G180" s="61"/>
      <c r="H180" s="315"/>
      <c r="I180" s="313"/>
      <c r="J180" s="61"/>
      <c r="K180" s="61"/>
      <c r="L180" s="61"/>
      <c r="M180" s="315"/>
      <c r="N180" s="313"/>
      <c r="O180" s="61"/>
      <c r="P180" s="61"/>
      <c r="Q180" s="61"/>
      <c r="R180" s="315"/>
      <c r="S180" s="313"/>
      <c r="T180" s="61"/>
      <c r="U180" s="61"/>
      <c r="V180" s="61"/>
      <c r="W180" s="315"/>
      <c r="X180" s="313"/>
      <c r="Y180" s="61"/>
      <c r="Z180" s="61"/>
      <c r="AA180" s="61"/>
      <c r="AB180" s="315"/>
    </row>
    <row r="181" spans="1:28" ht="18" customHeight="1" x14ac:dyDescent="0.2">
      <c r="A181" s="323"/>
      <c r="B181" s="41" t="s">
        <v>540</v>
      </c>
      <c r="C181" s="315"/>
      <c r="D181" s="313"/>
      <c r="E181" s="61"/>
      <c r="F181" s="61"/>
      <c r="G181" s="61"/>
      <c r="H181" s="315"/>
      <c r="I181" s="313"/>
      <c r="J181" s="61"/>
      <c r="K181" s="61"/>
      <c r="L181" s="61"/>
      <c r="M181" s="315"/>
      <c r="N181" s="313"/>
      <c r="O181" s="61"/>
      <c r="P181" s="61"/>
      <c r="Q181" s="61"/>
      <c r="R181" s="315"/>
      <c r="S181" s="313"/>
      <c r="T181" s="61"/>
      <c r="U181" s="61"/>
      <c r="V181" s="61"/>
      <c r="W181" s="315"/>
      <c r="X181" s="313"/>
      <c r="Y181" s="61"/>
      <c r="Z181" s="61"/>
      <c r="AA181" s="61"/>
      <c r="AB181" s="315"/>
    </row>
    <row r="182" spans="1:28" ht="18" customHeight="1" x14ac:dyDescent="0.2">
      <c r="A182" s="323"/>
      <c r="B182" s="41" t="s">
        <v>541</v>
      </c>
      <c r="C182" s="315"/>
      <c r="D182" s="313"/>
      <c r="E182" s="61"/>
      <c r="F182" s="61"/>
      <c r="G182" s="61"/>
      <c r="H182" s="315"/>
      <c r="I182" s="313"/>
      <c r="J182" s="61"/>
      <c r="K182" s="61"/>
      <c r="L182" s="61"/>
      <c r="M182" s="315"/>
      <c r="N182" s="313"/>
      <c r="O182" s="61"/>
      <c r="P182" s="61"/>
      <c r="Q182" s="61"/>
      <c r="R182" s="315"/>
      <c r="S182" s="313"/>
      <c r="T182" s="61"/>
      <c r="U182" s="61"/>
      <c r="V182" s="61"/>
      <c r="W182" s="315"/>
      <c r="X182" s="313"/>
      <c r="Y182" s="61"/>
      <c r="Z182" s="61"/>
      <c r="AA182" s="61"/>
      <c r="AB182" s="315"/>
    </row>
    <row r="183" spans="1:28" ht="18" customHeight="1" x14ac:dyDescent="0.2">
      <c r="A183" s="323"/>
      <c r="B183" s="41" t="s">
        <v>542</v>
      </c>
      <c r="C183" s="315"/>
      <c r="D183" s="313"/>
      <c r="E183" s="61"/>
      <c r="F183" s="61"/>
      <c r="G183" s="61"/>
      <c r="H183" s="315"/>
      <c r="I183" s="313"/>
      <c r="J183" s="61"/>
      <c r="K183" s="61"/>
      <c r="L183" s="61"/>
      <c r="M183" s="315"/>
      <c r="N183" s="313"/>
      <c r="O183" s="61"/>
      <c r="P183" s="61"/>
      <c r="Q183" s="61"/>
      <c r="R183" s="315"/>
      <c r="S183" s="313"/>
      <c r="T183" s="61"/>
      <c r="U183" s="61"/>
      <c r="V183" s="61"/>
      <c r="W183" s="315"/>
      <c r="X183" s="313"/>
      <c r="Y183" s="61"/>
      <c r="Z183" s="61"/>
      <c r="AA183" s="61"/>
      <c r="AB183" s="315"/>
    </row>
    <row r="184" spans="1:28" ht="18" customHeight="1" x14ac:dyDescent="0.2">
      <c r="A184" s="323"/>
      <c r="B184" s="41" t="s">
        <v>543</v>
      </c>
      <c r="C184" s="315"/>
      <c r="D184" s="313"/>
      <c r="E184" s="61"/>
      <c r="F184" s="61"/>
      <c r="G184" s="61"/>
      <c r="H184" s="315"/>
      <c r="I184" s="313"/>
      <c r="J184" s="61"/>
      <c r="K184" s="61"/>
      <c r="L184" s="61"/>
      <c r="M184" s="315"/>
      <c r="N184" s="313"/>
      <c r="O184" s="61"/>
      <c r="P184" s="61"/>
      <c r="Q184" s="61"/>
      <c r="R184" s="315"/>
      <c r="S184" s="313"/>
      <c r="T184" s="61"/>
      <c r="U184" s="61"/>
      <c r="V184" s="61"/>
      <c r="W184" s="315"/>
      <c r="X184" s="313"/>
      <c r="Y184" s="61"/>
      <c r="Z184" s="61"/>
      <c r="AA184" s="61"/>
      <c r="AB184" s="315"/>
    </row>
    <row r="185" spans="1:28" ht="18" customHeight="1" x14ac:dyDescent="0.2">
      <c r="A185" s="323"/>
      <c r="B185" s="41" t="s">
        <v>544</v>
      </c>
      <c r="C185" s="315"/>
      <c r="D185" s="313"/>
      <c r="E185" s="61"/>
      <c r="F185" s="61"/>
      <c r="G185" s="61"/>
      <c r="H185" s="315"/>
      <c r="I185" s="313"/>
      <c r="J185" s="61"/>
      <c r="K185" s="61"/>
      <c r="L185" s="61"/>
      <c r="M185" s="315"/>
      <c r="N185" s="313"/>
      <c r="O185" s="61"/>
      <c r="P185" s="61"/>
      <c r="Q185" s="61"/>
      <c r="R185" s="315"/>
      <c r="S185" s="313"/>
      <c r="T185" s="61"/>
      <c r="U185" s="61"/>
      <c r="V185" s="61"/>
      <c r="W185" s="315"/>
      <c r="X185" s="313"/>
      <c r="Y185" s="61"/>
      <c r="Z185" s="61"/>
      <c r="AA185" s="61"/>
      <c r="AB185" s="315"/>
    </row>
    <row r="186" spans="1:28" ht="18" customHeight="1" x14ac:dyDescent="0.2">
      <c r="A186" s="323"/>
      <c r="B186" s="41" t="s">
        <v>545</v>
      </c>
      <c r="C186" s="315"/>
      <c r="D186" s="313"/>
      <c r="E186" s="61"/>
      <c r="F186" s="61"/>
      <c r="G186" s="61"/>
      <c r="H186" s="315"/>
      <c r="I186" s="313"/>
      <c r="J186" s="61"/>
      <c r="K186" s="61"/>
      <c r="L186" s="61"/>
      <c r="M186" s="315"/>
      <c r="N186" s="313"/>
      <c r="O186" s="61"/>
      <c r="P186" s="61"/>
      <c r="Q186" s="61"/>
      <c r="R186" s="315"/>
      <c r="S186" s="313"/>
      <c r="T186" s="61"/>
      <c r="U186" s="61"/>
      <c r="V186" s="61"/>
      <c r="W186" s="315"/>
      <c r="X186" s="313"/>
      <c r="Y186" s="61"/>
      <c r="Z186" s="61"/>
      <c r="AA186" s="61"/>
      <c r="AB186" s="315"/>
    </row>
    <row r="187" spans="1:28" ht="18" customHeight="1" x14ac:dyDescent="0.2">
      <c r="A187" s="323"/>
      <c r="B187" s="41" t="s">
        <v>546</v>
      </c>
      <c r="C187" s="315"/>
      <c r="D187" s="313"/>
      <c r="E187" s="61"/>
      <c r="F187" s="61"/>
      <c r="G187" s="61"/>
      <c r="H187" s="315"/>
      <c r="I187" s="313"/>
      <c r="J187" s="61"/>
      <c r="K187" s="61"/>
      <c r="L187" s="61"/>
      <c r="M187" s="315"/>
      <c r="N187" s="313"/>
      <c r="O187" s="61"/>
      <c r="P187" s="61"/>
      <c r="Q187" s="61"/>
      <c r="R187" s="315"/>
      <c r="S187" s="313"/>
      <c r="T187" s="61"/>
      <c r="U187" s="61"/>
      <c r="V187" s="61"/>
      <c r="W187" s="315"/>
      <c r="X187" s="313"/>
      <c r="Y187" s="61"/>
      <c r="Z187" s="61"/>
      <c r="AA187" s="61"/>
      <c r="AB187" s="315"/>
    </row>
    <row r="188" spans="1:28" ht="18" customHeight="1" x14ac:dyDescent="0.2">
      <c r="A188" s="323"/>
      <c r="B188" s="41" t="s">
        <v>547</v>
      </c>
      <c r="C188" s="315"/>
      <c r="D188" s="313"/>
      <c r="E188" s="61"/>
      <c r="F188" s="61"/>
      <c r="G188" s="61"/>
      <c r="H188" s="315"/>
      <c r="I188" s="313"/>
      <c r="J188" s="61"/>
      <c r="K188" s="61"/>
      <c r="L188" s="61"/>
      <c r="M188" s="315"/>
      <c r="N188" s="313"/>
      <c r="O188" s="61"/>
      <c r="P188" s="61"/>
      <c r="Q188" s="61"/>
      <c r="R188" s="315"/>
      <c r="S188" s="313"/>
      <c r="T188" s="61"/>
      <c r="U188" s="61"/>
      <c r="V188" s="61"/>
      <c r="W188" s="315"/>
      <c r="X188" s="313"/>
      <c r="Y188" s="61"/>
      <c r="Z188" s="61"/>
      <c r="AA188" s="61"/>
      <c r="AB188" s="315"/>
    </row>
    <row r="189" spans="1:28" ht="18" customHeight="1" x14ac:dyDescent="0.2">
      <c r="A189" s="323"/>
      <c r="B189" s="41" t="s">
        <v>548</v>
      </c>
      <c r="C189" s="315"/>
      <c r="D189" s="313"/>
      <c r="E189" s="61"/>
      <c r="F189" s="61"/>
      <c r="G189" s="61"/>
      <c r="H189" s="315"/>
      <c r="I189" s="313"/>
      <c r="J189" s="61"/>
      <c r="K189" s="61"/>
      <c r="L189" s="61"/>
      <c r="M189" s="315"/>
      <c r="N189" s="313"/>
      <c r="O189" s="61"/>
      <c r="P189" s="61"/>
      <c r="Q189" s="61"/>
      <c r="R189" s="315"/>
      <c r="S189" s="313"/>
      <c r="T189" s="61"/>
      <c r="U189" s="61"/>
      <c r="V189" s="61"/>
      <c r="W189" s="315"/>
      <c r="X189" s="313"/>
      <c r="Y189" s="61"/>
      <c r="Z189" s="61"/>
      <c r="AA189" s="61"/>
      <c r="AB189" s="315"/>
    </row>
    <row r="190" spans="1:28" ht="18" customHeight="1" x14ac:dyDescent="0.2">
      <c r="A190" s="323"/>
      <c r="B190" s="41" t="s">
        <v>549</v>
      </c>
      <c r="C190" s="315"/>
      <c r="D190" s="313"/>
      <c r="E190" s="61"/>
      <c r="F190" s="61"/>
      <c r="G190" s="61"/>
      <c r="H190" s="315"/>
      <c r="I190" s="313"/>
      <c r="J190" s="61"/>
      <c r="K190" s="61"/>
      <c r="L190" s="61"/>
      <c r="M190" s="315"/>
      <c r="N190" s="313"/>
      <c r="O190" s="61"/>
      <c r="P190" s="61"/>
      <c r="Q190" s="61"/>
      <c r="R190" s="315"/>
      <c r="S190" s="313"/>
      <c r="T190" s="61"/>
      <c r="U190" s="61"/>
      <c r="V190" s="61"/>
      <c r="W190" s="315"/>
      <c r="X190" s="313"/>
      <c r="Y190" s="61"/>
      <c r="Z190" s="61"/>
      <c r="AA190" s="61"/>
      <c r="AB190" s="315"/>
    </row>
    <row r="191" spans="1:28" ht="18" customHeight="1" x14ac:dyDescent="0.2">
      <c r="A191" s="323"/>
      <c r="B191" s="41" t="s">
        <v>550</v>
      </c>
      <c r="C191" s="315"/>
      <c r="D191" s="313"/>
      <c r="E191" s="61"/>
      <c r="F191" s="61"/>
      <c r="G191" s="61"/>
      <c r="H191" s="315"/>
      <c r="I191" s="313"/>
      <c r="J191" s="61"/>
      <c r="K191" s="61"/>
      <c r="L191" s="61"/>
      <c r="M191" s="315"/>
      <c r="N191" s="313"/>
      <c r="O191" s="61"/>
      <c r="P191" s="61"/>
      <c r="Q191" s="61"/>
      <c r="R191" s="315"/>
      <c r="S191" s="313"/>
      <c r="T191" s="61"/>
      <c r="U191" s="61"/>
      <c r="V191" s="61"/>
      <c r="W191" s="315"/>
      <c r="X191" s="313"/>
      <c r="Y191" s="61"/>
      <c r="Z191" s="61"/>
      <c r="AA191" s="61"/>
      <c r="AB191" s="315"/>
    </row>
    <row r="192" spans="1:28" ht="18" customHeight="1" x14ac:dyDescent="0.2">
      <c r="A192" s="323"/>
      <c r="B192" s="41" t="s">
        <v>551</v>
      </c>
      <c r="C192" s="315"/>
      <c r="D192" s="313"/>
      <c r="E192" s="61"/>
      <c r="F192" s="61"/>
      <c r="G192" s="61"/>
      <c r="H192" s="315"/>
      <c r="I192" s="313"/>
      <c r="J192" s="61"/>
      <c r="K192" s="61"/>
      <c r="L192" s="61"/>
      <c r="M192" s="315"/>
      <c r="N192" s="313"/>
      <c r="O192" s="61"/>
      <c r="P192" s="61"/>
      <c r="Q192" s="61"/>
      <c r="R192" s="315"/>
      <c r="S192" s="313"/>
      <c r="T192" s="61"/>
      <c r="U192" s="61"/>
      <c r="V192" s="61"/>
      <c r="W192" s="315"/>
      <c r="X192" s="313"/>
      <c r="Y192" s="61"/>
      <c r="Z192" s="61"/>
      <c r="AA192" s="61"/>
      <c r="AB192" s="315"/>
    </row>
    <row r="193" spans="1:28" ht="18" customHeight="1" x14ac:dyDescent="0.2">
      <c r="A193" s="323"/>
      <c r="B193" s="41" t="s">
        <v>552</v>
      </c>
      <c r="C193" s="315"/>
      <c r="D193" s="313"/>
      <c r="E193" s="61"/>
      <c r="F193" s="61"/>
      <c r="G193" s="61"/>
      <c r="H193" s="315"/>
      <c r="I193" s="313"/>
      <c r="J193" s="61"/>
      <c r="K193" s="61"/>
      <c r="L193" s="61"/>
      <c r="M193" s="315"/>
      <c r="N193" s="313"/>
      <c r="O193" s="61"/>
      <c r="P193" s="61"/>
      <c r="Q193" s="61"/>
      <c r="R193" s="315"/>
      <c r="S193" s="313"/>
      <c r="T193" s="61"/>
      <c r="U193" s="61"/>
      <c r="V193" s="61"/>
      <c r="W193" s="315"/>
      <c r="X193" s="313"/>
      <c r="Y193" s="61"/>
      <c r="Z193" s="61"/>
      <c r="AA193" s="61"/>
      <c r="AB193" s="315"/>
    </row>
    <row r="194" spans="1:28" ht="18" customHeight="1" x14ac:dyDescent="0.2">
      <c r="A194" s="323"/>
      <c r="B194" s="41" t="s">
        <v>553</v>
      </c>
      <c r="C194" s="315"/>
      <c r="D194" s="313"/>
      <c r="E194" s="61"/>
      <c r="F194" s="61"/>
      <c r="G194" s="61"/>
      <c r="H194" s="315"/>
      <c r="I194" s="313"/>
      <c r="J194" s="61"/>
      <c r="K194" s="61"/>
      <c r="L194" s="61"/>
      <c r="M194" s="315"/>
      <c r="N194" s="313"/>
      <c r="O194" s="61"/>
      <c r="P194" s="61"/>
      <c r="Q194" s="61"/>
      <c r="R194" s="315"/>
      <c r="S194" s="313"/>
      <c r="T194" s="61"/>
      <c r="U194" s="61"/>
      <c r="V194" s="61"/>
      <c r="W194" s="315"/>
      <c r="X194" s="313"/>
      <c r="Y194" s="61"/>
      <c r="Z194" s="61"/>
      <c r="AA194" s="61"/>
      <c r="AB194" s="315"/>
    </row>
    <row r="195" spans="1:28" ht="18" customHeight="1" x14ac:dyDescent="0.2">
      <c r="A195" s="323"/>
      <c r="B195" s="41" t="s">
        <v>554</v>
      </c>
      <c r="C195" s="315"/>
      <c r="D195" s="313"/>
      <c r="E195" s="61"/>
      <c r="F195" s="61"/>
      <c r="G195" s="61"/>
      <c r="H195" s="315"/>
      <c r="I195" s="313"/>
      <c r="J195" s="61"/>
      <c r="K195" s="61"/>
      <c r="L195" s="61"/>
      <c r="M195" s="315"/>
      <c r="N195" s="313"/>
      <c r="O195" s="61"/>
      <c r="P195" s="61"/>
      <c r="Q195" s="61"/>
      <c r="R195" s="315"/>
      <c r="S195" s="313"/>
      <c r="T195" s="61"/>
      <c r="U195" s="61"/>
      <c r="V195" s="61"/>
      <c r="W195" s="315"/>
      <c r="X195" s="313"/>
      <c r="Y195" s="61"/>
      <c r="Z195" s="61"/>
      <c r="AA195" s="61"/>
      <c r="AB195" s="315"/>
    </row>
    <row r="196" spans="1:28" ht="18" customHeight="1" x14ac:dyDescent="0.2">
      <c r="A196" s="323"/>
      <c r="B196" s="41" t="s">
        <v>555</v>
      </c>
      <c r="C196" s="315"/>
      <c r="D196" s="313"/>
      <c r="E196" s="61"/>
      <c r="F196" s="61"/>
      <c r="G196" s="61"/>
      <c r="H196" s="315"/>
      <c r="I196" s="313"/>
      <c r="J196" s="61"/>
      <c r="K196" s="61"/>
      <c r="L196" s="61"/>
      <c r="M196" s="315"/>
      <c r="N196" s="313"/>
      <c r="O196" s="61"/>
      <c r="P196" s="61"/>
      <c r="Q196" s="61"/>
      <c r="R196" s="315"/>
      <c r="S196" s="313"/>
      <c r="T196" s="61"/>
      <c r="U196" s="61"/>
      <c r="V196" s="61"/>
      <c r="W196" s="315"/>
      <c r="X196" s="313"/>
      <c r="Y196" s="61"/>
      <c r="Z196" s="61"/>
      <c r="AA196" s="61"/>
      <c r="AB196" s="315"/>
    </row>
    <row r="197" spans="1:28" ht="18" customHeight="1" x14ac:dyDescent="0.2">
      <c r="A197" s="323"/>
      <c r="B197" s="41" t="s">
        <v>556</v>
      </c>
      <c r="C197" s="315"/>
      <c r="D197" s="313"/>
      <c r="E197" s="61"/>
      <c r="F197" s="61"/>
      <c r="G197" s="61"/>
      <c r="H197" s="315"/>
      <c r="I197" s="313"/>
      <c r="J197" s="61"/>
      <c r="K197" s="61"/>
      <c r="L197" s="61"/>
      <c r="M197" s="315"/>
      <c r="N197" s="313"/>
      <c r="O197" s="61"/>
      <c r="P197" s="61"/>
      <c r="Q197" s="61"/>
      <c r="R197" s="315"/>
      <c r="S197" s="313"/>
      <c r="T197" s="61"/>
      <c r="U197" s="61"/>
      <c r="V197" s="61"/>
      <c r="W197" s="315"/>
      <c r="X197" s="313"/>
      <c r="Y197" s="61"/>
      <c r="Z197" s="61"/>
      <c r="AA197" s="61"/>
      <c r="AB197" s="315"/>
    </row>
    <row r="198" spans="1:28" ht="18" customHeight="1" x14ac:dyDescent="0.2">
      <c r="A198" s="323"/>
      <c r="B198" s="41" t="s">
        <v>557</v>
      </c>
      <c r="C198" s="315"/>
      <c r="D198" s="313"/>
      <c r="E198" s="61"/>
      <c r="F198" s="61"/>
      <c r="G198" s="61"/>
      <c r="H198" s="315"/>
      <c r="I198" s="313"/>
      <c r="J198" s="61"/>
      <c r="K198" s="61"/>
      <c r="L198" s="61"/>
      <c r="M198" s="315"/>
      <c r="N198" s="313"/>
      <c r="O198" s="61"/>
      <c r="P198" s="61"/>
      <c r="Q198" s="61"/>
      <c r="R198" s="315"/>
      <c r="S198" s="313"/>
      <c r="T198" s="61"/>
      <c r="U198" s="61"/>
      <c r="V198" s="61"/>
      <c r="W198" s="315"/>
      <c r="X198" s="313"/>
      <c r="Y198" s="61"/>
      <c r="Z198" s="61"/>
      <c r="AA198" s="61"/>
      <c r="AB198" s="315"/>
    </row>
    <row r="199" spans="1:28" ht="15" customHeight="1" x14ac:dyDescent="0.2">
      <c r="A199" s="323"/>
      <c r="B199" s="41" t="s">
        <v>558</v>
      </c>
      <c r="C199" s="315"/>
      <c r="D199" s="313"/>
      <c r="E199" s="61"/>
      <c r="F199" s="61"/>
      <c r="G199" s="61"/>
      <c r="H199" s="315"/>
      <c r="I199" s="313"/>
      <c r="J199" s="61"/>
      <c r="K199" s="61"/>
      <c r="L199" s="61"/>
      <c r="M199" s="315"/>
      <c r="N199" s="313"/>
      <c r="O199" s="61"/>
      <c r="P199" s="61"/>
      <c r="Q199" s="61"/>
      <c r="R199" s="315"/>
      <c r="S199" s="313"/>
      <c r="T199" s="61"/>
      <c r="U199" s="61"/>
      <c r="V199" s="61"/>
      <c r="W199" s="315"/>
      <c r="X199" s="313"/>
      <c r="Y199" s="61"/>
      <c r="Z199" s="61"/>
      <c r="AA199" s="61"/>
      <c r="AB199" s="315"/>
    </row>
    <row r="200" spans="1:28" ht="14.25" customHeight="1" x14ac:dyDescent="0.2">
      <c r="A200" s="323"/>
      <c r="B200" s="41" t="s">
        <v>559</v>
      </c>
      <c r="C200" s="315"/>
      <c r="D200" s="313"/>
      <c r="E200" s="15"/>
      <c r="F200" s="15"/>
      <c r="G200" s="15"/>
      <c r="H200" s="315"/>
      <c r="I200" s="313"/>
      <c r="J200" s="15"/>
      <c r="K200" s="15"/>
      <c r="L200" s="15"/>
      <c r="M200" s="315"/>
      <c r="N200" s="313"/>
      <c r="O200" s="15"/>
      <c r="P200" s="15"/>
      <c r="Q200" s="15"/>
      <c r="R200" s="315"/>
      <c r="S200" s="313"/>
      <c r="T200" s="15"/>
      <c r="U200" s="15"/>
      <c r="V200" s="15"/>
      <c r="W200" s="315"/>
      <c r="X200" s="313"/>
      <c r="Y200" s="15"/>
      <c r="Z200" s="15"/>
      <c r="AA200" s="15"/>
      <c r="AB200" s="315"/>
    </row>
    <row r="201" spans="1:28" ht="15" customHeight="1" x14ac:dyDescent="0.2">
      <c r="A201" s="323"/>
      <c r="B201" s="41" t="s">
        <v>560</v>
      </c>
      <c r="C201" s="315"/>
      <c r="D201" s="313"/>
      <c r="E201" s="15"/>
      <c r="F201" s="15"/>
      <c r="G201" s="15"/>
      <c r="H201" s="315"/>
      <c r="I201" s="313"/>
      <c r="J201" s="15"/>
      <c r="K201" s="15"/>
      <c r="L201" s="15"/>
      <c r="M201" s="315"/>
      <c r="N201" s="313"/>
      <c r="O201" s="15"/>
      <c r="P201" s="15"/>
      <c r="Q201" s="15"/>
      <c r="R201" s="315"/>
      <c r="S201" s="313"/>
      <c r="T201" s="15"/>
      <c r="U201" s="15"/>
      <c r="V201" s="15"/>
      <c r="W201" s="315"/>
      <c r="X201" s="313"/>
      <c r="Y201" s="15"/>
      <c r="Z201" s="15"/>
      <c r="AA201" s="15"/>
      <c r="AB201" s="315"/>
    </row>
    <row r="202" spans="1:28" ht="15" customHeight="1" x14ac:dyDescent="0.2">
      <c r="A202" s="323"/>
      <c r="B202" s="41" t="s">
        <v>561</v>
      </c>
      <c r="C202" s="315"/>
      <c r="D202" s="313"/>
      <c r="E202" s="15"/>
      <c r="F202" s="15"/>
      <c r="G202" s="15"/>
      <c r="H202" s="315"/>
      <c r="I202" s="313"/>
      <c r="J202" s="15"/>
      <c r="K202" s="15"/>
      <c r="L202" s="15"/>
      <c r="M202" s="315"/>
      <c r="N202" s="313"/>
      <c r="O202" s="15"/>
      <c r="P202" s="15"/>
      <c r="Q202" s="15"/>
      <c r="R202" s="315"/>
      <c r="S202" s="313"/>
      <c r="T202" s="15"/>
      <c r="U202" s="15"/>
      <c r="V202" s="15"/>
      <c r="W202" s="315"/>
      <c r="X202" s="313"/>
      <c r="Y202" s="15"/>
      <c r="Z202" s="15"/>
      <c r="AA202" s="15"/>
      <c r="AB202" s="315"/>
    </row>
    <row r="203" spans="1:28" ht="15" customHeight="1" x14ac:dyDescent="0.2">
      <c r="A203" s="323"/>
      <c r="B203" s="41" t="s">
        <v>562</v>
      </c>
      <c r="C203" s="315"/>
      <c r="D203" s="313"/>
      <c r="E203" s="15"/>
      <c r="F203" s="15"/>
      <c r="G203" s="15"/>
      <c r="H203" s="315"/>
      <c r="I203" s="313"/>
      <c r="J203" s="15"/>
      <c r="K203" s="15"/>
      <c r="L203" s="15"/>
      <c r="M203" s="315"/>
      <c r="N203" s="313"/>
      <c r="O203" s="15"/>
      <c r="P203" s="15"/>
      <c r="Q203" s="15"/>
      <c r="R203" s="315"/>
      <c r="S203" s="313"/>
      <c r="T203" s="15"/>
      <c r="U203" s="15"/>
      <c r="V203" s="15"/>
      <c r="W203" s="315"/>
      <c r="X203" s="313"/>
      <c r="Y203" s="15"/>
      <c r="Z203" s="15"/>
      <c r="AA203" s="15"/>
      <c r="AB203" s="315"/>
    </row>
    <row r="204" spans="1:28" ht="18" customHeight="1" x14ac:dyDescent="0.2">
      <c r="A204" s="323"/>
      <c r="B204" s="41" t="s">
        <v>563</v>
      </c>
      <c r="C204" s="315"/>
      <c r="D204" s="313"/>
      <c r="E204" s="15"/>
      <c r="F204" s="15"/>
      <c r="G204" s="15"/>
      <c r="H204" s="315"/>
      <c r="I204" s="313"/>
      <c r="J204" s="15"/>
      <c r="K204" s="15"/>
      <c r="L204" s="15"/>
      <c r="M204" s="315"/>
      <c r="N204" s="313"/>
      <c r="O204" s="15"/>
      <c r="P204" s="15"/>
      <c r="Q204" s="15"/>
      <c r="R204" s="315"/>
      <c r="S204" s="313"/>
      <c r="T204" s="15"/>
      <c r="U204" s="15"/>
      <c r="V204" s="15"/>
      <c r="W204" s="315"/>
      <c r="X204" s="313"/>
      <c r="Y204" s="15"/>
      <c r="Z204" s="15"/>
      <c r="AA204" s="15"/>
      <c r="AB204" s="315"/>
    </row>
    <row r="205" spans="1:28" ht="18" customHeight="1" x14ac:dyDescent="0.2">
      <c r="A205" s="323"/>
      <c r="B205" s="41" t="s">
        <v>564</v>
      </c>
      <c r="C205" s="315"/>
      <c r="D205" s="313"/>
      <c r="E205" s="15"/>
      <c r="F205" s="15"/>
      <c r="G205" s="15"/>
      <c r="H205" s="315"/>
      <c r="I205" s="313"/>
      <c r="J205" s="15"/>
      <c r="K205" s="15"/>
      <c r="L205" s="15"/>
      <c r="M205" s="315"/>
      <c r="N205" s="313"/>
      <c r="O205" s="15"/>
      <c r="P205" s="15"/>
      <c r="Q205" s="15"/>
      <c r="R205" s="315"/>
      <c r="S205" s="313"/>
      <c r="T205" s="15"/>
      <c r="U205" s="15"/>
      <c r="V205" s="15"/>
      <c r="W205" s="315"/>
      <c r="X205" s="313"/>
      <c r="Y205" s="15"/>
      <c r="Z205" s="15"/>
      <c r="AA205" s="15"/>
      <c r="AB205" s="315"/>
    </row>
    <row r="206" spans="1:28" ht="18" customHeight="1" x14ac:dyDescent="0.2">
      <c r="A206" s="323"/>
      <c r="B206" s="41" t="s">
        <v>820</v>
      </c>
      <c r="C206" s="315"/>
      <c r="D206" s="313"/>
      <c r="E206" s="15"/>
      <c r="F206" s="15"/>
      <c r="G206" s="15"/>
      <c r="H206" s="315"/>
      <c r="I206" s="313"/>
      <c r="J206" s="15"/>
      <c r="K206" s="15"/>
      <c r="L206" s="15"/>
      <c r="M206" s="315"/>
      <c r="N206" s="313"/>
      <c r="O206" s="15"/>
      <c r="P206" s="15"/>
      <c r="Q206" s="15"/>
      <c r="R206" s="315"/>
      <c r="S206" s="313"/>
      <c r="T206" s="15"/>
      <c r="U206" s="15"/>
      <c r="V206" s="15"/>
      <c r="W206" s="315"/>
      <c r="X206" s="313"/>
      <c r="Y206" s="15"/>
      <c r="Z206" s="15"/>
      <c r="AA206" s="15"/>
      <c r="AB206" s="315"/>
    </row>
    <row r="207" spans="1:28" ht="18" customHeight="1" x14ac:dyDescent="0.2">
      <c r="A207" s="323"/>
      <c r="B207" s="41" t="s">
        <v>530</v>
      </c>
      <c r="C207" s="315"/>
      <c r="D207" s="313"/>
      <c r="E207" s="15"/>
      <c r="F207" s="15"/>
      <c r="G207" s="15"/>
      <c r="H207" s="315"/>
      <c r="I207" s="313"/>
      <c r="J207" s="15"/>
      <c r="K207" s="15"/>
      <c r="L207" s="15"/>
      <c r="M207" s="315"/>
      <c r="N207" s="313"/>
      <c r="O207" s="15"/>
      <c r="P207" s="15"/>
      <c r="Q207" s="15"/>
      <c r="R207" s="315"/>
      <c r="S207" s="313"/>
      <c r="T207" s="15"/>
      <c r="U207" s="15"/>
      <c r="V207" s="15"/>
      <c r="W207" s="315"/>
      <c r="X207" s="313"/>
      <c r="Y207" s="15"/>
      <c r="Z207" s="15"/>
      <c r="AA207" s="15"/>
      <c r="AB207" s="315"/>
    </row>
    <row r="208" spans="1:28" ht="18" customHeight="1" x14ac:dyDescent="0.2">
      <c r="A208" s="323"/>
      <c r="B208" s="41" t="s">
        <v>821</v>
      </c>
      <c r="C208" s="315"/>
      <c r="D208" s="313"/>
      <c r="E208" s="15"/>
      <c r="F208" s="15"/>
      <c r="G208" s="15"/>
      <c r="H208" s="315"/>
      <c r="I208" s="313"/>
      <c r="J208" s="15"/>
      <c r="K208" s="15"/>
      <c r="L208" s="15"/>
      <c r="M208" s="315"/>
      <c r="N208" s="313"/>
      <c r="O208" s="15"/>
      <c r="P208" s="15"/>
      <c r="Q208" s="15"/>
      <c r="R208" s="315"/>
      <c r="S208" s="313"/>
      <c r="T208" s="15"/>
      <c r="U208" s="15"/>
      <c r="V208" s="15"/>
      <c r="W208" s="315"/>
      <c r="X208" s="313"/>
      <c r="Y208" s="15"/>
      <c r="Z208" s="15"/>
      <c r="AA208" s="15"/>
      <c r="AB208" s="315"/>
    </row>
    <row r="209" spans="1:28" ht="18" customHeight="1" x14ac:dyDescent="0.2">
      <c r="A209" s="323"/>
      <c r="B209" s="41" t="s">
        <v>822</v>
      </c>
      <c r="C209" s="315"/>
      <c r="D209" s="313"/>
      <c r="E209" s="15"/>
      <c r="F209" s="15"/>
      <c r="G209" s="15"/>
      <c r="H209" s="315"/>
      <c r="I209" s="313"/>
      <c r="J209" s="15"/>
      <c r="K209" s="15"/>
      <c r="L209" s="15"/>
      <c r="M209" s="315"/>
      <c r="N209" s="313"/>
      <c r="O209" s="15"/>
      <c r="P209" s="15"/>
      <c r="Q209" s="15"/>
      <c r="R209" s="315"/>
      <c r="S209" s="313"/>
      <c r="T209" s="15"/>
      <c r="U209" s="15"/>
      <c r="V209" s="15"/>
      <c r="W209" s="315"/>
      <c r="X209" s="313"/>
      <c r="Y209" s="15"/>
      <c r="Z209" s="15"/>
      <c r="AA209" s="15"/>
      <c r="AB209" s="315"/>
    </row>
    <row r="210" spans="1:28" ht="18" customHeight="1" x14ac:dyDescent="0.2">
      <c r="A210" s="323"/>
      <c r="B210" s="41" t="s">
        <v>823</v>
      </c>
      <c r="C210" s="315"/>
      <c r="D210" s="313"/>
      <c r="E210" s="15"/>
      <c r="F210" s="15"/>
      <c r="G210" s="15"/>
      <c r="H210" s="315"/>
      <c r="I210" s="313"/>
      <c r="J210" s="15"/>
      <c r="K210" s="15"/>
      <c r="L210" s="15"/>
      <c r="M210" s="315"/>
      <c r="N210" s="313"/>
      <c r="O210" s="15"/>
      <c r="P210" s="15"/>
      <c r="Q210" s="15"/>
      <c r="R210" s="315"/>
      <c r="S210" s="313"/>
      <c r="T210" s="15"/>
      <c r="U210" s="15"/>
      <c r="V210" s="15"/>
      <c r="W210" s="315"/>
      <c r="X210" s="313"/>
      <c r="Y210" s="15"/>
      <c r="Z210" s="15"/>
      <c r="AA210" s="15"/>
      <c r="AB210" s="315"/>
    </row>
    <row r="211" spans="1:28" ht="18" customHeight="1" x14ac:dyDescent="0.2">
      <c r="A211" s="323"/>
      <c r="B211" s="41" t="s">
        <v>824</v>
      </c>
      <c r="C211" s="315"/>
      <c r="D211" s="313"/>
      <c r="E211" s="15"/>
      <c r="F211" s="15"/>
      <c r="G211" s="15"/>
      <c r="H211" s="315"/>
      <c r="I211" s="313"/>
      <c r="J211" s="15"/>
      <c r="K211" s="15"/>
      <c r="L211" s="15"/>
      <c r="M211" s="315"/>
      <c r="N211" s="313"/>
      <c r="O211" s="15"/>
      <c r="P211" s="15"/>
      <c r="Q211" s="15"/>
      <c r="R211" s="315"/>
      <c r="S211" s="313"/>
      <c r="T211" s="15"/>
      <c r="U211" s="15"/>
      <c r="V211" s="15"/>
      <c r="W211" s="315"/>
      <c r="X211" s="313"/>
      <c r="Y211" s="15"/>
      <c r="Z211" s="15"/>
      <c r="AA211" s="15"/>
      <c r="AB211" s="315"/>
    </row>
    <row r="212" spans="1:28" ht="18" customHeight="1" x14ac:dyDescent="0.2">
      <c r="A212" s="323"/>
      <c r="B212" s="41" t="s">
        <v>1002</v>
      </c>
      <c r="C212" s="315"/>
      <c r="D212" s="313"/>
      <c r="E212" s="15"/>
      <c r="F212" s="15"/>
      <c r="G212" s="15"/>
      <c r="H212" s="315"/>
      <c r="I212" s="313"/>
      <c r="J212" s="15"/>
      <c r="K212" s="15"/>
      <c r="L212" s="15"/>
      <c r="M212" s="315"/>
      <c r="N212" s="313"/>
      <c r="O212" s="15"/>
      <c r="P212" s="15"/>
      <c r="Q212" s="15"/>
      <c r="R212" s="315"/>
      <c r="S212" s="313"/>
      <c r="T212" s="15"/>
      <c r="U212" s="15"/>
      <c r="V212" s="15"/>
      <c r="W212" s="315"/>
      <c r="X212" s="313"/>
      <c r="Y212" s="15"/>
      <c r="Z212" s="15"/>
      <c r="AA212" s="15"/>
      <c r="AB212" s="315"/>
    </row>
    <row r="213" spans="1:28" ht="17.25" customHeight="1" x14ac:dyDescent="0.2">
      <c r="A213" s="323"/>
      <c r="B213" s="41" t="s">
        <v>825</v>
      </c>
      <c r="C213" s="315"/>
      <c r="D213" s="313"/>
      <c r="E213" s="15"/>
      <c r="F213" s="15"/>
      <c r="G213" s="15"/>
      <c r="H213" s="315"/>
      <c r="I213" s="313"/>
      <c r="J213" s="15"/>
      <c r="K213" s="15"/>
      <c r="L213" s="15"/>
      <c r="M213" s="315"/>
      <c r="N213" s="313"/>
      <c r="O213" s="15"/>
      <c r="P213" s="15"/>
      <c r="Q213" s="15"/>
      <c r="R213" s="315"/>
      <c r="S213" s="313"/>
      <c r="T213" s="15"/>
      <c r="U213" s="15"/>
      <c r="V213" s="15"/>
      <c r="W213" s="315"/>
      <c r="X213" s="313"/>
      <c r="Y213" s="15"/>
      <c r="Z213" s="15"/>
      <c r="AA213" s="15"/>
      <c r="AB213" s="315"/>
    </row>
    <row r="214" spans="1:28" ht="18" customHeight="1" x14ac:dyDescent="0.2">
      <c r="A214" s="324"/>
      <c r="B214" s="62" t="s">
        <v>428</v>
      </c>
      <c r="C214" s="316"/>
      <c r="D214" s="314"/>
      <c r="E214" s="15"/>
      <c r="F214" s="15"/>
      <c r="G214" s="15"/>
      <c r="H214" s="316"/>
      <c r="I214" s="314"/>
      <c r="J214" s="15"/>
      <c r="K214" s="15"/>
      <c r="L214" s="15"/>
      <c r="M214" s="316"/>
      <c r="N214" s="314"/>
      <c r="O214" s="15"/>
      <c r="P214" s="15"/>
      <c r="Q214" s="15"/>
      <c r="R214" s="316"/>
      <c r="S214" s="314"/>
      <c r="T214" s="15"/>
      <c r="U214" s="15"/>
      <c r="V214" s="15"/>
      <c r="W214" s="316"/>
      <c r="X214" s="314"/>
      <c r="Y214" s="15"/>
      <c r="Z214" s="15"/>
      <c r="AA214" s="15"/>
      <c r="AB214" s="316"/>
    </row>
    <row r="215" spans="1:28" ht="18" customHeight="1" x14ac:dyDescent="0.2">
      <c r="A215" s="323" t="s">
        <v>11</v>
      </c>
      <c r="B215" s="41" t="s">
        <v>719</v>
      </c>
      <c r="C215" s="317"/>
      <c r="D215" s="318"/>
      <c r="E215" s="15"/>
      <c r="F215" s="15"/>
      <c r="G215" s="15"/>
      <c r="H215" s="317"/>
      <c r="I215" s="318"/>
      <c r="J215" s="15"/>
      <c r="K215" s="15"/>
      <c r="L215" s="15"/>
      <c r="M215" s="317"/>
      <c r="N215" s="318"/>
      <c r="O215" s="15"/>
      <c r="P215" s="15"/>
      <c r="Q215" s="15"/>
      <c r="R215" s="317"/>
      <c r="S215" s="318"/>
      <c r="T215" s="15"/>
      <c r="U215" s="15"/>
      <c r="V215" s="15"/>
      <c r="W215" s="317"/>
      <c r="X215" s="318"/>
      <c r="Y215" s="15"/>
      <c r="Z215" s="15"/>
      <c r="AA215" s="15"/>
      <c r="AB215" s="317"/>
    </row>
    <row r="216" spans="1:28" ht="18" customHeight="1" x14ac:dyDescent="0.2">
      <c r="A216" s="323"/>
      <c r="B216" s="41" t="s">
        <v>720</v>
      </c>
      <c r="C216" s="315"/>
      <c r="D216" s="313"/>
      <c r="E216" s="15"/>
      <c r="F216" s="15"/>
      <c r="G216" s="15"/>
      <c r="H216" s="315"/>
      <c r="I216" s="313"/>
      <c r="J216" s="15"/>
      <c r="K216" s="15"/>
      <c r="L216" s="15"/>
      <c r="M216" s="315"/>
      <c r="N216" s="313"/>
      <c r="O216" s="15"/>
      <c r="P216" s="15"/>
      <c r="Q216" s="15"/>
      <c r="R216" s="315"/>
      <c r="S216" s="313"/>
      <c r="T216" s="15"/>
      <c r="U216" s="15"/>
      <c r="V216" s="15"/>
      <c r="W216" s="315"/>
      <c r="X216" s="313"/>
      <c r="Y216" s="15"/>
      <c r="Z216" s="15"/>
      <c r="AA216" s="15"/>
      <c r="AB216" s="315"/>
    </row>
    <row r="217" spans="1:28" ht="18" customHeight="1" x14ac:dyDescent="0.2">
      <c r="A217" s="323"/>
      <c r="B217" s="41" t="s">
        <v>721</v>
      </c>
      <c r="C217" s="315"/>
      <c r="D217" s="313"/>
      <c r="E217" s="15"/>
      <c r="F217" s="15"/>
      <c r="G217" s="15"/>
      <c r="H217" s="315"/>
      <c r="I217" s="313"/>
      <c r="J217" s="15"/>
      <c r="K217" s="15"/>
      <c r="L217" s="15"/>
      <c r="M217" s="315"/>
      <c r="N217" s="313"/>
      <c r="O217" s="15"/>
      <c r="P217" s="15"/>
      <c r="Q217" s="15"/>
      <c r="R217" s="315"/>
      <c r="S217" s="313"/>
      <c r="T217" s="15"/>
      <c r="U217" s="15"/>
      <c r="V217" s="15"/>
      <c r="W217" s="315"/>
      <c r="X217" s="313"/>
      <c r="Y217" s="15"/>
      <c r="Z217" s="15"/>
      <c r="AA217" s="15"/>
      <c r="AB217" s="315"/>
    </row>
    <row r="218" spans="1:28" ht="18" customHeight="1" x14ac:dyDescent="0.2">
      <c r="A218" s="323"/>
      <c r="B218" s="41" t="s">
        <v>722</v>
      </c>
      <c r="C218" s="315"/>
      <c r="D218" s="313"/>
      <c r="E218" s="15"/>
      <c r="F218" s="15"/>
      <c r="G218" s="15"/>
      <c r="H218" s="315"/>
      <c r="I218" s="313"/>
      <c r="J218" s="15"/>
      <c r="K218" s="15"/>
      <c r="L218" s="15"/>
      <c r="M218" s="315"/>
      <c r="N218" s="313"/>
      <c r="O218" s="15"/>
      <c r="P218" s="15"/>
      <c r="Q218" s="15"/>
      <c r="R218" s="315"/>
      <c r="S218" s="313"/>
      <c r="T218" s="15"/>
      <c r="U218" s="15"/>
      <c r="V218" s="15"/>
      <c r="W218" s="315"/>
      <c r="X218" s="313"/>
      <c r="Y218" s="15"/>
      <c r="Z218" s="15"/>
      <c r="AA218" s="15"/>
      <c r="AB218" s="315"/>
    </row>
    <row r="219" spans="1:28" ht="18" customHeight="1" x14ac:dyDescent="0.2">
      <c r="A219" s="323"/>
      <c r="B219" s="41" t="s">
        <v>723</v>
      </c>
      <c r="C219" s="315"/>
      <c r="D219" s="313"/>
      <c r="E219" s="15"/>
      <c r="F219" s="15"/>
      <c r="G219" s="15"/>
      <c r="H219" s="315"/>
      <c r="I219" s="313"/>
      <c r="J219" s="15"/>
      <c r="K219" s="15"/>
      <c r="L219" s="15"/>
      <c r="M219" s="315"/>
      <c r="N219" s="313"/>
      <c r="O219" s="15"/>
      <c r="P219" s="15"/>
      <c r="Q219" s="15"/>
      <c r="R219" s="315"/>
      <c r="S219" s="313"/>
      <c r="T219" s="15"/>
      <c r="U219" s="15"/>
      <c r="V219" s="15"/>
      <c r="W219" s="315"/>
      <c r="X219" s="313"/>
      <c r="Y219" s="15"/>
      <c r="Z219" s="15"/>
      <c r="AA219" s="15"/>
      <c r="AB219" s="315"/>
    </row>
    <row r="220" spans="1:28" ht="18" customHeight="1" x14ac:dyDescent="0.2">
      <c r="A220" s="323"/>
      <c r="B220" s="41" t="s">
        <v>724</v>
      </c>
      <c r="C220" s="315"/>
      <c r="D220" s="313"/>
      <c r="E220" s="15"/>
      <c r="F220" s="15"/>
      <c r="G220" s="15"/>
      <c r="H220" s="315"/>
      <c r="I220" s="313"/>
      <c r="J220" s="15"/>
      <c r="K220" s="15"/>
      <c r="L220" s="15"/>
      <c r="M220" s="315"/>
      <c r="N220" s="313"/>
      <c r="O220" s="15"/>
      <c r="P220" s="15"/>
      <c r="Q220" s="15"/>
      <c r="R220" s="315"/>
      <c r="S220" s="313"/>
      <c r="T220" s="15"/>
      <c r="U220" s="15"/>
      <c r="V220" s="15"/>
      <c r="W220" s="315"/>
      <c r="X220" s="313"/>
      <c r="Y220" s="15"/>
      <c r="Z220" s="15"/>
      <c r="AA220" s="15"/>
      <c r="AB220" s="315"/>
    </row>
    <row r="221" spans="1:28" ht="22.5" customHeight="1" x14ac:dyDescent="0.2">
      <c r="A221" s="323"/>
      <c r="B221" s="41" t="s">
        <v>725</v>
      </c>
      <c r="C221" s="315"/>
      <c r="D221" s="313"/>
      <c r="E221" s="15"/>
      <c r="F221" s="15"/>
      <c r="G221" s="15"/>
      <c r="H221" s="315"/>
      <c r="I221" s="313"/>
      <c r="J221" s="15"/>
      <c r="K221" s="15"/>
      <c r="L221" s="15"/>
      <c r="M221" s="315"/>
      <c r="N221" s="313"/>
      <c r="O221" s="15"/>
      <c r="P221" s="15"/>
      <c r="Q221" s="15"/>
      <c r="R221" s="315"/>
      <c r="S221" s="313"/>
      <c r="T221" s="15"/>
      <c r="U221" s="15"/>
      <c r="V221" s="15"/>
      <c r="W221" s="315"/>
      <c r="X221" s="313"/>
      <c r="Y221" s="15"/>
      <c r="Z221" s="15"/>
      <c r="AA221" s="15"/>
      <c r="AB221" s="315"/>
    </row>
    <row r="222" spans="1:28" ht="18" customHeight="1" x14ac:dyDescent="0.2">
      <c r="A222" s="323"/>
      <c r="B222" s="41" t="s">
        <v>726</v>
      </c>
      <c r="C222" s="315"/>
      <c r="D222" s="313"/>
      <c r="E222" s="15"/>
      <c r="F222" s="15"/>
      <c r="G222" s="15"/>
      <c r="H222" s="315"/>
      <c r="I222" s="313"/>
      <c r="J222" s="15"/>
      <c r="K222" s="15"/>
      <c r="L222" s="15"/>
      <c r="M222" s="315"/>
      <c r="N222" s="313"/>
      <c r="O222" s="15"/>
      <c r="P222" s="15"/>
      <c r="Q222" s="15"/>
      <c r="R222" s="315"/>
      <c r="S222" s="313"/>
      <c r="T222" s="15"/>
      <c r="U222" s="15"/>
      <c r="V222" s="15"/>
      <c r="W222" s="315"/>
      <c r="X222" s="313"/>
      <c r="Y222" s="15"/>
      <c r="Z222" s="15"/>
      <c r="AA222" s="15"/>
      <c r="AB222" s="315"/>
    </row>
    <row r="223" spans="1:28" ht="18" customHeight="1" x14ac:dyDescent="0.2">
      <c r="A223" s="323"/>
      <c r="B223" s="41" t="s">
        <v>727</v>
      </c>
      <c r="C223" s="315"/>
      <c r="D223" s="313"/>
      <c r="E223" s="15"/>
      <c r="F223" s="15"/>
      <c r="G223" s="15"/>
      <c r="H223" s="315"/>
      <c r="I223" s="313"/>
      <c r="J223" s="15"/>
      <c r="K223" s="15"/>
      <c r="L223" s="15"/>
      <c r="M223" s="315"/>
      <c r="N223" s="313"/>
      <c r="O223" s="15"/>
      <c r="P223" s="15"/>
      <c r="Q223" s="15"/>
      <c r="R223" s="315"/>
      <c r="S223" s="313"/>
      <c r="T223" s="15"/>
      <c r="U223" s="15"/>
      <c r="V223" s="15"/>
      <c r="W223" s="315"/>
      <c r="X223" s="313"/>
      <c r="Y223" s="15"/>
      <c r="Z223" s="15"/>
      <c r="AA223" s="15"/>
      <c r="AB223" s="315"/>
    </row>
    <row r="224" spans="1:28" ht="18" customHeight="1" x14ac:dyDescent="0.2">
      <c r="A224" s="323"/>
      <c r="B224" s="41" t="s">
        <v>728</v>
      </c>
      <c r="C224" s="315"/>
      <c r="D224" s="313"/>
      <c r="E224" s="15"/>
      <c r="F224" s="15"/>
      <c r="G224" s="15"/>
      <c r="H224" s="315"/>
      <c r="I224" s="313"/>
      <c r="J224" s="15"/>
      <c r="K224" s="15"/>
      <c r="L224" s="15"/>
      <c r="M224" s="315"/>
      <c r="N224" s="313"/>
      <c r="O224" s="15"/>
      <c r="P224" s="15"/>
      <c r="Q224" s="15"/>
      <c r="R224" s="315"/>
      <c r="S224" s="313"/>
      <c r="T224" s="15"/>
      <c r="U224" s="15"/>
      <c r="V224" s="15"/>
      <c r="W224" s="315"/>
      <c r="X224" s="313"/>
      <c r="Y224" s="15"/>
      <c r="Z224" s="15"/>
      <c r="AA224" s="15"/>
      <c r="AB224" s="315"/>
    </row>
    <row r="225" spans="1:28" ht="18" customHeight="1" x14ac:dyDescent="0.2">
      <c r="A225" s="323"/>
      <c r="B225" s="41" t="s">
        <v>729</v>
      </c>
      <c r="C225" s="315"/>
      <c r="D225" s="313"/>
      <c r="E225" s="15"/>
      <c r="F225" s="15"/>
      <c r="G225" s="15"/>
      <c r="H225" s="315"/>
      <c r="I225" s="313"/>
      <c r="J225" s="15"/>
      <c r="K225" s="15"/>
      <c r="L225" s="15"/>
      <c r="M225" s="315"/>
      <c r="N225" s="313"/>
      <c r="O225" s="15"/>
      <c r="P225" s="15"/>
      <c r="Q225" s="15"/>
      <c r="R225" s="315"/>
      <c r="S225" s="313"/>
      <c r="T225" s="15"/>
      <c r="U225" s="15"/>
      <c r="V225" s="15"/>
      <c r="W225" s="315"/>
      <c r="X225" s="313"/>
      <c r="Y225" s="15"/>
      <c r="Z225" s="15"/>
      <c r="AA225" s="15"/>
      <c r="AB225" s="315"/>
    </row>
    <row r="226" spans="1:28" ht="18" customHeight="1" x14ac:dyDescent="0.2">
      <c r="A226" s="323"/>
      <c r="B226" s="41" t="s">
        <v>730</v>
      </c>
      <c r="C226" s="315"/>
      <c r="D226" s="313"/>
      <c r="E226" s="15"/>
      <c r="F226" s="15"/>
      <c r="G226" s="15"/>
      <c r="H226" s="315"/>
      <c r="I226" s="313"/>
      <c r="J226" s="15"/>
      <c r="K226" s="15"/>
      <c r="L226" s="15"/>
      <c r="M226" s="315"/>
      <c r="N226" s="313"/>
      <c r="O226" s="15"/>
      <c r="P226" s="15"/>
      <c r="Q226" s="15"/>
      <c r="R226" s="315"/>
      <c r="S226" s="313"/>
      <c r="T226" s="15"/>
      <c r="U226" s="15"/>
      <c r="V226" s="15"/>
      <c r="W226" s="315"/>
      <c r="X226" s="313"/>
      <c r="Y226" s="15"/>
      <c r="Z226" s="15"/>
      <c r="AA226" s="15"/>
      <c r="AB226" s="315"/>
    </row>
    <row r="227" spans="1:28" ht="18" customHeight="1" x14ac:dyDescent="0.2">
      <c r="A227" s="323"/>
      <c r="B227" s="41" t="s">
        <v>731</v>
      </c>
      <c r="C227" s="315"/>
      <c r="D227" s="313"/>
      <c r="E227" s="15"/>
      <c r="F227" s="15"/>
      <c r="G227" s="15"/>
      <c r="H227" s="315"/>
      <c r="I227" s="313"/>
      <c r="J227" s="15"/>
      <c r="K227" s="15"/>
      <c r="L227" s="15"/>
      <c r="M227" s="315"/>
      <c r="N227" s="313"/>
      <c r="O227" s="15"/>
      <c r="P227" s="15"/>
      <c r="Q227" s="15"/>
      <c r="R227" s="315"/>
      <c r="S227" s="313"/>
      <c r="T227" s="15"/>
      <c r="U227" s="15"/>
      <c r="V227" s="15"/>
      <c r="W227" s="315"/>
      <c r="X227" s="313"/>
      <c r="Y227" s="15"/>
      <c r="Z227" s="15"/>
      <c r="AA227" s="15"/>
      <c r="AB227" s="315"/>
    </row>
    <row r="228" spans="1:28" ht="18" customHeight="1" x14ac:dyDescent="0.2">
      <c r="A228" s="323"/>
      <c r="B228" s="41" t="s">
        <v>732</v>
      </c>
      <c r="C228" s="315"/>
      <c r="D228" s="313"/>
      <c r="E228" s="15"/>
      <c r="F228" s="15"/>
      <c r="G228" s="15"/>
      <c r="H228" s="315"/>
      <c r="I228" s="313"/>
      <c r="J228" s="15"/>
      <c r="K228" s="15"/>
      <c r="L228" s="15"/>
      <c r="M228" s="315"/>
      <c r="N228" s="313"/>
      <c r="O228" s="15"/>
      <c r="P228" s="15"/>
      <c r="Q228" s="15"/>
      <c r="R228" s="315"/>
      <c r="S228" s="313"/>
      <c r="T228" s="15"/>
      <c r="U228" s="15"/>
      <c r="V228" s="15"/>
      <c r="W228" s="315"/>
      <c r="X228" s="313"/>
      <c r="Y228" s="15"/>
      <c r="Z228" s="15"/>
      <c r="AA228" s="15"/>
      <c r="AB228" s="315"/>
    </row>
    <row r="229" spans="1:28" ht="18" customHeight="1" x14ac:dyDescent="0.2">
      <c r="A229" s="323"/>
      <c r="B229" s="41" t="s">
        <v>733</v>
      </c>
      <c r="C229" s="315"/>
      <c r="D229" s="313"/>
      <c r="E229" s="15"/>
      <c r="F229" s="15"/>
      <c r="G229" s="15"/>
      <c r="H229" s="315"/>
      <c r="I229" s="313"/>
      <c r="J229" s="15"/>
      <c r="K229" s="15"/>
      <c r="L229" s="15"/>
      <c r="M229" s="315"/>
      <c r="N229" s="313"/>
      <c r="O229" s="15"/>
      <c r="P229" s="15"/>
      <c r="Q229" s="15"/>
      <c r="R229" s="315"/>
      <c r="S229" s="313"/>
      <c r="T229" s="15"/>
      <c r="U229" s="15"/>
      <c r="V229" s="15"/>
      <c r="W229" s="315"/>
      <c r="X229" s="313"/>
      <c r="Y229" s="15"/>
      <c r="Z229" s="15"/>
      <c r="AA229" s="15"/>
      <c r="AB229" s="315"/>
    </row>
    <row r="230" spans="1:28" ht="16.149999999999999" customHeight="1" x14ac:dyDescent="0.2">
      <c r="A230" s="323"/>
      <c r="B230" s="41" t="s">
        <v>734</v>
      </c>
      <c r="C230" s="315"/>
      <c r="D230" s="313"/>
      <c r="E230" s="15"/>
      <c r="F230" s="15"/>
      <c r="G230" s="15"/>
      <c r="H230" s="315"/>
      <c r="I230" s="313"/>
      <c r="J230" s="15"/>
      <c r="K230" s="15"/>
      <c r="L230" s="15"/>
      <c r="M230" s="315"/>
      <c r="N230" s="313"/>
      <c r="O230" s="15"/>
      <c r="P230" s="15"/>
      <c r="Q230" s="15"/>
      <c r="R230" s="315"/>
      <c r="S230" s="313"/>
      <c r="T230" s="15"/>
      <c r="U230" s="15"/>
      <c r="V230" s="15"/>
      <c r="W230" s="315"/>
      <c r="X230" s="313"/>
      <c r="Y230" s="15"/>
      <c r="Z230" s="15"/>
      <c r="AA230" s="15"/>
      <c r="AB230" s="315"/>
    </row>
    <row r="231" spans="1:28" ht="16.149999999999999" customHeight="1" x14ac:dyDescent="0.2">
      <c r="A231" s="323"/>
      <c r="B231" s="41" t="s">
        <v>735</v>
      </c>
      <c r="C231" s="315"/>
      <c r="D231" s="313"/>
      <c r="E231" s="15"/>
      <c r="F231" s="15"/>
      <c r="G231" s="15"/>
      <c r="H231" s="315"/>
      <c r="I231" s="313"/>
      <c r="J231" s="15"/>
      <c r="K231" s="15"/>
      <c r="L231" s="15"/>
      <c r="M231" s="315"/>
      <c r="N231" s="313"/>
      <c r="O231" s="15"/>
      <c r="P231" s="15"/>
      <c r="Q231" s="15"/>
      <c r="R231" s="315"/>
      <c r="S231" s="313"/>
      <c r="T231" s="15"/>
      <c r="U231" s="15"/>
      <c r="V231" s="15"/>
      <c r="W231" s="315"/>
      <c r="X231" s="313"/>
      <c r="Y231" s="15"/>
      <c r="Z231" s="15"/>
      <c r="AA231" s="15"/>
      <c r="AB231" s="315"/>
    </row>
    <row r="232" spans="1:28" ht="16.149999999999999" customHeight="1" x14ac:dyDescent="0.2">
      <c r="A232" s="323"/>
      <c r="B232" s="41" t="s">
        <v>736</v>
      </c>
      <c r="C232" s="315"/>
      <c r="D232" s="313"/>
      <c r="E232" s="15"/>
      <c r="F232" s="15"/>
      <c r="G232" s="15"/>
      <c r="H232" s="315"/>
      <c r="I232" s="313"/>
      <c r="J232" s="15"/>
      <c r="K232" s="15"/>
      <c r="L232" s="15"/>
      <c r="M232" s="315"/>
      <c r="N232" s="313"/>
      <c r="O232" s="15"/>
      <c r="P232" s="15"/>
      <c r="Q232" s="15"/>
      <c r="R232" s="315"/>
      <c r="S232" s="313"/>
      <c r="T232" s="15"/>
      <c r="U232" s="15"/>
      <c r="V232" s="15"/>
      <c r="W232" s="315"/>
      <c r="X232" s="313"/>
      <c r="Y232" s="15"/>
      <c r="Z232" s="15"/>
      <c r="AA232" s="15"/>
      <c r="AB232" s="315"/>
    </row>
    <row r="233" spans="1:28" ht="16.149999999999999" customHeight="1" x14ac:dyDescent="0.2">
      <c r="A233" s="323"/>
      <c r="B233" s="41" t="s">
        <v>737</v>
      </c>
      <c r="C233" s="315"/>
      <c r="D233" s="313"/>
      <c r="E233" s="15"/>
      <c r="F233" s="15"/>
      <c r="G233" s="15"/>
      <c r="H233" s="315"/>
      <c r="I233" s="313"/>
      <c r="J233" s="15"/>
      <c r="K233" s="15"/>
      <c r="L233" s="15"/>
      <c r="M233" s="315"/>
      <c r="N233" s="313"/>
      <c r="O233" s="15"/>
      <c r="P233" s="15"/>
      <c r="Q233" s="15"/>
      <c r="R233" s="315"/>
      <c r="S233" s="313"/>
      <c r="T233" s="15"/>
      <c r="U233" s="15"/>
      <c r="V233" s="15"/>
      <c r="W233" s="315"/>
      <c r="X233" s="313"/>
      <c r="Y233" s="15"/>
      <c r="Z233" s="15"/>
      <c r="AA233" s="15"/>
      <c r="AB233" s="315"/>
    </row>
    <row r="234" spans="1:28" ht="16.149999999999999" customHeight="1" x14ac:dyDescent="0.2">
      <c r="A234" s="323"/>
      <c r="B234" s="41" t="s">
        <v>738</v>
      </c>
      <c r="C234" s="315"/>
      <c r="D234" s="313"/>
      <c r="E234" s="15"/>
      <c r="F234" s="15"/>
      <c r="G234" s="15"/>
      <c r="H234" s="315"/>
      <c r="I234" s="313"/>
      <c r="J234" s="15"/>
      <c r="K234" s="15"/>
      <c r="L234" s="15"/>
      <c r="M234" s="315"/>
      <c r="N234" s="313"/>
      <c r="O234" s="15"/>
      <c r="P234" s="15"/>
      <c r="Q234" s="15"/>
      <c r="R234" s="315"/>
      <c r="S234" s="313"/>
      <c r="T234" s="15"/>
      <c r="U234" s="15"/>
      <c r="V234" s="15"/>
      <c r="W234" s="315"/>
      <c r="X234" s="313"/>
      <c r="Y234" s="15"/>
      <c r="Z234" s="15"/>
      <c r="AA234" s="15"/>
      <c r="AB234" s="315"/>
    </row>
    <row r="235" spans="1:28" ht="16.149999999999999" customHeight="1" x14ac:dyDescent="0.2">
      <c r="A235" s="323"/>
      <c r="B235" s="41" t="s">
        <v>739</v>
      </c>
      <c r="C235" s="315"/>
      <c r="D235" s="313"/>
      <c r="E235" s="15"/>
      <c r="F235" s="15"/>
      <c r="G235" s="15"/>
      <c r="H235" s="315"/>
      <c r="I235" s="313"/>
      <c r="J235" s="15"/>
      <c r="K235" s="15"/>
      <c r="L235" s="15"/>
      <c r="M235" s="315"/>
      <c r="N235" s="313"/>
      <c r="O235" s="15"/>
      <c r="P235" s="15"/>
      <c r="Q235" s="15"/>
      <c r="R235" s="315"/>
      <c r="S235" s="313"/>
      <c r="T235" s="15"/>
      <c r="U235" s="15"/>
      <c r="V235" s="15"/>
      <c r="W235" s="315"/>
      <c r="X235" s="313"/>
      <c r="Y235" s="15"/>
      <c r="Z235" s="15"/>
      <c r="AA235" s="15"/>
      <c r="AB235" s="315"/>
    </row>
    <row r="236" spans="1:28" ht="16.149999999999999" customHeight="1" x14ac:dyDescent="0.2">
      <c r="A236" s="323"/>
      <c r="B236" s="41" t="s">
        <v>740</v>
      </c>
      <c r="C236" s="315"/>
      <c r="D236" s="313"/>
      <c r="E236" s="15"/>
      <c r="F236" s="15"/>
      <c r="G236" s="15"/>
      <c r="H236" s="315"/>
      <c r="I236" s="313"/>
      <c r="J236" s="15"/>
      <c r="K236" s="15"/>
      <c r="L236" s="15"/>
      <c r="M236" s="315"/>
      <c r="N236" s="313"/>
      <c r="O236" s="15"/>
      <c r="P236" s="15"/>
      <c r="Q236" s="15"/>
      <c r="R236" s="315"/>
      <c r="S236" s="313"/>
      <c r="T236" s="15"/>
      <c r="U236" s="15"/>
      <c r="V236" s="15"/>
      <c r="W236" s="315"/>
      <c r="X236" s="313"/>
      <c r="Y236" s="15"/>
      <c r="Z236" s="15"/>
      <c r="AA236" s="15"/>
      <c r="AB236" s="315"/>
    </row>
    <row r="237" spans="1:28" ht="16.149999999999999" customHeight="1" x14ac:dyDescent="0.2">
      <c r="A237" s="323"/>
      <c r="B237" s="41" t="s">
        <v>741</v>
      </c>
      <c r="C237" s="315"/>
      <c r="D237" s="313"/>
      <c r="E237" s="15"/>
      <c r="F237" s="15"/>
      <c r="G237" s="15"/>
      <c r="H237" s="315"/>
      <c r="I237" s="313"/>
      <c r="J237" s="15"/>
      <c r="K237" s="15"/>
      <c r="L237" s="15"/>
      <c r="M237" s="315"/>
      <c r="N237" s="313"/>
      <c r="O237" s="15"/>
      <c r="P237" s="15"/>
      <c r="Q237" s="15"/>
      <c r="R237" s="315"/>
      <c r="S237" s="313"/>
      <c r="T237" s="15"/>
      <c r="U237" s="15"/>
      <c r="V237" s="15"/>
      <c r="W237" s="315"/>
      <c r="X237" s="313"/>
      <c r="Y237" s="15"/>
      <c r="Z237" s="15"/>
      <c r="AA237" s="15"/>
      <c r="AB237" s="315"/>
    </row>
    <row r="238" spans="1:28" ht="16.149999999999999" customHeight="1" x14ac:dyDescent="0.2">
      <c r="A238" s="323"/>
      <c r="B238" s="41" t="s">
        <v>742</v>
      </c>
      <c r="C238" s="315"/>
      <c r="D238" s="313"/>
      <c r="E238" s="15"/>
      <c r="F238" s="15"/>
      <c r="G238" s="15"/>
      <c r="H238" s="315"/>
      <c r="I238" s="313"/>
      <c r="J238" s="15"/>
      <c r="K238" s="15"/>
      <c r="L238" s="15"/>
      <c r="M238" s="315"/>
      <c r="N238" s="313"/>
      <c r="O238" s="15"/>
      <c r="P238" s="15"/>
      <c r="Q238" s="15"/>
      <c r="R238" s="315"/>
      <c r="S238" s="313"/>
      <c r="T238" s="15"/>
      <c r="U238" s="15"/>
      <c r="V238" s="15"/>
      <c r="W238" s="315"/>
      <c r="X238" s="313"/>
      <c r="Y238" s="15"/>
      <c r="Z238" s="15"/>
      <c r="AA238" s="15"/>
      <c r="AB238" s="315"/>
    </row>
    <row r="239" spans="1:28" ht="16.149999999999999" customHeight="1" x14ac:dyDescent="0.2">
      <c r="A239" s="323"/>
      <c r="B239" s="41" t="s">
        <v>743</v>
      </c>
      <c r="C239" s="315"/>
      <c r="D239" s="313"/>
      <c r="E239" s="15"/>
      <c r="F239" s="15"/>
      <c r="G239" s="15"/>
      <c r="H239" s="315"/>
      <c r="I239" s="313"/>
      <c r="J239" s="15"/>
      <c r="K239" s="15"/>
      <c r="L239" s="15"/>
      <c r="M239" s="315"/>
      <c r="N239" s="313"/>
      <c r="O239" s="15"/>
      <c r="P239" s="15"/>
      <c r="Q239" s="15"/>
      <c r="R239" s="315"/>
      <c r="S239" s="313"/>
      <c r="T239" s="15"/>
      <c r="U239" s="15"/>
      <c r="V239" s="15"/>
      <c r="W239" s="315"/>
      <c r="X239" s="313"/>
      <c r="Y239" s="15"/>
      <c r="Z239" s="15"/>
      <c r="AA239" s="15"/>
      <c r="AB239" s="315"/>
    </row>
    <row r="240" spans="1:28" ht="16.149999999999999" customHeight="1" x14ac:dyDescent="0.2">
      <c r="A240" s="323"/>
      <c r="B240" s="41" t="s">
        <v>744</v>
      </c>
      <c r="C240" s="315"/>
      <c r="D240" s="313"/>
      <c r="E240" s="15"/>
      <c r="F240" s="15"/>
      <c r="G240" s="15"/>
      <c r="H240" s="315"/>
      <c r="I240" s="313"/>
      <c r="J240" s="15"/>
      <c r="K240" s="15"/>
      <c r="L240" s="15"/>
      <c r="M240" s="315"/>
      <c r="N240" s="313"/>
      <c r="O240" s="15"/>
      <c r="P240" s="15"/>
      <c r="Q240" s="15"/>
      <c r="R240" s="315"/>
      <c r="S240" s="313"/>
      <c r="T240" s="15"/>
      <c r="U240" s="15"/>
      <c r="V240" s="15"/>
      <c r="W240" s="315"/>
      <c r="X240" s="313"/>
      <c r="Y240" s="15"/>
      <c r="Z240" s="15"/>
      <c r="AA240" s="15"/>
      <c r="AB240" s="315"/>
    </row>
    <row r="241" spans="1:28" ht="16.149999999999999" customHeight="1" x14ac:dyDescent="0.2">
      <c r="A241" s="323"/>
      <c r="B241" s="41" t="s">
        <v>745</v>
      </c>
      <c r="C241" s="315"/>
      <c r="D241" s="313"/>
      <c r="E241" s="15"/>
      <c r="F241" s="15"/>
      <c r="G241" s="15"/>
      <c r="H241" s="315"/>
      <c r="I241" s="313"/>
      <c r="J241" s="15"/>
      <c r="K241" s="15"/>
      <c r="L241" s="15"/>
      <c r="M241" s="315"/>
      <c r="N241" s="313"/>
      <c r="O241" s="15"/>
      <c r="P241" s="15"/>
      <c r="Q241" s="15"/>
      <c r="R241" s="315"/>
      <c r="S241" s="313"/>
      <c r="T241" s="15"/>
      <c r="U241" s="15"/>
      <c r="V241" s="15"/>
      <c r="W241" s="315"/>
      <c r="X241" s="313"/>
      <c r="Y241" s="15"/>
      <c r="Z241" s="15"/>
      <c r="AA241" s="15"/>
      <c r="AB241" s="315"/>
    </row>
    <row r="242" spans="1:28" ht="16.149999999999999" customHeight="1" x14ac:dyDescent="0.2">
      <c r="A242" s="323"/>
      <c r="B242" s="41" t="s">
        <v>746</v>
      </c>
      <c r="C242" s="315"/>
      <c r="D242" s="313"/>
      <c r="E242" s="15"/>
      <c r="F242" s="15"/>
      <c r="G242" s="15"/>
      <c r="H242" s="315"/>
      <c r="I242" s="313"/>
      <c r="J242" s="15"/>
      <c r="K242" s="15"/>
      <c r="L242" s="15"/>
      <c r="M242" s="315"/>
      <c r="N242" s="313"/>
      <c r="O242" s="15"/>
      <c r="P242" s="15"/>
      <c r="Q242" s="15"/>
      <c r="R242" s="315"/>
      <c r="S242" s="313"/>
      <c r="T242" s="15"/>
      <c r="U242" s="15"/>
      <c r="V242" s="15"/>
      <c r="W242" s="315"/>
      <c r="X242" s="313"/>
      <c r="Y242" s="15"/>
      <c r="Z242" s="15"/>
      <c r="AA242" s="15"/>
      <c r="AB242" s="315"/>
    </row>
    <row r="243" spans="1:28" ht="16.149999999999999" customHeight="1" x14ac:dyDescent="0.2">
      <c r="A243" s="323"/>
      <c r="B243" s="41" t="s">
        <v>747</v>
      </c>
      <c r="C243" s="315"/>
      <c r="D243" s="313"/>
      <c r="E243" s="15"/>
      <c r="F243" s="15"/>
      <c r="G243" s="15"/>
      <c r="H243" s="315"/>
      <c r="I243" s="313"/>
      <c r="J243" s="15"/>
      <c r="K243" s="15"/>
      <c r="L243" s="15"/>
      <c r="M243" s="315"/>
      <c r="N243" s="313"/>
      <c r="O243" s="15"/>
      <c r="P243" s="15"/>
      <c r="Q243" s="15"/>
      <c r="R243" s="315"/>
      <c r="S243" s="313"/>
      <c r="T243" s="15"/>
      <c r="U243" s="15"/>
      <c r="V243" s="15"/>
      <c r="W243" s="315"/>
      <c r="X243" s="313"/>
      <c r="Y243" s="15"/>
      <c r="Z243" s="15"/>
      <c r="AA243" s="15"/>
      <c r="AB243" s="315"/>
    </row>
    <row r="244" spans="1:28" ht="16.149999999999999" customHeight="1" x14ac:dyDescent="0.2">
      <c r="A244" s="323"/>
      <c r="B244" s="41" t="s">
        <v>748</v>
      </c>
      <c r="C244" s="315"/>
      <c r="D244" s="313"/>
      <c r="E244" s="15"/>
      <c r="F244" s="15"/>
      <c r="G244" s="15"/>
      <c r="H244" s="315"/>
      <c r="I244" s="313"/>
      <c r="J244" s="15"/>
      <c r="K244" s="15"/>
      <c r="L244" s="15"/>
      <c r="M244" s="315"/>
      <c r="N244" s="313"/>
      <c r="O244" s="15"/>
      <c r="P244" s="15"/>
      <c r="Q244" s="15"/>
      <c r="R244" s="315"/>
      <c r="S244" s="313"/>
      <c r="T244" s="15"/>
      <c r="U244" s="15"/>
      <c r="V244" s="15"/>
      <c r="W244" s="315"/>
      <c r="X244" s="313"/>
      <c r="Y244" s="15"/>
      <c r="Z244" s="15"/>
      <c r="AA244" s="15"/>
      <c r="AB244" s="315"/>
    </row>
    <row r="245" spans="1:28" ht="16.149999999999999" customHeight="1" x14ac:dyDescent="0.2">
      <c r="A245" s="323"/>
      <c r="B245" s="41" t="s">
        <v>749</v>
      </c>
      <c r="C245" s="315"/>
      <c r="D245" s="313"/>
      <c r="E245" s="15"/>
      <c r="F245" s="15"/>
      <c r="G245" s="15"/>
      <c r="H245" s="315"/>
      <c r="I245" s="313"/>
      <c r="J245" s="15"/>
      <c r="K245" s="15"/>
      <c r="L245" s="15"/>
      <c r="M245" s="315"/>
      <c r="N245" s="313"/>
      <c r="O245" s="15"/>
      <c r="P245" s="15"/>
      <c r="Q245" s="15"/>
      <c r="R245" s="315"/>
      <c r="S245" s="313"/>
      <c r="T245" s="15"/>
      <c r="U245" s="15"/>
      <c r="V245" s="15"/>
      <c r="W245" s="315"/>
      <c r="X245" s="313"/>
      <c r="Y245" s="15"/>
      <c r="Z245" s="15"/>
      <c r="AA245" s="15"/>
      <c r="AB245" s="315"/>
    </row>
    <row r="246" spans="1:28" ht="16.149999999999999" customHeight="1" x14ac:dyDescent="0.2">
      <c r="A246" s="323"/>
      <c r="B246" s="41" t="s">
        <v>750</v>
      </c>
      <c r="C246" s="315"/>
      <c r="D246" s="313"/>
      <c r="E246" s="15"/>
      <c r="F246" s="15"/>
      <c r="G246" s="15"/>
      <c r="H246" s="315"/>
      <c r="I246" s="313"/>
      <c r="J246" s="15"/>
      <c r="K246" s="15"/>
      <c r="L246" s="15"/>
      <c r="M246" s="315"/>
      <c r="N246" s="313"/>
      <c r="O246" s="15"/>
      <c r="P246" s="15"/>
      <c r="Q246" s="15"/>
      <c r="R246" s="315"/>
      <c r="S246" s="313"/>
      <c r="T246" s="15"/>
      <c r="U246" s="15"/>
      <c r="V246" s="15"/>
      <c r="W246" s="315"/>
      <c r="X246" s="313"/>
      <c r="Y246" s="15"/>
      <c r="Z246" s="15"/>
      <c r="AA246" s="15"/>
      <c r="AB246" s="315"/>
    </row>
    <row r="247" spans="1:28" ht="16.149999999999999" customHeight="1" x14ac:dyDescent="0.2">
      <c r="A247" s="323"/>
      <c r="B247" s="41" t="s">
        <v>751</v>
      </c>
      <c r="C247" s="315"/>
      <c r="D247" s="313"/>
      <c r="E247" s="15"/>
      <c r="F247" s="15"/>
      <c r="G247" s="15"/>
      <c r="H247" s="315"/>
      <c r="I247" s="313"/>
      <c r="J247" s="15"/>
      <c r="K247" s="15"/>
      <c r="L247" s="15"/>
      <c r="M247" s="315"/>
      <c r="N247" s="313"/>
      <c r="O247" s="15"/>
      <c r="P247" s="15"/>
      <c r="Q247" s="15"/>
      <c r="R247" s="315"/>
      <c r="S247" s="313"/>
      <c r="T247" s="15"/>
      <c r="U247" s="15"/>
      <c r="V247" s="15"/>
      <c r="W247" s="315"/>
      <c r="X247" s="313"/>
      <c r="Y247" s="15"/>
      <c r="Z247" s="15"/>
      <c r="AA247" s="15"/>
      <c r="AB247" s="315"/>
    </row>
    <row r="248" spans="1:28" ht="16.149999999999999" customHeight="1" x14ac:dyDescent="0.2">
      <c r="A248" s="323"/>
      <c r="B248" s="41" t="s">
        <v>752</v>
      </c>
      <c r="C248" s="315"/>
      <c r="D248" s="313"/>
      <c r="E248" s="15"/>
      <c r="F248" s="15"/>
      <c r="G248" s="15"/>
      <c r="H248" s="315"/>
      <c r="I248" s="313"/>
      <c r="J248" s="15"/>
      <c r="K248" s="15"/>
      <c r="L248" s="15"/>
      <c r="M248" s="315"/>
      <c r="N248" s="313"/>
      <c r="O248" s="15"/>
      <c r="P248" s="15"/>
      <c r="Q248" s="15"/>
      <c r="R248" s="315"/>
      <c r="S248" s="313"/>
      <c r="T248" s="15"/>
      <c r="U248" s="15"/>
      <c r="V248" s="15"/>
      <c r="W248" s="315"/>
      <c r="X248" s="313"/>
      <c r="Y248" s="15"/>
      <c r="Z248" s="15"/>
      <c r="AA248" s="15"/>
      <c r="AB248" s="315"/>
    </row>
    <row r="249" spans="1:28" ht="15" customHeight="1" x14ac:dyDescent="0.2">
      <c r="A249" s="323"/>
      <c r="B249" s="41" t="s">
        <v>753</v>
      </c>
      <c r="C249" s="315"/>
      <c r="D249" s="313"/>
      <c r="E249" s="15"/>
      <c r="F249" s="15"/>
      <c r="G249" s="15"/>
      <c r="H249" s="315"/>
      <c r="I249" s="313"/>
      <c r="J249" s="15"/>
      <c r="K249" s="15"/>
      <c r="L249" s="15"/>
      <c r="M249" s="315"/>
      <c r="N249" s="313"/>
      <c r="O249" s="15"/>
      <c r="P249" s="15"/>
      <c r="Q249" s="15"/>
      <c r="R249" s="315"/>
      <c r="S249" s="313"/>
      <c r="T249" s="15"/>
      <c r="U249" s="15"/>
      <c r="V249" s="15"/>
      <c r="W249" s="315"/>
      <c r="X249" s="313"/>
      <c r="Y249" s="15"/>
      <c r="Z249" s="15"/>
      <c r="AA249" s="15"/>
      <c r="AB249" s="315"/>
    </row>
    <row r="250" spans="1:28" ht="16.5" customHeight="1" x14ac:dyDescent="0.2">
      <c r="A250" s="323"/>
      <c r="B250" s="41" t="s">
        <v>754</v>
      </c>
      <c r="C250" s="315"/>
      <c r="D250" s="313"/>
      <c r="E250" s="15"/>
      <c r="F250" s="15"/>
      <c r="G250" s="15"/>
      <c r="H250" s="315"/>
      <c r="I250" s="313"/>
      <c r="J250" s="15"/>
      <c r="K250" s="15"/>
      <c r="L250" s="15"/>
      <c r="M250" s="315"/>
      <c r="N250" s="313"/>
      <c r="O250" s="15"/>
      <c r="P250" s="15"/>
      <c r="Q250" s="15"/>
      <c r="R250" s="315"/>
      <c r="S250" s="313"/>
      <c r="T250" s="15"/>
      <c r="U250" s="15"/>
      <c r="V250" s="15"/>
      <c r="W250" s="315"/>
      <c r="X250" s="313"/>
      <c r="Y250" s="15"/>
      <c r="Z250" s="15"/>
      <c r="AA250" s="15"/>
      <c r="AB250" s="315"/>
    </row>
    <row r="251" spans="1:28" ht="15.75" customHeight="1" x14ac:dyDescent="0.2">
      <c r="A251" s="323"/>
      <c r="B251" s="41" t="s">
        <v>755</v>
      </c>
      <c r="C251" s="315"/>
      <c r="D251" s="313"/>
      <c r="E251" s="61"/>
      <c r="F251" s="61"/>
      <c r="G251" s="61"/>
      <c r="H251" s="315"/>
      <c r="I251" s="313"/>
      <c r="J251" s="61"/>
      <c r="K251" s="61"/>
      <c r="L251" s="61"/>
      <c r="M251" s="315"/>
      <c r="N251" s="313"/>
      <c r="O251" s="61"/>
      <c r="P251" s="61"/>
      <c r="Q251" s="61"/>
      <c r="R251" s="315"/>
      <c r="S251" s="313"/>
      <c r="T251" s="61"/>
      <c r="U251" s="61"/>
      <c r="V251" s="61"/>
      <c r="W251" s="315"/>
      <c r="X251" s="313"/>
      <c r="Y251" s="61"/>
      <c r="Z251" s="61"/>
      <c r="AA251" s="61"/>
      <c r="AB251" s="315"/>
    </row>
    <row r="252" spans="1:28" ht="11.25" customHeight="1" x14ac:dyDescent="0.2">
      <c r="A252" s="323"/>
      <c r="B252" s="41" t="s">
        <v>756</v>
      </c>
      <c r="C252" s="315"/>
      <c r="D252" s="313"/>
      <c r="E252" s="61"/>
      <c r="F252" s="61"/>
      <c r="G252" s="61"/>
      <c r="H252" s="315"/>
      <c r="I252" s="313"/>
      <c r="J252" s="61"/>
      <c r="K252" s="61"/>
      <c r="L252" s="61"/>
      <c r="M252" s="315"/>
      <c r="N252" s="313"/>
      <c r="O252" s="61"/>
      <c r="P252" s="61"/>
      <c r="Q252" s="61"/>
      <c r="R252" s="315"/>
      <c r="S252" s="313"/>
      <c r="T252" s="61"/>
      <c r="U252" s="61"/>
      <c r="V252" s="61"/>
      <c r="W252" s="315"/>
      <c r="X252" s="313"/>
      <c r="Y252" s="61"/>
      <c r="Z252" s="61"/>
      <c r="AA252" s="61"/>
      <c r="AB252" s="315"/>
    </row>
    <row r="253" spans="1:28" ht="15.75" customHeight="1" x14ac:dyDescent="0.2">
      <c r="A253" s="323"/>
      <c r="B253" s="40" t="s">
        <v>783</v>
      </c>
      <c r="C253" s="315"/>
      <c r="D253" s="313"/>
      <c r="E253" s="61"/>
      <c r="F253" s="61"/>
      <c r="G253" s="61"/>
      <c r="H253" s="315"/>
      <c r="I253" s="313"/>
      <c r="J253" s="61"/>
      <c r="K253" s="61"/>
      <c r="L253" s="61"/>
      <c r="M253" s="315"/>
      <c r="N253" s="313"/>
      <c r="O253" s="61"/>
      <c r="P253" s="61"/>
      <c r="Q253" s="61"/>
      <c r="R253" s="315"/>
      <c r="S253" s="313"/>
      <c r="T253" s="61"/>
      <c r="U253" s="61"/>
      <c r="V253" s="61"/>
      <c r="W253" s="315"/>
      <c r="X253" s="313"/>
      <c r="Y253" s="61"/>
      <c r="Z253" s="61"/>
      <c r="AA253" s="61"/>
      <c r="AB253" s="315"/>
    </row>
    <row r="254" spans="1:28" ht="16.149999999999999" customHeight="1" x14ac:dyDescent="0.2">
      <c r="A254" s="323"/>
      <c r="B254" s="41" t="s">
        <v>757</v>
      </c>
      <c r="C254" s="315"/>
      <c r="D254" s="313"/>
      <c r="E254" s="61"/>
      <c r="F254" s="61"/>
      <c r="G254" s="61"/>
      <c r="H254" s="315"/>
      <c r="I254" s="313"/>
      <c r="J254" s="61"/>
      <c r="K254" s="61"/>
      <c r="L254" s="61"/>
      <c r="M254" s="315"/>
      <c r="N254" s="313"/>
      <c r="O254" s="61"/>
      <c r="P254" s="61"/>
      <c r="Q254" s="61"/>
      <c r="R254" s="315"/>
      <c r="S254" s="313"/>
      <c r="T254" s="61"/>
      <c r="U254" s="61"/>
      <c r="V254" s="61"/>
      <c r="W254" s="315"/>
      <c r="X254" s="313"/>
      <c r="Y254" s="61"/>
      <c r="Z254" s="61"/>
      <c r="AA254" s="61"/>
      <c r="AB254" s="315"/>
    </row>
    <row r="255" spans="1:28" ht="16.149999999999999" customHeight="1" x14ac:dyDescent="0.2">
      <c r="A255" s="323"/>
      <c r="B255" s="41" t="s">
        <v>758</v>
      </c>
      <c r="C255" s="315"/>
      <c r="D255" s="313"/>
      <c r="E255" s="61"/>
      <c r="F255" s="61"/>
      <c r="G255" s="61"/>
      <c r="H255" s="315"/>
      <c r="I255" s="313"/>
      <c r="J255" s="61"/>
      <c r="K255" s="61"/>
      <c r="L255" s="61"/>
      <c r="M255" s="315"/>
      <c r="N255" s="313"/>
      <c r="O255" s="61"/>
      <c r="P255" s="61"/>
      <c r="Q255" s="61"/>
      <c r="R255" s="315"/>
      <c r="S255" s="313"/>
      <c r="T255" s="61"/>
      <c r="U255" s="61"/>
      <c r="V255" s="61"/>
      <c r="W255" s="315"/>
      <c r="X255" s="313"/>
      <c r="Y255" s="61"/>
      <c r="Z255" s="61"/>
      <c r="AA255" s="61"/>
      <c r="AB255" s="315"/>
    </row>
    <row r="256" spans="1:28" ht="16.149999999999999" customHeight="1" x14ac:dyDescent="0.2">
      <c r="A256" s="323"/>
      <c r="B256" s="41" t="s">
        <v>759</v>
      </c>
      <c r="C256" s="315"/>
      <c r="D256" s="313"/>
      <c r="E256" s="61"/>
      <c r="F256" s="61"/>
      <c r="G256" s="61"/>
      <c r="H256" s="315"/>
      <c r="I256" s="313"/>
      <c r="J256" s="61"/>
      <c r="K256" s="61"/>
      <c r="L256" s="61"/>
      <c r="M256" s="315"/>
      <c r="N256" s="313"/>
      <c r="O256" s="61"/>
      <c r="P256" s="61"/>
      <c r="Q256" s="61"/>
      <c r="R256" s="315"/>
      <c r="S256" s="313"/>
      <c r="T256" s="61"/>
      <c r="U256" s="61"/>
      <c r="V256" s="61"/>
      <c r="W256" s="315"/>
      <c r="X256" s="313"/>
      <c r="Y256" s="61"/>
      <c r="Z256" s="61"/>
      <c r="AA256" s="61"/>
      <c r="AB256" s="315"/>
    </row>
    <row r="257" spans="1:28" ht="16.149999999999999" customHeight="1" x14ac:dyDescent="0.2">
      <c r="A257" s="323"/>
      <c r="B257" s="41" t="s">
        <v>760</v>
      </c>
      <c r="C257" s="315"/>
      <c r="D257" s="313"/>
      <c r="E257" s="61"/>
      <c r="F257" s="61"/>
      <c r="G257" s="61"/>
      <c r="H257" s="315"/>
      <c r="I257" s="313"/>
      <c r="J257" s="61"/>
      <c r="K257" s="61"/>
      <c r="L257" s="61"/>
      <c r="M257" s="315"/>
      <c r="N257" s="313"/>
      <c r="O257" s="61"/>
      <c r="P257" s="61"/>
      <c r="Q257" s="61"/>
      <c r="R257" s="315"/>
      <c r="S257" s="313"/>
      <c r="T257" s="61"/>
      <c r="U257" s="61"/>
      <c r="V257" s="61"/>
      <c r="W257" s="315"/>
      <c r="X257" s="313"/>
      <c r="Y257" s="61"/>
      <c r="Z257" s="61"/>
      <c r="AA257" s="61"/>
      <c r="AB257" s="315"/>
    </row>
    <row r="258" spans="1:28" ht="16.149999999999999" customHeight="1" x14ac:dyDescent="0.2">
      <c r="A258" s="323"/>
      <c r="B258" s="41" t="s">
        <v>761</v>
      </c>
      <c r="C258" s="315"/>
      <c r="D258" s="313"/>
      <c r="E258" s="61"/>
      <c r="F258" s="61"/>
      <c r="G258" s="61"/>
      <c r="H258" s="315"/>
      <c r="I258" s="313"/>
      <c r="J258" s="61"/>
      <c r="K258" s="61"/>
      <c r="L258" s="61"/>
      <c r="M258" s="315"/>
      <c r="N258" s="313"/>
      <c r="O258" s="61"/>
      <c r="P258" s="61"/>
      <c r="Q258" s="61"/>
      <c r="R258" s="315"/>
      <c r="S258" s="313"/>
      <c r="T258" s="61"/>
      <c r="U258" s="61"/>
      <c r="V258" s="61"/>
      <c r="W258" s="315"/>
      <c r="X258" s="313"/>
      <c r="Y258" s="61"/>
      <c r="Z258" s="61"/>
      <c r="AA258" s="61"/>
      <c r="AB258" s="315"/>
    </row>
    <row r="259" spans="1:28" ht="16.149999999999999" customHeight="1" x14ac:dyDescent="0.2">
      <c r="A259" s="323"/>
      <c r="B259" s="41" t="s">
        <v>762</v>
      </c>
      <c r="C259" s="315"/>
      <c r="D259" s="313"/>
      <c r="E259" s="61"/>
      <c r="F259" s="61"/>
      <c r="G259" s="61"/>
      <c r="H259" s="315"/>
      <c r="I259" s="313"/>
      <c r="J259" s="61"/>
      <c r="K259" s="61"/>
      <c r="L259" s="61"/>
      <c r="M259" s="315"/>
      <c r="N259" s="313"/>
      <c r="O259" s="61"/>
      <c r="P259" s="61"/>
      <c r="Q259" s="61"/>
      <c r="R259" s="315"/>
      <c r="S259" s="313"/>
      <c r="T259" s="61"/>
      <c r="U259" s="61"/>
      <c r="V259" s="61"/>
      <c r="W259" s="315"/>
      <c r="X259" s="313"/>
      <c r="Y259" s="61"/>
      <c r="Z259" s="61"/>
      <c r="AA259" s="61"/>
      <c r="AB259" s="315"/>
    </row>
    <row r="260" spans="1:28" ht="12.75" customHeight="1" x14ac:dyDescent="0.2">
      <c r="A260" s="323"/>
      <c r="B260" s="41" t="s">
        <v>763</v>
      </c>
      <c r="C260" s="315"/>
      <c r="D260" s="313"/>
      <c r="E260" s="61"/>
      <c r="F260" s="61"/>
      <c r="G260" s="61"/>
      <c r="H260" s="315"/>
      <c r="I260" s="313"/>
      <c r="J260" s="61"/>
      <c r="K260" s="61"/>
      <c r="L260" s="61"/>
      <c r="M260" s="315"/>
      <c r="N260" s="313"/>
      <c r="O260" s="61"/>
      <c r="P260" s="61"/>
      <c r="Q260" s="61"/>
      <c r="R260" s="315"/>
      <c r="S260" s="313"/>
      <c r="T260" s="61"/>
      <c r="U260" s="61"/>
      <c r="V260" s="61"/>
      <c r="W260" s="315"/>
      <c r="X260" s="313"/>
      <c r="Y260" s="61"/>
      <c r="Z260" s="61"/>
      <c r="AA260" s="61"/>
      <c r="AB260" s="315"/>
    </row>
    <row r="261" spans="1:28" ht="12.75" customHeight="1" x14ac:dyDescent="0.2">
      <c r="A261" s="323"/>
      <c r="B261" s="41" t="s">
        <v>764</v>
      </c>
      <c r="C261" s="315"/>
      <c r="D261" s="313"/>
      <c r="E261" s="61"/>
      <c r="F261" s="61"/>
      <c r="G261" s="61"/>
      <c r="H261" s="315"/>
      <c r="I261" s="313"/>
      <c r="J261" s="61"/>
      <c r="K261" s="61"/>
      <c r="L261" s="61"/>
      <c r="M261" s="315"/>
      <c r="N261" s="313"/>
      <c r="O261" s="61"/>
      <c r="P261" s="61"/>
      <c r="Q261" s="61"/>
      <c r="R261" s="315"/>
      <c r="S261" s="313"/>
      <c r="T261" s="61"/>
      <c r="U261" s="61"/>
      <c r="V261" s="61"/>
      <c r="W261" s="315"/>
      <c r="X261" s="313"/>
      <c r="Y261" s="61"/>
      <c r="Z261" s="61"/>
      <c r="AA261" s="61"/>
      <c r="AB261" s="315"/>
    </row>
    <row r="262" spans="1:28" ht="13.5" customHeight="1" x14ac:dyDescent="0.2">
      <c r="A262" s="323"/>
      <c r="B262" s="41" t="s">
        <v>765</v>
      </c>
      <c r="C262" s="315"/>
      <c r="D262" s="313"/>
      <c r="E262" s="61"/>
      <c r="F262" s="61"/>
      <c r="G262" s="61"/>
      <c r="H262" s="315"/>
      <c r="I262" s="313"/>
      <c r="J262" s="61"/>
      <c r="K262" s="61"/>
      <c r="L262" s="61"/>
      <c r="M262" s="315"/>
      <c r="N262" s="313"/>
      <c r="O262" s="61"/>
      <c r="P262" s="61"/>
      <c r="Q262" s="61"/>
      <c r="R262" s="315"/>
      <c r="S262" s="313"/>
      <c r="T262" s="61"/>
      <c r="U262" s="61"/>
      <c r="V262" s="61"/>
      <c r="W262" s="315"/>
      <c r="X262" s="313"/>
      <c r="Y262" s="61"/>
      <c r="Z262" s="61"/>
      <c r="AA262" s="61"/>
      <c r="AB262" s="315"/>
    </row>
    <row r="263" spans="1:28" ht="16.149999999999999" customHeight="1" x14ac:dyDescent="0.2">
      <c r="A263" s="323"/>
      <c r="B263" s="45" t="s">
        <v>766</v>
      </c>
      <c r="C263" s="316"/>
      <c r="D263" s="314"/>
      <c r="E263" s="61"/>
      <c r="F263" s="61"/>
      <c r="G263" s="61"/>
      <c r="H263" s="316"/>
      <c r="I263" s="314"/>
      <c r="J263" s="61"/>
      <c r="K263" s="61"/>
      <c r="L263" s="61"/>
      <c r="M263" s="316"/>
      <c r="N263" s="314"/>
      <c r="O263" s="61"/>
      <c r="P263" s="61"/>
      <c r="Q263" s="61"/>
      <c r="R263" s="316"/>
      <c r="S263" s="314"/>
      <c r="T263" s="61"/>
      <c r="U263" s="61"/>
      <c r="V263" s="61"/>
      <c r="W263" s="316"/>
      <c r="X263" s="314"/>
      <c r="Y263" s="61"/>
      <c r="Z263" s="61"/>
      <c r="AA263" s="61"/>
      <c r="AB263" s="316"/>
    </row>
    <row r="264" spans="1:28" ht="16.149999999999999" customHeight="1" x14ac:dyDescent="0.2">
      <c r="A264" s="312"/>
      <c r="B264" s="65" t="s">
        <v>767</v>
      </c>
      <c r="C264" s="317"/>
      <c r="D264" s="318"/>
      <c r="E264" s="63"/>
      <c r="F264" s="63"/>
      <c r="G264" s="63"/>
      <c r="H264" s="317"/>
      <c r="I264" s="318"/>
      <c r="J264" s="63"/>
      <c r="K264" s="63"/>
      <c r="L264" s="63"/>
      <c r="M264" s="317"/>
      <c r="N264" s="318"/>
      <c r="O264" s="63"/>
      <c r="P264" s="63"/>
      <c r="Q264" s="63"/>
      <c r="R264" s="317"/>
      <c r="S264" s="318"/>
      <c r="T264" s="63"/>
      <c r="U264" s="63"/>
      <c r="V264" s="63"/>
      <c r="W264" s="317"/>
      <c r="X264" s="318"/>
      <c r="Y264" s="63"/>
      <c r="Z264" s="63"/>
      <c r="AA264" s="63"/>
      <c r="AB264" s="317"/>
    </row>
    <row r="265" spans="1:28" ht="16.149999999999999" customHeight="1" x14ac:dyDescent="0.2">
      <c r="A265" s="312"/>
      <c r="B265" s="65" t="s">
        <v>768</v>
      </c>
      <c r="C265" s="315"/>
      <c r="D265" s="313"/>
      <c r="E265" s="61"/>
      <c r="F265" s="61"/>
      <c r="G265" s="61"/>
      <c r="H265" s="315"/>
      <c r="I265" s="313"/>
      <c r="J265" s="61"/>
      <c r="K265" s="61"/>
      <c r="L265" s="61"/>
      <c r="M265" s="315"/>
      <c r="N265" s="313"/>
      <c r="O265" s="61"/>
      <c r="P265" s="61"/>
      <c r="Q265" s="61"/>
      <c r="R265" s="315"/>
      <c r="S265" s="313"/>
      <c r="T265" s="61"/>
      <c r="U265" s="61"/>
      <c r="V265" s="61"/>
      <c r="W265" s="315"/>
      <c r="X265" s="313"/>
      <c r="Y265" s="61"/>
      <c r="Z265" s="61"/>
      <c r="AA265" s="61"/>
      <c r="AB265" s="315"/>
    </row>
    <row r="266" spans="1:28" ht="16.149999999999999" customHeight="1" x14ac:dyDescent="0.2">
      <c r="A266" s="312"/>
      <c r="B266" s="65" t="s">
        <v>769</v>
      </c>
      <c r="C266" s="315"/>
      <c r="D266" s="313"/>
      <c r="E266" s="63"/>
      <c r="F266" s="63"/>
      <c r="G266" s="63"/>
      <c r="H266" s="315"/>
      <c r="I266" s="313"/>
      <c r="J266" s="63"/>
      <c r="K266" s="63"/>
      <c r="L266" s="63"/>
      <c r="M266" s="315"/>
      <c r="N266" s="313"/>
      <c r="O266" s="63"/>
      <c r="P266" s="63"/>
      <c r="Q266" s="63"/>
      <c r="R266" s="315"/>
      <c r="S266" s="313"/>
      <c r="T266" s="63"/>
      <c r="U266" s="63"/>
      <c r="V266" s="63"/>
      <c r="W266" s="315"/>
      <c r="X266" s="313"/>
      <c r="Y266" s="63"/>
      <c r="Z266" s="63"/>
      <c r="AA266" s="63"/>
      <c r="AB266" s="315"/>
    </row>
    <row r="267" spans="1:28" ht="16.149999999999999" customHeight="1" x14ac:dyDescent="0.2">
      <c r="A267" s="312"/>
      <c r="B267" s="65" t="s">
        <v>770</v>
      </c>
      <c r="C267" s="315"/>
      <c r="D267" s="313"/>
      <c r="E267" s="61"/>
      <c r="F267" s="61"/>
      <c r="G267" s="61"/>
      <c r="H267" s="315"/>
      <c r="I267" s="313"/>
      <c r="J267" s="61"/>
      <c r="K267" s="61"/>
      <c r="L267" s="61"/>
      <c r="M267" s="315"/>
      <c r="N267" s="313"/>
      <c r="O267" s="61"/>
      <c r="P267" s="61"/>
      <c r="Q267" s="61"/>
      <c r="R267" s="315"/>
      <c r="S267" s="313"/>
      <c r="T267" s="61"/>
      <c r="U267" s="61"/>
      <c r="V267" s="61"/>
      <c r="W267" s="315"/>
      <c r="X267" s="313"/>
      <c r="Y267" s="61"/>
      <c r="Z267" s="61"/>
      <c r="AA267" s="61"/>
      <c r="AB267" s="315"/>
    </row>
    <row r="268" spans="1:28" ht="33.75" customHeight="1" x14ac:dyDescent="0.2">
      <c r="A268" s="312"/>
      <c r="B268" s="65" t="s">
        <v>771</v>
      </c>
      <c r="C268" s="315"/>
      <c r="D268" s="313"/>
      <c r="E268" s="61"/>
      <c r="F268" s="61"/>
      <c r="G268" s="61"/>
      <c r="H268" s="315"/>
      <c r="I268" s="313"/>
      <c r="J268" s="61"/>
      <c r="K268" s="61"/>
      <c r="L268" s="61"/>
      <c r="M268" s="315"/>
      <c r="N268" s="313"/>
      <c r="O268" s="61"/>
      <c r="P268" s="61"/>
      <c r="Q268" s="61"/>
      <c r="R268" s="315"/>
      <c r="S268" s="313"/>
      <c r="T268" s="61"/>
      <c r="U268" s="61"/>
      <c r="V268" s="61"/>
      <c r="W268" s="315"/>
      <c r="X268" s="313"/>
      <c r="Y268" s="61"/>
      <c r="Z268" s="61"/>
      <c r="AA268" s="61"/>
      <c r="AB268" s="315"/>
    </row>
    <row r="269" spans="1:28" ht="16.149999999999999" customHeight="1" x14ac:dyDescent="0.2">
      <c r="A269" s="312"/>
      <c r="B269" s="65" t="s">
        <v>772</v>
      </c>
      <c r="C269" s="315"/>
      <c r="D269" s="313"/>
      <c r="E269" s="61"/>
      <c r="F269" s="61"/>
      <c r="G269" s="61"/>
      <c r="H269" s="315"/>
      <c r="I269" s="313"/>
      <c r="J269" s="61"/>
      <c r="K269" s="61"/>
      <c r="L269" s="61"/>
      <c r="M269" s="315"/>
      <c r="N269" s="313"/>
      <c r="O269" s="61"/>
      <c r="P269" s="61"/>
      <c r="Q269" s="61"/>
      <c r="R269" s="315"/>
      <c r="S269" s="313"/>
      <c r="T269" s="61"/>
      <c r="U269" s="61"/>
      <c r="V269" s="61"/>
      <c r="W269" s="315"/>
      <c r="X269" s="313"/>
      <c r="Y269" s="61"/>
      <c r="Z269" s="61"/>
      <c r="AA269" s="61"/>
      <c r="AB269" s="315"/>
    </row>
    <row r="270" spans="1:28" ht="22.5" customHeight="1" x14ac:dyDescent="0.2">
      <c r="A270" s="312"/>
      <c r="B270" s="65" t="s">
        <v>773</v>
      </c>
      <c r="C270" s="315"/>
      <c r="D270" s="313"/>
      <c r="E270" s="61"/>
      <c r="F270" s="61"/>
      <c r="G270" s="61"/>
      <c r="H270" s="315"/>
      <c r="I270" s="313"/>
      <c r="J270" s="61"/>
      <c r="K270" s="61"/>
      <c r="L270" s="61"/>
      <c r="M270" s="315"/>
      <c r="N270" s="313"/>
      <c r="O270" s="61"/>
      <c r="P270" s="61"/>
      <c r="Q270" s="61"/>
      <c r="R270" s="315"/>
      <c r="S270" s="313"/>
      <c r="T270" s="61"/>
      <c r="U270" s="61"/>
      <c r="V270" s="61"/>
      <c r="W270" s="315"/>
      <c r="X270" s="313"/>
      <c r="Y270" s="61"/>
      <c r="Z270" s="61"/>
      <c r="AA270" s="61"/>
      <c r="AB270" s="315"/>
    </row>
    <row r="271" spans="1:28" ht="16.149999999999999" customHeight="1" x14ac:dyDescent="0.2">
      <c r="A271" s="312"/>
      <c r="B271" s="65" t="s">
        <v>774</v>
      </c>
      <c r="C271" s="315"/>
      <c r="D271" s="313"/>
      <c r="E271" s="64"/>
      <c r="F271" s="64"/>
      <c r="G271" s="64"/>
      <c r="H271" s="315"/>
      <c r="I271" s="313"/>
      <c r="J271" s="64"/>
      <c r="K271" s="64"/>
      <c r="L271" s="64"/>
      <c r="M271" s="315"/>
      <c r="N271" s="313"/>
      <c r="O271" s="64"/>
      <c r="P271" s="64"/>
      <c r="Q271" s="64"/>
      <c r="R271" s="315"/>
      <c r="S271" s="313"/>
      <c r="T271" s="64"/>
      <c r="U271" s="64"/>
      <c r="V271" s="64"/>
      <c r="W271" s="315"/>
      <c r="X271" s="313"/>
      <c r="Y271" s="64"/>
      <c r="Z271" s="64"/>
      <c r="AA271" s="64"/>
      <c r="AB271" s="315"/>
    </row>
    <row r="272" spans="1:28" ht="16.149999999999999" customHeight="1" x14ac:dyDescent="0.2">
      <c r="A272" s="312"/>
      <c r="B272" s="65" t="s">
        <v>775</v>
      </c>
      <c r="C272" s="315"/>
      <c r="D272" s="313"/>
      <c r="E272" s="64"/>
      <c r="F272" s="64"/>
      <c r="G272" s="64"/>
      <c r="H272" s="315"/>
      <c r="I272" s="313"/>
      <c r="J272" s="64"/>
      <c r="K272" s="64"/>
      <c r="L272" s="64"/>
      <c r="M272" s="315"/>
      <c r="N272" s="313"/>
      <c r="O272" s="64"/>
      <c r="P272" s="64"/>
      <c r="Q272" s="64"/>
      <c r="R272" s="315"/>
      <c r="S272" s="313"/>
      <c r="T272" s="64"/>
      <c r="U272" s="64"/>
      <c r="V272" s="64"/>
      <c r="W272" s="315"/>
      <c r="X272" s="313"/>
      <c r="Y272" s="64"/>
      <c r="Z272" s="64"/>
      <c r="AA272" s="64"/>
      <c r="AB272" s="315"/>
    </row>
    <row r="273" spans="1:28" ht="16.149999999999999" customHeight="1" x14ac:dyDescent="0.2">
      <c r="A273" s="312"/>
      <c r="B273" s="65" t="s">
        <v>776</v>
      </c>
      <c r="C273" s="315"/>
      <c r="D273" s="313"/>
      <c r="E273" s="64"/>
      <c r="F273" s="64"/>
      <c r="G273" s="64"/>
      <c r="H273" s="315"/>
      <c r="I273" s="313"/>
      <c r="J273" s="64"/>
      <c r="K273" s="64"/>
      <c r="L273" s="64"/>
      <c r="M273" s="315"/>
      <c r="N273" s="313"/>
      <c r="O273" s="64"/>
      <c r="P273" s="64"/>
      <c r="Q273" s="64"/>
      <c r="R273" s="315"/>
      <c r="S273" s="313"/>
      <c r="T273" s="64"/>
      <c r="U273" s="64"/>
      <c r="V273" s="64"/>
      <c r="W273" s="315"/>
      <c r="X273" s="313"/>
      <c r="Y273" s="64"/>
      <c r="Z273" s="64"/>
      <c r="AA273" s="64"/>
      <c r="AB273" s="315"/>
    </row>
    <row r="274" spans="1:28" ht="16.149999999999999" customHeight="1" x14ac:dyDescent="0.2">
      <c r="A274" s="312"/>
      <c r="B274" s="65" t="s">
        <v>777</v>
      </c>
      <c r="C274" s="315"/>
      <c r="D274" s="313"/>
      <c r="E274" s="64"/>
      <c r="F274" s="64"/>
      <c r="G274" s="64"/>
      <c r="H274" s="315"/>
      <c r="I274" s="313"/>
      <c r="J274" s="64"/>
      <c r="K274" s="64"/>
      <c r="L274" s="64"/>
      <c r="M274" s="315"/>
      <c r="N274" s="313"/>
      <c r="O274" s="64"/>
      <c r="P274" s="64"/>
      <c r="Q274" s="64"/>
      <c r="R274" s="315"/>
      <c r="S274" s="313"/>
      <c r="T274" s="64"/>
      <c r="U274" s="64"/>
      <c r="V274" s="64"/>
      <c r="W274" s="315"/>
      <c r="X274" s="313"/>
      <c r="Y274" s="64"/>
      <c r="Z274" s="64"/>
      <c r="AA274" s="64"/>
      <c r="AB274" s="315"/>
    </row>
    <row r="275" spans="1:28" ht="16.149999999999999" customHeight="1" x14ac:dyDescent="0.2">
      <c r="A275" s="312"/>
      <c r="B275" s="65" t="s">
        <v>778</v>
      </c>
      <c r="C275" s="315"/>
      <c r="D275" s="313"/>
      <c r="E275" s="64"/>
      <c r="F275" s="64"/>
      <c r="G275" s="64"/>
      <c r="H275" s="315"/>
      <c r="I275" s="313"/>
      <c r="J275" s="64"/>
      <c r="K275" s="64"/>
      <c r="L275" s="64"/>
      <c r="M275" s="315"/>
      <c r="N275" s="313"/>
      <c r="O275" s="64"/>
      <c r="P275" s="64"/>
      <c r="Q275" s="64"/>
      <c r="R275" s="315"/>
      <c r="S275" s="313"/>
      <c r="T275" s="64"/>
      <c r="U275" s="64"/>
      <c r="V275" s="64"/>
      <c r="W275" s="315"/>
      <c r="X275" s="313"/>
      <c r="Y275" s="64"/>
      <c r="Z275" s="64"/>
      <c r="AA275" s="64"/>
      <c r="AB275" s="315"/>
    </row>
    <row r="276" spans="1:28" ht="16.149999999999999" customHeight="1" x14ac:dyDescent="0.2">
      <c r="A276" s="312"/>
      <c r="B276" s="65" t="s">
        <v>779</v>
      </c>
      <c r="C276" s="315"/>
      <c r="D276" s="313"/>
      <c r="E276" s="64"/>
      <c r="F276" s="64"/>
      <c r="G276" s="64"/>
      <c r="H276" s="315"/>
      <c r="I276" s="313"/>
      <c r="J276" s="64"/>
      <c r="K276" s="64"/>
      <c r="L276" s="64"/>
      <c r="M276" s="315"/>
      <c r="N276" s="313"/>
      <c r="O276" s="64"/>
      <c r="P276" s="64"/>
      <c r="Q276" s="64"/>
      <c r="R276" s="315"/>
      <c r="S276" s="313"/>
      <c r="T276" s="64"/>
      <c r="U276" s="64"/>
      <c r="V276" s="64"/>
      <c r="W276" s="315"/>
      <c r="X276" s="313"/>
      <c r="Y276" s="64"/>
      <c r="Z276" s="64"/>
      <c r="AA276" s="64"/>
      <c r="AB276" s="315"/>
    </row>
    <row r="277" spans="1:28" ht="16.149999999999999" customHeight="1" x14ac:dyDescent="0.2">
      <c r="A277" s="312"/>
      <c r="B277" s="65" t="s">
        <v>780</v>
      </c>
      <c r="C277" s="315"/>
      <c r="D277" s="313"/>
      <c r="E277" s="64"/>
      <c r="F277" s="64"/>
      <c r="G277" s="64"/>
      <c r="H277" s="315"/>
      <c r="I277" s="313"/>
      <c r="J277" s="64"/>
      <c r="K277" s="64"/>
      <c r="L277" s="64"/>
      <c r="M277" s="315"/>
      <c r="N277" s="313"/>
      <c r="O277" s="64"/>
      <c r="P277" s="64"/>
      <c r="Q277" s="64"/>
      <c r="R277" s="315"/>
      <c r="S277" s="313"/>
      <c r="T277" s="64"/>
      <c r="U277" s="64"/>
      <c r="V277" s="64"/>
      <c r="W277" s="315"/>
      <c r="X277" s="313"/>
      <c r="Y277" s="64"/>
      <c r="Z277" s="64"/>
      <c r="AA277" s="64"/>
      <c r="AB277" s="315"/>
    </row>
    <row r="278" spans="1:28" ht="16.149999999999999" customHeight="1" x14ac:dyDescent="0.2">
      <c r="A278" s="312"/>
      <c r="B278" s="65" t="s">
        <v>781</v>
      </c>
      <c r="C278" s="315"/>
      <c r="D278" s="313"/>
      <c r="E278" s="64"/>
      <c r="F278" s="64"/>
      <c r="G278" s="64"/>
      <c r="H278" s="315"/>
      <c r="I278" s="313"/>
      <c r="J278" s="64"/>
      <c r="K278" s="64"/>
      <c r="L278" s="64"/>
      <c r="M278" s="315"/>
      <c r="N278" s="313"/>
      <c r="O278" s="64"/>
      <c r="P278" s="64"/>
      <c r="Q278" s="64"/>
      <c r="R278" s="315"/>
      <c r="S278" s="313"/>
      <c r="T278" s="64"/>
      <c r="U278" s="64"/>
      <c r="V278" s="64"/>
      <c r="W278" s="315"/>
      <c r="X278" s="313"/>
      <c r="Y278" s="64"/>
      <c r="Z278" s="64"/>
      <c r="AA278" s="64"/>
      <c r="AB278" s="315"/>
    </row>
    <row r="279" spans="1:28" ht="16.149999999999999" customHeight="1" x14ac:dyDescent="0.2">
      <c r="A279" s="312"/>
      <c r="B279" s="65" t="s">
        <v>782</v>
      </c>
      <c r="C279" s="315"/>
      <c r="D279" s="313"/>
      <c r="E279" s="63"/>
      <c r="F279" s="63"/>
      <c r="G279" s="63"/>
      <c r="H279" s="315"/>
      <c r="I279" s="313"/>
      <c r="J279" s="63"/>
      <c r="K279" s="63"/>
      <c r="L279" s="63"/>
      <c r="M279" s="315"/>
      <c r="N279" s="313"/>
      <c r="O279" s="63"/>
      <c r="P279" s="63"/>
      <c r="Q279" s="63"/>
      <c r="R279" s="315"/>
      <c r="S279" s="313"/>
      <c r="T279" s="63"/>
      <c r="U279" s="63"/>
      <c r="V279" s="63"/>
      <c r="W279" s="315"/>
      <c r="X279" s="313"/>
      <c r="Y279" s="63"/>
      <c r="Z279" s="63"/>
      <c r="AA279" s="63"/>
      <c r="AB279" s="315"/>
    </row>
    <row r="280" spans="1:28" ht="16.149999999999999" customHeight="1" x14ac:dyDescent="0.2">
      <c r="A280" s="312"/>
      <c r="B280" s="65" t="s">
        <v>1671</v>
      </c>
      <c r="C280" s="315"/>
      <c r="D280" s="313"/>
      <c r="E280" s="63"/>
      <c r="F280" s="63"/>
      <c r="G280" s="63"/>
      <c r="H280" s="315"/>
      <c r="I280" s="313"/>
      <c r="J280" s="63"/>
      <c r="K280" s="63"/>
      <c r="L280" s="63"/>
      <c r="M280" s="315"/>
      <c r="N280" s="313"/>
      <c r="O280" s="63"/>
      <c r="P280" s="63"/>
      <c r="Q280" s="63"/>
      <c r="R280" s="315"/>
      <c r="S280" s="313"/>
      <c r="T280" s="63"/>
      <c r="U280" s="63"/>
      <c r="V280" s="63"/>
      <c r="W280" s="315"/>
      <c r="X280" s="313"/>
      <c r="Y280" s="63"/>
      <c r="Z280" s="63"/>
      <c r="AA280" s="63"/>
      <c r="AB280" s="315"/>
    </row>
    <row r="281" spans="1:28" ht="16.149999999999999" customHeight="1" x14ac:dyDescent="0.2">
      <c r="A281" s="312"/>
      <c r="B281" s="65" t="s">
        <v>1727</v>
      </c>
      <c r="C281" s="315"/>
      <c r="D281" s="313"/>
      <c r="E281" s="63"/>
      <c r="F281" s="63"/>
      <c r="G281" s="63"/>
      <c r="H281" s="315"/>
      <c r="I281" s="313"/>
      <c r="J281" s="63"/>
      <c r="K281" s="63"/>
      <c r="L281" s="63"/>
      <c r="M281" s="315"/>
      <c r="N281" s="313"/>
      <c r="O281" s="63"/>
      <c r="P281" s="63"/>
      <c r="Q281" s="63"/>
      <c r="R281" s="315"/>
      <c r="S281" s="313"/>
      <c r="T281" s="63"/>
      <c r="U281" s="63"/>
      <c r="V281" s="63"/>
      <c r="W281" s="315"/>
      <c r="X281" s="313"/>
      <c r="Y281" s="63"/>
      <c r="Z281" s="63"/>
      <c r="AA281" s="63"/>
      <c r="AB281" s="315"/>
    </row>
    <row r="282" spans="1:28" ht="16.149999999999999" customHeight="1" x14ac:dyDescent="0.2">
      <c r="A282" s="312"/>
      <c r="B282" s="65" t="s">
        <v>1728</v>
      </c>
      <c r="C282" s="315"/>
      <c r="D282" s="313"/>
      <c r="E282" s="63"/>
      <c r="F282" s="63"/>
      <c r="G282" s="63"/>
      <c r="H282" s="315"/>
      <c r="I282" s="313"/>
      <c r="J282" s="63"/>
      <c r="K282" s="63"/>
      <c r="L282" s="63"/>
      <c r="M282" s="315"/>
      <c r="N282" s="313"/>
      <c r="O282" s="63"/>
      <c r="P282" s="63"/>
      <c r="Q282" s="63"/>
      <c r="R282" s="315"/>
      <c r="S282" s="313"/>
      <c r="T282" s="63"/>
      <c r="U282" s="63"/>
      <c r="V282" s="63"/>
      <c r="W282" s="315"/>
      <c r="X282" s="313"/>
      <c r="Y282" s="63"/>
      <c r="Z282" s="63"/>
      <c r="AA282" s="63"/>
      <c r="AB282" s="315"/>
    </row>
    <row r="283" spans="1:28" ht="16.149999999999999" customHeight="1" x14ac:dyDescent="0.2">
      <c r="A283" s="312"/>
      <c r="B283" s="65" t="s">
        <v>1729</v>
      </c>
      <c r="C283" s="315"/>
      <c r="D283" s="313"/>
      <c r="E283" s="63"/>
      <c r="F283" s="63"/>
      <c r="G283" s="63"/>
      <c r="H283" s="315"/>
      <c r="I283" s="313"/>
      <c r="J283" s="63"/>
      <c r="K283" s="63"/>
      <c r="L283" s="63"/>
      <c r="M283" s="315"/>
      <c r="N283" s="313"/>
      <c r="O283" s="63"/>
      <c r="P283" s="63"/>
      <c r="Q283" s="63"/>
      <c r="R283" s="315"/>
      <c r="S283" s="313"/>
      <c r="T283" s="63"/>
      <c r="U283" s="63"/>
      <c r="V283" s="63"/>
      <c r="W283" s="315"/>
      <c r="X283" s="313"/>
      <c r="Y283" s="63"/>
      <c r="Z283" s="63"/>
      <c r="AA283" s="63"/>
      <c r="AB283" s="315"/>
    </row>
    <row r="284" spans="1:28" ht="16.149999999999999" customHeight="1" x14ac:dyDescent="0.2">
      <c r="A284" s="312"/>
      <c r="B284" s="65" t="s">
        <v>1730</v>
      </c>
      <c r="C284" s="315"/>
      <c r="D284" s="313"/>
      <c r="E284" s="63"/>
      <c r="F284" s="63"/>
      <c r="G284" s="63"/>
      <c r="H284" s="315"/>
      <c r="I284" s="313"/>
      <c r="J284" s="63"/>
      <c r="K284" s="63"/>
      <c r="L284" s="63"/>
      <c r="M284" s="315"/>
      <c r="N284" s="313"/>
      <c r="O284" s="63"/>
      <c r="P284" s="63"/>
      <c r="Q284" s="63"/>
      <c r="R284" s="315"/>
      <c r="S284" s="313"/>
      <c r="T284" s="63"/>
      <c r="U284" s="63"/>
      <c r="V284" s="63"/>
      <c r="W284" s="315"/>
      <c r="X284" s="313"/>
      <c r="Y284" s="63"/>
      <c r="Z284" s="63"/>
      <c r="AA284" s="63"/>
      <c r="AB284" s="315"/>
    </row>
    <row r="285" spans="1:28" ht="16.149999999999999" customHeight="1" x14ac:dyDescent="0.2">
      <c r="A285" s="312"/>
      <c r="B285" s="65" t="s">
        <v>1731</v>
      </c>
      <c r="C285" s="315"/>
      <c r="D285" s="313"/>
      <c r="E285" s="63"/>
      <c r="F285" s="63"/>
      <c r="G285" s="63"/>
      <c r="H285" s="315"/>
      <c r="I285" s="313"/>
      <c r="J285" s="63"/>
      <c r="K285" s="63"/>
      <c r="L285" s="63"/>
      <c r="M285" s="315"/>
      <c r="N285" s="313"/>
      <c r="O285" s="63"/>
      <c r="P285" s="63"/>
      <c r="Q285" s="63"/>
      <c r="R285" s="315"/>
      <c r="S285" s="313"/>
      <c r="T285" s="63"/>
      <c r="U285" s="63"/>
      <c r="V285" s="63"/>
      <c r="W285" s="315"/>
      <c r="X285" s="313"/>
      <c r="Y285" s="63"/>
      <c r="Z285" s="63"/>
      <c r="AA285" s="63"/>
      <c r="AB285" s="315"/>
    </row>
    <row r="286" spans="1:28" ht="16.149999999999999" customHeight="1" x14ac:dyDescent="0.2">
      <c r="A286" s="312"/>
      <c r="B286" s="65" t="s">
        <v>1732</v>
      </c>
      <c r="C286" s="315"/>
      <c r="D286" s="313"/>
      <c r="E286" s="63"/>
      <c r="F286" s="63"/>
      <c r="G286" s="63"/>
      <c r="H286" s="315"/>
      <c r="I286" s="313"/>
      <c r="J286" s="63"/>
      <c r="K286" s="63"/>
      <c r="L286" s="63"/>
      <c r="M286" s="315"/>
      <c r="N286" s="313"/>
      <c r="O286" s="63"/>
      <c r="P286" s="63"/>
      <c r="Q286" s="63"/>
      <c r="R286" s="315"/>
      <c r="S286" s="313"/>
      <c r="T286" s="63"/>
      <c r="U286" s="63"/>
      <c r="V286" s="63"/>
      <c r="W286" s="315"/>
      <c r="X286" s="313"/>
      <c r="Y286" s="63"/>
      <c r="Z286" s="63"/>
      <c r="AA286" s="63"/>
      <c r="AB286" s="315"/>
    </row>
    <row r="287" spans="1:28" ht="16.149999999999999" customHeight="1" x14ac:dyDescent="0.2">
      <c r="A287" s="312"/>
      <c r="B287" s="65" t="s">
        <v>1733</v>
      </c>
      <c r="C287" s="315"/>
      <c r="D287" s="313"/>
      <c r="E287" s="63"/>
      <c r="F287" s="63"/>
      <c r="G287" s="63"/>
      <c r="H287" s="315"/>
      <c r="I287" s="313"/>
      <c r="J287" s="63"/>
      <c r="K287" s="63"/>
      <c r="L287" s="63"/>
      <c r="M287" s="315"/>
      <c r="N287" s="313"/>
      <c r="O287" s="63"/>
      <c r="P287" s="63"/>
      <c r="Q287" s="63"/>
      <c r="R287" s="315"/>
      <c r="S287" s="313"/>
      <c r="T287" s="63"/>
      <c r="U287" s="63"/>
      <c r="V287" s="63"/>
      <c r="W287" s="315"/>
      <c r="X287" s="313"/>
      <c r="Y287" s="63"/>
      <c r="Z287" s="63"/>
      <c r="AA287" s="63"/>
      <c r="AB287" s="315"/>
    </row>
    <row r="288" spans="1:28" ht="16.149999999999999" customHeight="1" x14ac:dyDescent="0.2">
      <c r="A288" s="312"/>
      <c r="B288" s="65" t="s">
        <v>1734</v>
      </c>
      <c r="C288" s="315"/>
      <c r="D288" s="313"/>
      <c r="E288" s="63"/>
      <c r="F288" s="63"/>
      <c r="G288" s="63"/>
      <c r="H288" s="315"/>
      <c r="I288" s="313"/>
      <c r="J288" s="63"/>
      <c r="K288" s="63"/>
      <c r="L288" s="63"/>
      <c r="M288" s="315"/>
      <c r="N288" s="313"/>
      <c r="O288" s="63"/>
      <c r="P288" s="63"/>
      <c r="Q288" s="63"/>
      <c r="R288" s="315"/>
      <c r="S288" s="313"/>
      <c r="T288" s="63"/>
      <c r="U288" s="63"/>
      <c r="V288" s="63"/>
      <c r="W288" s="315"/>
      <c r="X288" s="313"/>
      <c r="Y288" s="63"/>
      <c r="Z288" s="63"/>
      <c r="AA288" s="63"/>
      <c r="AB288" s="315"/>
    </row>
    <row r="289" spans="1:28" ht="16.149999999999999" customHeight="1" x14ac:dyDescent="0.2">
      <c r="A289" s="312"/>
      <c r="B289" s="65" t="s">
        <v>1735</v>
      </c>
      <c r="C289" s="315"/>
      <c r="D289" s="313"/>
      <c r="E289" s="63"/>
      <c r="F289" s="63"/>
      <c r="G289" s="63"/>
      <c r="H289" s="315"/>
      <c r="I289" s="313"/>
      <c r="J289" s="63"/>
      <c r="K289" s="63"/>
      <c r="L289" s="63"/>
      <c r="M289" s="315"/>
      <c r="N289" s="313"/>
      <c r="O289" s="63"/>
      <c r="P289" s="63"/>
      <c r="Q289" s="63"/>
      <c r="R289" s="315"/>
      <c r="S289" s="313"/>
      <c r="T289" s="63"/>
      <c r="U289" s="63"/>
      <c r="V289" s="63"/>
      <c r="W289" s="315"/>
      <c r="X289" s="313"/>
      <c r="Y289" s="63"/>
      <c r="Z289" s="63"/>
      <c r="AA289" s="63"/>
      <c r="AB289" s="315"/>
    </row>
    <row r="290" spans="1:28" ht="16.149999999999999" customHeight="1" x14ac:dyDescent="0.2">
      <c r="A290" s="312"/>
      <c r="B290" s="65" t="s">
        <v>1736</v>
      </c>
      <c r="C290" s="315"/>
      <c r="D290" s="313"/>
      <c r="E290" s="63"/>
      <c r="F290" s="63"/>
      <c r="G290" s="63"/>
      <c r="H290" s="315"/>
      <c r="I290" s="313"/>
      <c r="J290" s="63"/>
      <c r="K290" s="63"/>
      <c r="L290" s="63"/>
      <c r="M290" s="315"/>
      <c r="N290" s="313"/>
      <c r="O290" s="63"/>
      <c r="P290" s="63"/>
      <c r="Q290" s="63"/>
      <c r="R290" s="315"/>
      <c r="S290" s="313"/>
      <c r="T290" s="63"/>
      <c r="U290" s="63"/>
      <c r="V290" s="63"/>
      <c r="W290" s="315"/>
      <c r="X290" s="313"/>
      <c r="Y290" s="63"/>
      <c r="Z290" s="63"/>
      <c r="AA290" s="63"/>
      <c r="AB290" s="315"/>
    </row>
    <row r="291" spans="1:28" ht="16.149999999999999" customHeight="1" x14ac:dyDescent="0.2">
      <c r="A291" s="312"/>
      <c r="B291" s="65" t="s">
        <v>1737</v>
      </c>
      <c r="C291" s="315"/>
      <c r="D291" s="313"/>
      <c r="E291" s="63"/>
      <c r="F291" s="63"/>
      <c r="G291" s="63"/>
      <c r="H291" s="315"/>
      <c r="I291" s="313"/>
      <c r="J291" s="63"/>
      <c r="K291" s="63"/>
      <c r="L291" s="63"/>
      <c r="M291" s="315"/>
      <c r="N291" s="313"/>
      <c r="O291" s="63"/>
      <c r="P291" s="63"/>
      <c r="Q291" s="63"/>
      <c r="R291" s="315"/>
      <c r="S291" s="313"/>
      <c r="T291" s="63"/>
      <c r="U291" s="63"/>
      <c r="V291" s="63"/>
      <c r="W291" s="315"/>
      <c r="X291" s="313"/>
      <c r="Y291" s="63"/>
      <c r="Z291" s="63"/>
      <c r="AA291" s="63"/>
      <c r="AB291" s="315"/>
    </row>
    <row r="292" spans="1:28" ht="16.149999999999999" customHeight="1" x14ac:dyDescent="0.2">
      <c r="A292" s="312"/>
      <c r="B292" s="65" t="s">
        <v>1738</v>
      </c>
      <c r="C292" s="315"/>
      <c r="D292" s="313"/>
      <c r="E292" s="63"/>
      <c r="F292" s="63"/>
      <c r="G292" s="63"/>
      <c r="H292" s="315"/>
      <c r="I292" s="313"/>
      <c r="J292" s="63"/>
      <c r="K292" s="63"/>
      <c r="L292" s="63"/>
      <c r="M292" s="315"/>
      <c r="N292" s="313"/>
      <c r="O292" s="63"/>
      <c r="P292" s="63"/>
      <c r="Q292" s="63"/>
      <c r="R292" s="315"/>
      <c r="S292" s="313"/>
      <c r="T292" s="63"/>
      <c r="U292" s="63"/>
      <c r="V292" s="63"/>
      <c r="W292" s="315"/>
      <c r="X292" s="313"/>
      <c r="Y292" s="63"/>
      <c r="Z292" s="63"/>
      <c r="AA292" s="63"/>
      <c r="AB292" s="315"/>
    </row>
    <row r="293" spans="1:28" ht="16.149999999999999" customHeight="1" x14ac:dyDescent="0.2">
      <c r="A293" s="312"/>
      <c r="B293" s="65" t="s">
        <v>1739</v>
      </c>
      <c r="C293" s="315"/>
      <c r="D293" s="313"/>
      <c r="E293" s="63"/>
      <c r="F293" s="63"/>
      <c r="G293" s="63"/>
      <c r="H293" s="315"/>
      <c r="I293" s="313"/>
      <c r="J293" s="63"/>
      <c r="K293" s="63"/>
      <c r="L293" s="63"/>
      <c r="M293" s="315"/>
      <c r="N293" s="313"/>
      <c r="O293" s="63"/>
      <c r="P293" s="63"/>
      <c r="Q293" s="63"/>
      <c r="R293" s="315"/>
      <c r="S293" s="313"/>
      <c r="T293" s="63"/>
      <c r="U293" s="63"/>
      <c r="V293" s="63"/>
      <c r="W293" s="315"/>
      <c r="X293" s="313"/>
      <c r="Y293" s="63"/>
      <c r="Z293" s="63"/>
      <c r="AA293" s="63"/>
      <c r="AB293" s="315"/>
    </row>
    <row r="294" spans="1:28" ht="16.149999999999999" customHeight="1" x14ac:dyDescent="0.2">
      <c r="A294" s="312"/>
      <c r="B294" s="66" t="s">
        <v>871</v>
      </c>
      <c r="C294" s="315"/>
      <c r="D294" s="313"/>
      <c r="E294" s="63"/>
      <c r="F294" s="63"/>
      <c r="G294" s="63"/>
      <c r="H294" s="315"/>
      <c r="I294" s="313"/>
      <c r="J294" s="63"/>
      <c r="K294" s="63"/>
      <c r="L294" s="63"/>
      <c r="M294" s="315"/>
      <c r="N294" s="313"/>
      <c r="O294" s="63"/>
      <c r="P294" s="63"/>
      <c r="Q294" s="63"/>
      <c r="R294" s="315"/>
      <c r="S294" s="313"/>
      <c r="T294" s="63"/>
      <c r="U294" s="63"/>
      <c r="V294" s="63"/>
      <c r="W294" s="315"/>
      <c r="X294" s="313"/>
      <c r="Y294" s="63"/>
      <c r="Z294" s="63"/>
      <c r="AA294" s="63"/>
      <c r="AB294" s="315"/>
    </row>
    <row r="295" spans="1:28" ht="16.149999999999999" customHeight="1" x14ac:dyDescent="0.2">
      <c r="A295" s="312"/>
      <c r="B295" s="65" t="s">
        <v>1740</v>
      </c>
      <c r="C295" s="315"/>
      <c r="D295" s="313"/>
      <c r="E295" s="63"/>
      <c r="F295" s="63"/>
      <c r="G295" s="63"/>
      <c r="H295" s="315"/>
      <c r="I295" s="313"/>
      <c r="J295" s="63"/>
      <c r="K295" s="63"/>
      <c r="L295" s="63"/>
      <c r="M295" s="315"/>
      <c r="N295" s="313"/>
      <c r="O295" s="63"/>
      <c r="P295" s="63"/>
      <c r="Q295" s="63"/>
      <c r="R295" s="315"/>
      <c r="S295" s="313"/>
      <c r="T295" s="63"/>
      <c r="U295" s="63"/>
      <c r="V295" s="63"/>
      <c r="W295" s="315"/>
      <c r="X295" s="313"/>
      <c r="Y295" s="63"/>
      <c r="Z295" s="63"/>
      <c r="AA295" s="63"/>
      <c r="AB295" s="315"/>
    </row>
    <row r="296" spans="1:28" ht="16.149999999999999" customHeight="1" x14ac:dyDescent="0.2">
      <c r="A296" s="312"/>
      <c r="B296" s="65" t="s">
        <v>1750</v>
      </c>
      <c r="C296" s="315"/>
      <c r="D296" s="313"/>
      <c r="E296" s="63"/>
      <c r="F296" s="63"/>
      <c r="G296" s="63"/>
      <c r="H296" s="315"/>
      <c r="I296" s="313"/>
      <c r="J296" s="63"/>
      <c r="K296" s="63"/>
      <c r="L296" s="63"/>
      <c r="M296" s="315"/>
      <c r="N296" s="313"/>
      <c r="O296" s="63"/>
      <c r="P296" s="63"/>
      <c r="Q296" s="63"/>
      <c r="R296" s="315"/>
      <c r="S296" s="313"/>
      <c r="T296" s="63"/>
      <c r="U296" s="63"/>
      <c r="V296" s="63"/>
      <c r="W296" s="315"/>
      <c r="X296" s="313"/>
      <c r="Y296" s="63"/>
      <c r="Z296" s="63"/>
      <c r="AA296" s="63"/>
      <c r="AB296" s="315"/>
    </row>
    <row r="297" spans="1:28" ht="16.149999999999999" customHeight="1" x14ac:dyDescent="0.2">
      <c r="A297" s="312"/>
      <c r="B297" s="65" t="s">
        <v>1751</v>
      </c>
      <c r="C297" s="315"/>
      <c r="D297" s="313"/>
      <c r="E297" s="63"/>
      <c r="F297" s="63"/>
      <c r="G297" s="63"/>
      <c r="H297" s="315"/>
      <c r="I297" s="313"/>
      <c r="J297" s="63"/>
      <c r="K297" s="63"/>
      <c r="L297" s="63"/>
      <c r="M297" s="315"/>
      <c r="N297" s="313"/>
      <c r="O297" s="63"/>
      <c r="P297" s="63"/>
      <c r="Q297" s="63"/>
      <c r="R297" s="315"/>
      <c r="S297" s="313"/>
      <c r="T297" s="63"/>
      <c r="U297" s="63"/>
      <c r="V297" s="63"/>
      <c r="W297" s="315"/>
      <c r="X297" s="313"/>
      <c r="Y297" s="63"/>
      <c r="Z297" s="63"/>
      <c r="AA297" s="63"/>
      <c r="AB297" s="315"/>
    </row>
    <row r="298" spans="1:28" ht="16.149999999999999" customHeight="1" x14ac:dyDescent="0.2">
      <c r="A298" s="312"/>
      <c r="B298" s="65" t="s">
        <v>1749</v>
      </c>
      <c r="C298" s="315"/>
      <c r="D298" s="313"/>
      <c r="E298" s="63"/>
      <c r="F298" s="63"/>
      <c r="G298" s="63"/>
      <c r="H298" s="315"/>
      <c r="I298" s="313"/>
      <c r="J298" s="63"/>
      <c r="K298" s="63"/>
      <c r="L298" s="63"/>
      <c r="M298" s="315"/>
      <c r="N298" s="313"/>
      <c r="O298" s="63"/>
      <c r="P298" s="63"/>
      <c r="Q298" s="63"/>
      <c r="R298" s="315"/>
      <c r="S298" s="313"/>
      <c r="T298" s="63"/>
      <c r="U298" s="63"/>
      <c r="V298" s="63"/>
      <c r="W298" s="315"/>
      <c r="X298" s="313"/>
      <c r="Y298" s="63"/>
      <c r="Z298" s="63"/>
      <c r="AA298" s="63"/>
      <c r="AB298" s="315"/>
    </row>
    <row r="299" spans="1:28" ht="16.149999999999999" customHeight="1" x14ac:dyDescent="0.2">
      <c r="A299" s="312"/>
      <c r="B299" s="65" t="s">
        <v>1752</v>
      </c>
      <c r="C299" s="315"/>
      <c r="D299" s="313"/>
      <c r="E299" s="63"/>
      <c r="F299" s="63"/>
      <c r="G299" s="63"/>
      <c r="H299" s="315"/>
      <c r="I299" s="313"/>
      <c r="J299" s="63"/>
      <c r="K299" s="63"/>
      <c r="L299" s="63"/>
      <c r="M299" s="315"/>
      <c r="N299" s="313"/>
      <c r="O299" s="63"/>
      <c r="P299" s="63"/>
      <c r="Q299" s="63"/>
      <c r="R299" s="315"/>
      <c r="S299" s="313"/>
      <c r="T299" s="63"/>
      <c r="U299" s="63"/>
      <c r="V299" s="63"/>
      <c r="W299" s="315"/>
      <c r="X299" s="313"/>
      <c r="Y299" s="63"/>
      <c r="Z299" s="63"/>
      <c r="AA299" s="63"/>
      <c r="AB299" s="315"/>
    </row>
    <row r="300" spans="1:28" ht="16.149999999999999" customHeight="1" x14ac:dyDescent="0.2">
      <c r="A300" s="312"/>
      <c r="B300" s="66" t="s">
        <v>1005</v>
      </c>
      <c r="C300" s="315"/>
      <c r="D300" s="313"/>
      <c r="E300" s="63"/>
      <c r="F300" s="63"/>
      <c r="G300" s="63"/>
      <c r="H300" s="315"/>
      <c r="I300" s="313"/>
      <c r="J300" s="63"/>
      <c r="K300" s="63"/>
      <c r="L300" s="63"/>
      <c r="M300" s="315"/>
      <c r="N300" s="313"/>
      <c r="O300" s="63"/>
      <c r="P300" s="63"/>
      <c r="Q300" s="63"/>
      <c r="R300" s="315"/>
      <c r="S300" s="313"/>
      <c r="T300" s="63"/>
      <c r="U300" s="63"/>
      <c r="V300" s="63"/>
      <c r="W300" s="315"/>
      <c r="X300" s="313"/>
      <c r="Y300" s="63"/>
      <c r="Z300" s="63"/>
      <c r="AA300" s="63"/>
      <c r="AB300" s="315"/>
    </row>
    <row r="301" spans="1:28" ht="16.149999999999999" customHeight="1" x14ac:dyDescent="0.2">
      <c r="A301" s="312"/>
      <c r="B301" s="65" t="s">
        <v>1741</v>
      </c>
      <c r="C301" s="315"/>
      <c r="D301" s="313"/>
      <c r="E301" s="63"/>
      <c r="F301" s="63"/>
      <c r="G301" s="63"/>
      <c r="H301" s="315"/>
      <c r="I301" s="313"/>
      <c r="J301" s="63"/>
      <c r="K301" s="63"/>
      <c r="L301" s="63"/>
      <c r="M301" s="315"/>
      <c r="N301" s="313"/>
      <c r="O301" s="63"/>
      <c r="P301" s="63"/>
      <c r="Q301" s="63"/>
      <c r="R301" s="315"/>
      <c r="S301" s="313"/>
      <c r="T301" s="63"/>
      <c r="U301" s="63"/>
      <c r="V301" s="63"/>
      <c r="W301" s="315"/>
      <c r="X301" s="313"/>
      <c r="Y301" s="63"/>
      <c r="Z301" s="63"/>
      <c r="AA301" s="63"/>
      <c r="AB301" s="315"/>
    </row>
    <row r="302" spans="1:28" ht="16.149999999999999" customHeight="1" x14ac:dyDescent="0.2">
      <c r="A302" s="312"/>
      <c r="B302" s="65" t="s">
        <v>1742</v>
      </c>
      <c r="C302" s="315"/>
      <c r="D302" s="313"/>
      <c r="E302" s="63"/>
      <c r="F302" s="63"/>
      <c r="G302" s="63"/>
      <c r="H302" s="315"/>
      <c r="I302" s="313"/>
      <c r="J302" s="63"/>
      <c r="K302" s="63"/>
      <c r="L302" s="63"/>
      <c r="M302" s="315"/>
      <c r="N302" s="313"/>
      <c r="O302" s="63"/>
      <c r="P302" s="63"/>
      <c r="Q302" s="63"/>
      <c r="R302" s="315"/>
      <c r="S302" s="313"/>
      <c r="T302" s="63"/>
      <c r="U302" s="63"/>
      <c r="V302" s="63"/>
      <c r="W302" s="315"/>
      <c r="X302" s="313"/>
      <c r="Y302" s="63"/>
      <c r="Z302" s="63"/>
      <c r="AA302" s="63"/>
      <c r="AB302" s="315"/>
    </row>
    <row r="303" spans="1:28" ht="16.149999999999999" customHeight="1" x14ac:dyDescent="0.2">
      <c r="A303" s="312"/>
      <c r="B303" s="65" t="s">
        <v>1743</v>
      </c>
      <c r="C303" s="315"/>
      <c r="D303" s="313"/>
      <c r="E303" s="63"/>
      <c r="F303" s="63"/>
      <c r="G303" s="63"/>
      <c r="H303" s="315"/>
      <c r="I303" s="313"/>
      <c r="J303" s="63"/>
      <c r="K303" s="63"/>
      <c r="L303" s="63"/>
      <c r="M303" s="315"/>
      <c r="N303" s="313"/>
      <c r="O303" s="63"/>
      <c r="P303" s="63"/>
      <c r="Q303" s="63"/>
      <c r="R303" s="315"/>
      <c r="S303" s="313"/>
      <c r="T303" s="63"/>
      <c r="U303" s="63"/>
      <c r="V303" s="63"/>
      <c r="W303" s="315"/>
      <c r="X303" s="313"/>
      <c r="Y303" s="63"/>
      <c r="Z303" s="63"/>
      <c r="AA303" s="63"/>
      <c r="AB303" s="315"/>
    </row>
    <row r="304" spans="1:28" ht="16.149999999999999" customHeight="1" x14ac:dyDescent="0.2">
      <c r="A304" s="312"/>
      <c r="B304" s="65" t="s">
        <v>1744</v>
      </c>
      <c r="C304" s="316"/>
      <c r="D304" s="314"/>
      <c r="E304" s="63"/>
      <c r="F304" s="63"/>
      <c r="G304" s="63"/>
      <c r="H304" s="316"/>
      <c r="I304" s="314"/>
      <c r="J304" s="63"/>
      <c r="K304" s="63"/>
      <c r="L304" s="63"/>
      <c r="M304" s="316"/>
      <c r="N304" s="314"/>
      <c r="O304" s="63"/>
      <c r="P304" s="63"/>
      <c r="Q304" s="63"/>
      <c r="R304" s="316"/>
      <c r="S304" s="314"/>
      <c r="T304" s="63"/>
      <c r="U304" s="63"/>
      <c r="V304" s="63"/>
      <c r="W304" s="316"/>
      <c r="X304" s="314"/>
      <c r="Y304" s="63"/>
      <c r="Z304" s="63"/>
      <c r="AA304" s="63"/>
      <c r="AB304" s="316"/>
    </row>
    <row r="305" spans="1:28" ht="32.25" customHeight="1" x14ac:dyDescent="0.2">
      <c r="A305" s="322" t="s">
        <v>12</v>
      </c>
      <c r="B305" s="37" t="s">
        <v>436</v>
      </c>
      <c r="C305" s="317">
        <f>D305+E305+F305+G305</f>
        <v>0</v>
      </c>
      <c r="D305" s="318">
        <v>0</v>
      </c>
      <c r="E305" s="38">
        <v>0</v>
      </c>
      <c r="F305" s="38">
        <v>0</v>
      </c>
      <c r="G305" s="38">
        <v>0</v>
      </c>
      <c r="H305" s="317">
        <f>I305+J305+K305+L305</f>
        <v>0</v>
      </c>
      <c r="I305" s="318">
        <v>0</v>
      </c>
      <c r="J305" s="38">
        <v>0</v>
      </c>
      <c r="K305" s="38">
        <v>0</v>
      </c>
      <c r="L305" s="38">
        <v>0</v>
      </c>
      <c r="M305" s="317">
        <f>N305</f>
        <v>256</v>
      </c>
      <c r="N305" s="318">
        <f t="shared" ref="N305" si="7">1417-578-583</f>
        <v>256</v>
      </c>
      <c r="O305" s="38">
        <v>0</v>
      </c>
      <c r="P305" s="38">
        <v>0</v>
      </c>
      <c r="Q305" s="38">
        <v>0</v>
      </c>
      <c r="R305" s="317">
        <f>S305</f>
        <v>4886</v>
      </c>
      <c r="S305" s="318">
        <f>1417+3469</f>
        <v>4886</v>
      </c>
      <c r="T305" s="38">
        <v>0</v>
      </c>
      <c r="U305" s="38">
        <v>0</v>
      </c>
      <c r="V305" s="38">
        <v>0</v>
      </c>
      <c r="W305" s="317">
        <f>X305</f>
        <v>256</v>
      </c>
      <c r="X305" s="318">
        <v>256</v>
      </c>
      <c r="Y305" s="38">
        <v>0</v>
      </c>
      <c r="Z305" s="38">
        <v>0</v>
      </c>
      <c r="AA305" s="38">
        <v>0</v>
      </c>
      <c r="AB305" s="317">
        <f>C305+H305+M305+R305+W305</f>
        <v>5398</v>
      </c>
    </row>
    <row r="306" spans="1:28" ht="18" customHeight="1" x14ac:dyDescent="0.2">
      <c r="A306" s="323"/>
      <c r="B306" s="40" t="s">
        <v>783</v>
      </c>
      <c r="C306" s="315"/>
      <c r="D306" s="313"/>
      <c r="E306" s="38"/>
      <c r="F306" s="38"/>
      <c r="G306" s="38"/>
      <c r="H306" s="315"/>
      <c r="I306" s="313"/>
      <c r="J306" s="38"/>
      <c r="K306" s="38"/>
      <c r="L306" s="38"/>
      <c r="M306" s="315"/>
      <c r="N306" s="313"/>
      <c r="O306" s="38"/>
      <c r="P306" s="38"/>
      <c r="Q306" s="38"/>
      <c r="R306" s="315"/>
      <c r="S306" s="313"/>
      <c r="T306" s="38"/>
      <c r="U306" s="38"/>
      <c r="V306" s="38"/>
      <c r="W306" s="315"/>
      <c r="X306" s="313"/>
      <c r="Y306" s="38"/>
      <c r="Z306" s="38"/>
      <c r="AA306" s="38"/>
      <c r="AB306" s="315"/>
    </row>
    <row r="307" spans="1:28" ht="18" customHeight="1" x14ac:dyDescent="0.2">
      <c r="A307" s="323"/>
      <c r="B307" s="41" t="s">
        <v>1662</v>
      </c>
      <c r="C307" s="315"/>
      <c r="D307" s="313"/>
      <c r="E307" s="38"/>
      <c r="F307" s="38"/>
      <c r="G307" s="38"/>
      <c r="H307" s="315"/>
      <c r="I307" s="313"/>
      <c r="J307" s="38"/>
      <c r="K307" s="38"/>
      <c r="L307" s="38"/>
      <c r="M307" s="315"/>
      <c r="N307" s="313"/>
      <c r="O307" s="38"/>
      <c r="P307" s="38"/>
      <c r="Q307" s="38"/>
      <c r="R307" s="315"/>
      <c r="S307" s="313"/>
      <c r="T307" s="38"/>
      <c r="U307" s="38"/>
      <c r="V307" s="38"/>
      <c r="W307" s="315"/>
      <c r="X307" s="313"/>
      <c r="Y307" s="38"/>
      <c r="Z307" s="38"/>
      <c r="AA307" s="38"/>
      <c r="AB307" s="315"/>
    </row>
    <row r="308" spans="1:28" ht="18" customHeight="1" x14ac:dyDescent="0.2">
      <c r="A308" s="323"/>
      <c r="B308" s="40" t="s">
        <v>871</v>
      </c>
      <c r="C308" s="315"/>
      <c r="D308" s="313"/>
      <c r="E308" s="38"/>
      <c r="F308" s="38"/>
      <c r="G308" s="38"/>
      <c r="H308" s="315"/>
      <c r="I308" s="313"/>
      <c r="J308" s="38"/>
      <c r="K308" s="38"/>
      <c r="L308" s="38"/>
      <c r="M308" s="315"/>
      <c r="N308" s="313"/>
      <c r="O308" s="38"/>
      <c r="P308" s="38"/>
      <c r="Q308" s="38"/>
      <c r="R308" s="315"/>
      <c r="S308" s="313"/>
      <c r="T308" s="38"/>
      <c r="U308" s="38"/>
      <c r="V308" s="38"/>
      <c r="W308" s="315"/>
      <c r="X308" s="313"/>
      <c r="Y308" s="38"/>
      <c r="Z308" s="38"/>
      <c r="AA308" s="38"/>
      <c r="AB308" s="315"/>
    </row>
    <row r="309" spans="1:28" ht="15.75" customHeight="1" x14ac:dyDescent="0.2">
      <c r="A309" s="323"/>
      <c r="B309" s="41" t="s">
        <v>877</v>
      </c>
      <c r="C309" s="315"/>
      <c r="D309" s="313"/>
      <c r="E309" s="38"/>
      <c r="F309" s="38"/>
      <c r="G309" s="38"/>
      <c r="H309" s="315"/>
      <c r="I309" s="313"/>
      <c r="J309" s="38"/>
      <c r="K309" s="38"/>
      <c r="L309" s="38"/>
      <c r="M309" s="315"/>
      <c r="N309" s="313"/>
      <c r="O309" s="38"/>
      <c r="P309" s="38"/>
      <c r="Q309" s="38"/>
      <c r="R309" s="315"/>
      <c r="S309" s="313"/>
      <c r="T309" s="38"/>
      <c r="U309" s="38"/>
      <c r="V309" s="38"/>
      <c r="W309" s="315"/>
      <c r="X309" s="313"/>
      <c r="Y309" s="38"/>
      <c r="Z309" s="38"/>
      <c r="AA309" s="38"/>
      <c r="AB309" s="315"/>
    </row>
    <row r="310" spans="1:28" ht="15.75" customHeight="1" x14ac:dyDescent="0.2">
      <c r="A310" s="323"/>
      <c r="B310" s="41" t="s">
        <v>448</v>
      </c>
      <c r="C310" s="315"/>
      <c r="D310" s="313"/>
      <c r="E310" s="38"/>
      <c r="F310" s="38"/>
      <c r="G310" s="38"/>
      <c r="H310" s="315"/>
      <c r="I310" s="313"/>
      <c r="J310" s="38"/>
      <c r="K310" s="38"/>
      <c r="L310" s="38"/>
      <c r="M310" s="315"/>
      <c r="N310" s="313"/>
      <c r="O310" s="38"/>
      <c r="P310" s="38"/>
      <c r="Q310" s="38"/>
      <c r="R310" s="315"/>
      <c r="S310" s="313"/>
      <c r="T310" s="38"/>
      <c r="U310" s="38"/>
      <c r="V310" s="38"/>
      <c r="W310" s="315"/>
      <c r="X310" s="313"/>
      <c r="Y310" s="38"/>
      <c r="Z310" s="38"/>
      <c r="AA310" s="38"/>
      <c r="AB310" s="315"/>
    </row>
    <row r="311" spans="1:28" ht="15.75" customHeight="1" x14ac:dyDescent="0.2">
      <c r="A311" s="323"/>
      <c r="B311" s="41" t="s">
        <v>881</v>
      </c>
      <c r="C311" s="315"/>
      <c r="D311" s="313"/>
      <c r="E311" s="38"/>
      <c r="F311" s="38"/>
      <c r="G311" s="38"/>
      <c r="H311" s="315"/>
      <c r="I311" s="313"/>
      <c r="J311" s="38"/>
      <c r="K311" s="38"/>
      <c r="L311" s="38"/>
      <c r="M311" s="315"/>
      <c r="N311" s="313"/>
      <c r="O311" s="38"/>
      <c r="P311" s="38"/>
      <c r="Q311" s="38"/>
      <c r="R311" s="315"/>
      <c r="S311" s="313"/>
      <c r="T311" s="38"/>
      <c r="U311" s="38"/>
      <c r="V311" s="38"/>
      <c r="W311" s="315"/>
      <c r="X311" s="313"/>
      <c r="Y311" s="38"/>
      <c r="Z311" s="38"/>
      <c r="AA311" s="38"/>
      <c r="AB311" s="315"/>
    </row>
    <row r="312" spans="1:28" ht="18" customHeight="1" x14ac:dyDescent="0.2">
      <c r="A312" s="323"/>
      <c r="B312" s="41" t="s">
        <v>882</v>
      </c>
      <c r="C312" s="315"/>
      <c r="D312" s="313"/>
      <c r="E312" s="38"/>
      <c r="F312" s="38"/>
      <c r="G312" s="38"/>
      <c r="H312" s="315"/>
      <c r="I312" s="313"/>
      <c r="J312" s="38"/>
      <c r="K312" s="38"/>
      <c r="L312" s="38"/>
      <c r="M312" s="315"/>
      <c r="N312" s="313"/>
      <c r="O312" s="38"/>
      <c r="P312" s="38"/>
      <c r="Q312" s="38"/>
      <c r="R312" s="315"/>
      <c r="S312" s="313"/>
      <c r="T312" s="38"/>
      <c r="U312" s="38"/>
      <c r="V312" s="38"/>
      <c r="W312" s="315"/>
      <c r="X312" s="313"/>
      <c r="Y312" s="38"/>
      <c r="Z312" s="38"/>
      <c r="AA312" s="38"/>
      <c r="AB312" s="315"/>
    </row>
    <row r="313" spans="1:28" ht="17.25" customHeight="1" x14ac:dyDescent="0.2">
      <c r="A313" s="323"/>
      <c r="B313" s="41" t="s">
        <v>809</v>
      </c>
      <c r="C313" s="315"/>
      <c r="D313" s="313"/>
      <c r="E313" s="38"/>
      <c r="F313" s="38"/>
      <c r="G313" s="38"/>
      <c r="H313" s="315"/>
      <c r="I313" s="313"/>
      <c r="J313" s="38"/>
      <c r="K313" s="38"/>
      <c r="L313" s="38"/>
      <c r="M313" s="315"/>
      <c r="N313" s="313"/>
      <c r="O313" s="38"/>
      <c r="P313" s="38"/>
      <c r="Q313" s="38"/>
      <c r="R313" s="315"/>
      <c r="S313" s="313"/>
      <c r="T313" s="38"/>
      <c r="U313" s="38"/>
      <c r="V313" s="38"/>
      <c r="W313" s="315"/>
      <c r="X313" s="313"/>
      <c r="Y313" s="38"/>
      <c r="Z313" s="38"/>
      <c r="AA313" s="38"/>
      <c r="AB313" s="315"/>
    </row>
    <row r="314" spans="1:28" ht="18" customHeight="1" x14ac:dyDescent="0.2">
      <c r="A314" s="323"/>
      <c r="B314" s="41" t="s">
        <v>807</v>
      </c>
      <c r="C314" s="315"/>
      <c r="D314" s="313"/>
      <c r="E314" s="38"/>
      <c r="F314" s="38"/>
      <c r="G314" s="38"/>
      <c r="H314" s="315"/>
      <c r="I314" s="313"/>
      <c r="J314" s="38"/>
      <c r="K314" s="38"/>
      <c r="L314" s="38"/>
      <c r="M314" s="315"/>
      <c r="N314" s="313"/>
      <c r="O314" s="38"/>
      <c r="P314" s="38"/>
      <c r="Q314" s="38"/>
      <c r="R314" s="315"/>
      <c r="S314" s="313"/>
      <c r="T314" s="38"/>
      <c r="U314" s="38"/>
      <c r="V314" s="38"/>
      <c r="W314" s="315"/>
      <c r="X314" s="313"/>
      <c r="Y314" s="38"/>
      <c r="Z314" s="38"/>
      <c r="AA314" s="38"/>
      <c r="AB314" s="315"/>
    </row>
    <row r="315" spans="1:28" ht="18" customHeight="1" x14ac:dyDescent="0.2">
      <c r="A315" s="323"/>
      <c r="B315" s="41" t="s">
        <v>808</v>
      </c>
      <c r="C315" s="315"/>
      <c r="D315" s="313"/>
      <c r="E315" s="38"/>
      <c r="F315" s="38"/>
      <c r="G315" s="38"/>
      <c r="H315" s="315"/>
      <c r="I315" s="313"/>
      <c r="J315" s="38"/>
      <c r="K315" s="38"/>
      <c r="L315" s="38"/>
      <c r="M315" s="315"/>
      <c r="N315" s="313"/>
      <c r="O315" s="38"/>
      <c r="P315" s="38"/>
      <c r="Q315" s="38"/>
      <c r="R315" s="315"/>
      <c r="S315" s="313"/>
      <c r="T315" s="38"/>
      <c r="U315" s="38"/>
      <c r="V315" s="38"/>
      <c r="W315" s="315"/>
      <c r="X315" s="313"/>
      <c r="Y315" s="38"/>
      <c r="Z315" s="38"/>
      <c r="AA315" s="38"/>
      <c r="AB315" s="315"/>
    </row>
    <row r="316" spans="1:28" ht="18" customHeight="1" x14ac:dyDescent="0.2">
      <c r="A316" s="323"/>
      <c r="B316" s="41" t="s">
        <v>872</v>
      </c>
      <c r="C316" s="315"/>
      <c r="D316" s="313"/>
      <c r="E316" s="38"/>
      <c r="F316" s="38"/>
      <c r="G316" s="38"/>
      <c r="H316" s="315"/>
      <c r="I316" s="313"/>
      <c r="J316" s="38"/>
      <c r="K316" s="38"/>
      <c r="L316" s="38"/>
      <c r="M316" s="315"/>
      <c r="N316" s="313"/>
      <c r="O316" s="38"/>
      <c r="P316" s="38"/>
      <c r="Q316" s="38"/>
      <c r="R316" s="315"/>
      <c r="S316" s="313"/>
      <c r="T316" s="38"/>
      <c r="U316" s="38"/>
      <c r="V316" s="38"/>
      <c r="W316" s="315"/>
      <c r="X316" s="313"/>
      <c r="Y316" s="38"/>
      <c r="Z316" s="38"/>
      <c r="AA316" s="38"/>
      <c r="AB316" s="315"/>
    </row>
    <row r="317" spans="1:28" ht="18" customHeight="1" x14ac:dyDescent="0.2">
      <c r="A317" s="323"/>
      <c r="B317" s="41" t="s">
        <v>873</v>
      </c>
      <c r="C317" s="315"/>
      <c r="D317" s="313"/>
      <c r="E317" s="38"/>
      <c r="F317" s="38"/>
      <c r="G317" s="38"/>
      <c r="H317" s="315"/>
      <c r="I317" s="313"/>
      <c r="J317" s="38"/>
      <c r="K317" s="38"/>
      <c r="L317" s="38"/>
      <c r="M317" s="315"/>
      <c r="N317" s="313"/>
      <c r="O317" s="38"/>
      <c r="P317" s="38"/>
      <c r="Q317" s="38"/>
      <c r="R317" s="315"/>
      <c r="S317" s="313"/>
      <c r="T317" s="38"/>
      <c r="U317" s="38"/>
      <c r="V317" s="38"/>
      <c r="W317" s="315"/>
      <c r="X317" s="313"/>
      <c r="Y317" s="38"/>
      <c r="Z317" s="38"/>
      <c r="AA317" s="38"/>
      <c r="AB317" s="315"/>
    </row>
    <row r="318" spans="1:28" ht="18" customHeight="1" x14ac:dyDescent="0.2">
      <c r="A318" s="323"/>
      <c r="B318" s="41" t="s">
        <v>874</v>
      </c>
      <c r="C318" s="315"/>
      <c r="D318" s="313"/>
      <c r="E318" s="38"/>
      <c r="F318" s="38"/>
      <c r="G318" s="38"/>
      <c r="H318" s="315"/>
      <c r="I318" s="313"/>
      <c r="J318" s="38"/>
      <c r="K318" s="38"/>
      <c r="L318" s="38"/>
      <c r="M318" s="315"/>
      <c r="N318" s="313"/>
      <c r="O318" s="38"/>
      <c r="P318" s="38"/>
      <c r="Q318" s="38"/>
      <c r="R318" s="315"/>
      <c r="S318" s="313"/>
      <c r="T318" s="38"/>
      <c r="U318" s="38"/>
      <c r="V318" s="38"/>
      <c r="W318" s="315"/>
      <c r="X318" s="313"/>
      <c r="Y318" s="38"/>
      <c r="Z318" s="38"/>
      <c r="AA318" s="38"/>
      <c r="AB318" s="315"/>
    </row>
    <row r="319" spans="1:28" ht="18" customHeight="1" x14ac:dyDescent="0.2">
      <c r="A319" s="323"/>
      <c r="B319" s="41" t="s">
        <v>875</v>
      </c>
      <c r="C319" s="315"/>
      <c r="D319" s="313"/>
      <c r="E319" s="38"/>
      <c r="F319" s="38"/>
      <c r="G319" s="38"/>
      <c r="H319" s="315"/>
      <c r="I319" s="313"/>
      <c r="J319" s="38"/>
      <c r="K319" s="38"/>
      <c r="L319" s="38"/>
      <c r="M319" s="315"/>
      <c r="N319" s="313"/>
      <c r="O319" s="38"/>
      <c r="P319" s="38"/>
      <c r="Q319" s="38"/>
      <c r="R319" s="315"/>
      <c r="S319" s="313"/>
      <c r="T319" s="38"/>
      <c r="U319" s="38"/>
      <c r="V319" s="38"/>
      <c r="W319" s="315"/>
      <c r="X319" s="313"/>
      <c r="Y319" s="38"/>
      <c r="Z319" s="38"/>
      <c r="AA319" s="38"/>
      <c r="AB319" s="315"/>
    </row>
    <row r="320" spans="1:28" ht="18" customHeight="1" x14ac:dyDescent="0.2">
      <c r="A320" s="323"/>
      <c r="B320" s="41" t="s">
        <v>876</v>
      </c>
      <c r="C320" s="315"/>
      <c r="D320" s="313"/>
      <c r="E320" s="38"/>
      <c r="F320" s="38"/>
      <c r="G320" s="38"/>
      <c r="H320" s="315"/>
      <c r="I320" s="313"/>
      <c r="J320" s="38"/>
      <c r="K320" s="38"/>
      <c r="L320" s="38"/>
      <c r="M320" s="315"/>
      <c r="N320" s="313"/>
      <c r="O320" s="38"/>
      <c r="P320" s="38"/>
      <c r="Q320" s="38"/>
      <c r="R320" s="315"/>
      <c r="S320" s="313"/>
      <c r="T320" s="38"/>
      <c r="U320" s="38"/>
      <c r="V320" s="38"/>
      <c r="W320" s="315"/>
      <c r="X320" s="313"/>
      <c r="Y320" s="38"/>
      <c r="Z320" s="38"/>
      <c r="AA320" s="38"/>
      <c r="AB320" s="315"/>
    </row>
    <row r="321" spans="1:28" ht="18" customHeight="1" x14ac:dyDescent="0.2">
      <c r="A321" s="323"/>
      <c r="B321" s="41" t="s">
        <v>878</v>
      </c>
      <c r="C321" s="315"/>
      <c r="D321" s="313"/>
      <c r="E321" s="38"/>
      <c r="F321" s="38"/>
      <c r="G321" s="38"/>
      <c r="H321" s="315"/>
      <c r="I321" s="313"/>
      <c r="J321" s="38"/>
      <c r="K321" s="38"/>
      <c r="L321" s="38"/>
      <c r="M321" s="315"/>
      <c r="N321" s="313"/>
      <c r="O321" s="38"/>
      <c r="P321" s="38"/>
      <c r="Q321" s="38"/>
      <c r="R321" s="315"/>
      <c r="S321" s="313"/>
      <c r="T321" s="38"/>
      <c r="U321" s="38"/>
      <c r="V321" s="38"/>
      <c r="W321" s="315"/>
      <c r="X321" s="313"/>
      <c r="Y321" s="38"/>
      <c r="Z321" s="38"/>
      <c r="AA321" s="38"/>
      <c r="AB321" s="315"/>
    </row>
    <row r="322" spans="1:28" ht="18" customHeight="1" x14ac:dyDescent="0.2">
      <c r="A322" s="323"/>
      <c r="B322" s="41" t="s">
        <v>879</v>
      </c>
      <c r="C322" s="315"/>
      <c r="D322" s="313"/>
      <c r="E322" s="38"/>
      <c r="F322" s="38"/>
      <c r="G322" s="38"/>
      <c r="H322" s="315"/>
      <c r="I322" s="313"/>
      <c r="J322" s="38"/>
      <c r="K322" s="38"/>
      <c r="L322" s="38"/>
      <c r="M322" s="315"/>
      <c r="N322" s="313"/>
      <c r="O322" s="38"/>
      <c r="P322" s="38"/>
      <c r="Q322" s="38"/>
      <c r="R322" s="315"/>
      <c r="S322" s="313"/>
      <c r="T322" s="38"/>
      <c r="U322" s="38"/>
      <c r="V322" s="38"/>
      <c r="W322" s="315"/>
      <c r="X322" s="313"/>
      <c r="Y322" s="38"/>
      <c r="Z322" s="38"/>
      <c r="AA322" s="38"/>
      <c r="AB322" s="315"/>
    </row>
    <row r="323" spans="1:28" ht="18" customHeight="1" x14ac:dyDescent="0.2">
      <c r="A323" s="323"/>
      <c r="B323" s="41" t="s">
        <v>880</v>
      </c>
      <c r="C323" s="315"/>
      <c r="D323" s="313"/>
      <c r="E323" s="38"/>
      <c r="F323" s="38"/>
      <c r="G323" s="38"/>
      <c r="H323" s="315"/>
      <c r="I323" s="313"/>
      <c r="J323" s="38"/>
      <c r="K323" s="38"/>
      <c r="L323" s="38"/>
      <c r="M323" s="315"/>
      <c r="N323" s="313"/>
      <c r="O323" s="38"/>
      <c r="P323" s="38"/>
      <c r="Q323" s="38"/>
      <c r="R323" s="315"/>
      <c r="S323" s="313"/>
      <c r="T323" s="38"/>
      <c r="U323" s="38"/>
      <c r="V323" s="38"/>
      <c r="W323" s="315"/>
      <c r="X323" s="313"/>
      <c r="Y323" s="38"/>
      <c r="Z323" s="38"/>
      <c r="AA323" s="38"/>
      <c r="AB323" s="315"/>
    </row>
    <row r="324" spans="1:28" ht="18" customHeight="1" x14ac:dyDescent="0.2">
      <c r="A324" s="323"/>
      <c r="B324" s="41" t="s">
        <v>883</v>
      </c>
      <c r="C324" s="315"/>
      <c r="D324" s="313"/>
      <c r="E324" s="38"/>
      <c r="F324" s="38"/>
      <c r="G324" s="38"/>
      <c r="H324" s="315"/>
      <c r="I324" s="313"/>
      <c r="J324" s="38"/>
      <c r="K324" s="38"/>
      <c r="L324" s="38"/>
      <c r="M324" s="315"/>
      <c r="N324" s="313"/>
      <c r="O324" s="38"/>
      <c r="P324" s="38"/>
      <c r="Q324" s="38"/>
      <c r="R324" s="315"/>
      <c r="S324" s="313"/>
      <c r="T324" s="38"/>
      <c r="U324" s="38"/>
      <c r="V324" s="38"/>
      <c r="W324" s="315"/>
      <c r="X324" s="313"/>
      <c r="Y324" s="38"/>
      <c r="Z324" s="38"/>
      <c r="AA324" s="38"/>
      <c r="AB324" s="315"/>
    </row>
    <row r="325" spans="1:28" ht="18" customHeight="1" x14ac:dyDescent="0.2">
      <c r="A325" s="349"/>
      <c r="B325" s="41" t="s">
        <v>884</v>
      </c>
      <c r="C325" s="315"/>
      <c r="D325" s="313"/>
      <c r="E325" s="38"/>
      <c r="F325" s="38"/>
      <c r="G325" s="38"/>
      <c r="H325" s="315"/>
      <c r="I325" s="313"/>
      <c r="J325" s="38"/>
      <c r="K325" s="38"/>
      <c r="L325" s="38"/>
      <c r="M325" s="315"/>
      <c r="N325" s="313"/>
      <c r="O325" s="38"/>
      <c r="P325" s="38"/>
      <c r="Q325" s="38"/>
      <c r="R325" s="315"/>
      <c r="S325" s="313"/>
      <c r="T325" s="38"/>
      <c r="U325" s="38"/>
      <c r="V325" s="38"/>
      <c r="W325" s="315"/>
      <c r="X325" s="313"/>
      <c r="Y325" s="38"/>
      <c r="Z325" s="38"/>
      <c r="AA325" s="38"/>
      <c r="AB325" s="315"/>
    </row>
    <row r="326" spans="1:28" ht="18" customHeight="1" x14ac:dyDescent="0.2">
      <c r="A326" s="323"/>
      <c r="B326" s="41" t="s">
        <v>885</v>
      </c>
      <c r="C326" s="315"/>
      <c r="D326" s="313"/>
      <c r="E326" s="38"/>
      <c r="F326" s="38"/>
      <c r="G326" s="38"/>
      <c r="H326" s="315"/>
      <c r="I326" s="313"/>
      <c r="J326" s="38"/>
      <c r="K326" s="38"/>
      <c r="L326" s="38"/>
      <c r="M326" s="315"/>
      <c r="N326" s="313"/>
      <c r="O326" s="38"/>
      <c r="P326" s="38"/>
      <c r="Q326" s="38"/>
      <c r="R326" s="315"/>
      <c r="S326" s="313"/>
      <c r="T326" s="38"/>
      <c r="U326" s="38"/>
      <c r="V326" s="38"/>
      <c r="W326" s="315"/>
      <c r="X326" s="313"/>
      <c r="Y326" s="38"/>
      <c r="Z326" s="38"/>
      <c r="AA326" s="38"/>
      <c r="AB326" s="315"/>
    </row>
    <row r="327" spans="1:28" ht="18" customHeight="1" x14ac:dyDescent="0.2">
      <c r="A327" s="323"/>
      <c r="B327" s="41" t="s">
        <v>886</v>
      </c>
      <c r="C327" s="315"/>
      <c r="D327" s="313"/>
      <c r="E327" s="38"/>
      <c r="F327" s="38"/>
      <c r="G327" s="38"/>
      <c r="H327" s="315"/>
      <c r="I327" s="313"/>
      <c r="J327" s="38"/>
      <c r="K327" s="38"/>
      <c r="L327" s="38"/>
      <c r="M327" s="315"/>
      <c r="N327" s="313"/>
      <c r="O327" s="38"/>
      <c r="P327" s="38"/>
      <c r="Q327" s="38"/>
      <c r="R327" s="315"/>
      <c r="S327" s="313"/>
      <c r="T327" s="38"/>
      <c r="U327" s="38"/>
      <c r="V327" s="38"/>
      <c r="W327" s="315"/>
      <c r="X327" s="313"/>
      <c r="Y327" s="38"/>
      <c r="Z327" s="38"/>
      <c r="AA327" s="38"/>
      <c r="AB327" s="315"/>
    </row>
    <row r="328" spans="1:28" ht="18" customHeight="1" x14ac:dyDescent="0.2">
      <c r="A328" s="323"/>
      <c r="B328" s="41" t="s">
        <v>887</v>
      </c>
      <c r="C328" s="315"/>
      <c r="D328" s="313"/>
      <c r="E328" s="38"/>
      <c r="F328" s="38"/>
      <c r="G328" s="38"/>
      <c r="H328" s="315"/>
      <c r="I328" s="313"/>
      <c r="J328" s="38"/>
      <c r="K328" s="38"/>
      <c r="L328" s="38"/>
      <c r="M328" s="315"/>
      <c r="N328" s="313"/>
      <c r="O328" s="38"/>
      <c r="P328" s="38"/>
      <c r="Q328" s="38"/>
      <c r="R328" s="315"/>
      <c r="S328" s="313"/>
      <c r="T328" s="38"/>
      <c r="U328" s="38"/>
      <c r="V328" s="38"/>
      <c r="W328" s="315"/>
      <c r="X328" s="313"/>
      <c r="Y328" s="38"/>
      <c r="Z328" s="38"/>
      <c r="AA328" s="38"/>
      <c r="AB328" s="315"/>
    </row>
    <row r="329" spans="1:28" ht="18" customHeight="1" x14ac:dyDescent="0.2">
      <c r="A329" s="323"/>
      <c r="B329" s="41" t="s">
        <v>888</v>
      </c>
      <c r="C329" s="315"/>
      <c r="D329" s="313"/>
      <c r="E329" s="38"/>
      <c r="F329" s="38"/>
      <c r="G329" s="38"/>
      <c r="H329" s="315"/>
      <c r="I329" s="313"/>
      <c r="J329" s="38"/>
      <c r="K329" s="38"/>
      <c r="L329" s="38"/>
      <c r="M329" s="315"/>
      <c r="N329" s="313"/>
      <c r="O329" s="38"/>
      <c r="P329" s="38"/>
      <c r="Q329" s="38"/>
      <c r="R329" s="315"/>
      <c r="S329" s="313"/>
      <c r="T329" s="38"/>
      <c r="U329" s="38"/>
      <c r="V329" s="38"/>
      <c r="W329" s="315"/>
      <c r="X329" s="313"/>
      <c r="Y329" s="38"/>
      <c r="Z329" s="38"/>
      <c r="AA329" s="38"/>
      <c r="AB329" s="315"/>
    </row>
    <row r="330" spans="1:28" ht="18" customHeight="1" x14ac:dyDescent="0.2">
      <c r="A330" s="323"/>
      <c r="B330" s="41" t="s">
        <v>889</v>
      </c>
      <c r="C330" s="315"/>
      <c r="D330" s="313"/>
      <c r="E330" s="38"/>
      <c r="F330" s="38"/>
      <c r="G330" s="38"/>
      <c r="H330" s="315"/>
      <c r="I330" s="313"/>
      <c r="J330" s="38"/>
      <c r="K330" s="38"/>
      <c r="L330" s="38"/>
      <c r="M330" s="315"/>
      <c r="N330" s="313"/>
      <c r="O330" s="38"/>
      <c r="P330" s="38"/>
      <c r="Q330" s="38"/>
      <c r="R330" s="315"/>
      <c r="S330" s="313"/>
      <c r="T330" s="38"/>
      <c r="U330" s="38"/>
      <c r="V330" s="38"/>
      <c r="W330" s="315"/>
      <c r="X330" s="313"/>
      <c r="Y330" s="38"/>
      <c r="Z330" s="38"/>
      <c r="AA330" s="38"/>
      <c r="AB330" s="315"/>
    </row>
    <row r="331" spans="1:28" ht="18" customHeight="1" x14ac:dyDescent="0.2">
      <c r="A331" s="323"/>
      <c r="B331" s="41" t="s">
        <v>890</v>
      </c>
      <c r="C331" s="315"/>
      <c r="D331" s="313"/>
      <c r="E331" s="38"/>
      <c r="F331" s="38"/>
      <c r="G331" s="38"/>
      <c r="H331" s="315"/>
      <c r="I331" s="313"/>
      <c r="J331" s="38"/>
      <c r="K331" s="38"/>
      <c r="L331" s="38"/>
      <c r="M331" s="315"/>
      <c r="N331" s="313"/>
      <c r="O331" s="38"/>
      <c r="P331" s="38"/>
      <c r="Q331" s="38"/>
      <c r="R331" s="315"/>
      <c r="S331" s="313"/>
      <c r="T331" s="38"/>
      <c r="U331" s="38"/>
      <c r="V331" s="38"/>
      <c r="W331" s="315"/>
      <c r="X331" s="313"/>
      <c r="Y331" s="38"/>
      <c r="Z331" s="38"/>
      <c r="AA331" s="38"/>
      <c r="AB331" s="315"/>
    </row>
    <row r="332" spans="1:28" ht="18" customHeight="1" x14ac:dyDescent="0.2">
      <c r="A332" s="323"/>
      <c r="B332" s="41" t="s">
        <v>891</v>
      </c>
      <c r="C332" s="315"/>
      <c r="D332" s="313"/>
      <c r="E332" s="38"/>
      <c r="F332" s="38"/>
      <c r="G332" s="38"/>
      <c r="H332" s="315"/>
      <c r="I332" s="313"/>
      <c r="J332" s="38"/>
      <c r="K332" s="38"/>
      <c r="L332" s="38"/>
      <c r="M332" s="315"/>
      <c r="N332" s="313"/>
      <c r="O332" s="38"/>
      <c r="P332" s="38"/>
      <c r="Q332" s="38"/>
      <c r="R332" s="315"/>
      <c r="S332" s="313"/>
      <c r="T332" s="38"/>
      <c r="U332" s="38"/>
      <c r="V332" s="38"/>
      <c r="W332" s="315"/>
      <c r="X332" s="313"/>
      <c r="Y332" s="38"/>
      <c r="Z332" s="38"/>
      <c r="AA332" s="38"/>
      <c r="AB332" s="315"/>
    </row>
    <row r="333" spans="1:28" ht="18" customHeight="1" x14ac:dyDescent="0.2">
      <c r="A333" s="323"/>
      <c r="B333" s="41" t="s">
        <v>892</v>
      </c>
      <c r="C333" s="315"/>
      <c r="D333" s="313"/>
      <c r="E333" s="38"/>
      <c r="F333" s="38"/>
      <c r="G333" s="38"/>
      <c r="H333" s="315"/>
      <c r="I333" s="313"/>
      <c r="J333" s="38"/>
      <c r="K333" s="38"/>
      <c r="L333" s="38"/>
      <c r="M333" s="315"/>
      <c r="N333" s="313"/>
      <c r="O333" s="38"/>
      <c r="P333" s="38"/>
      <c r="Q333" s="38"/>
      <c r="R333" s="315"/>
      <c r="S333" s="313"/>
      <c r="T333" s="38"/>
      <c r="U333" s="38"/>
      <c r="V333" s="38"/>
      <c r="W333" s="315"/>
      <c r="X333" s="313"/>
      <c r="Y333" s="38"/>
      <c r="Z333" s="38"/>
      <c r="AA333" s="38"/>
      <c r="AB333" s="315"/>
    </row>
    <row r="334" spans="1:28" ht="18" customHeight="1" x14ac:dyDescent="0.2">
      <c r="A334" s="323"/>
      <c r="B334" s="41" t="s">
        <v>893</v>
      </c>
      <c r="C334" s="315"/>
      <c r="D334" s="313"/>
      <c r="E334" s="38"/>
      <c r="F334" s="38"/>
      <c r="G334" s="38"/>
      <c r="H334" s="315"/>
      <c r="I334" s="313"/>
      <c r="J334" s="38"/>
      <c r="K334" s="38"/>
      <c r="L334" s="38"/>
      <c r="M334" s="315"/>
      <c r="N334" s="313"/>
      <c r="O334" s="38"/>
      <c r="P334" s="38"/>
      <c r="Q334" s="38"/>
      <c r="R334" s="315"/>
      <c r="S334" s="313"/>
      <c r="T334" s="38"/>
      <c r="U334" s="38"/>
      <c r="V334" s="38"/>
      <c r="W334" s="315"/>
      <c r="X334" s="313"/>
      <c r="Y334" s="38"/>
      <c r="Z334" s="38"/>
      <c r="AA334" s="38"/>
      <c r="AB334" s="315"/>
    </row>
    <row r="335" spans="1:28" ht="18" customHeight="1" x14ac:dyDescent="0.2">
      <c r="A335" s="323"/>
      <c r="B335" s="41" t="s">
        <v>894</v>
      </c>
      <c r="C335" s="315"/>
      <c r="D335" s="313"/>
      <c r="E335" s="38"/>
      <c r="F335" s="38"/>
      <c r="G335" s="38"/>
      <c r="H335" s="315"/>
      <c r="I335" s="313"/>
      <c r="J335" s="38"/>
      <c r="K335" s="38"/>
      <c r="L335" s="38"/>
      <c r="M335" s="315"/>
      <c r="N335" s="313"/>
      <c r="O335" s="38"/>
      <c r="P335" s="38"/>
      <c r="Q335" s="38"/>
      <c r="R335" s="315"/>
      <c r="S335" s="313"/>
      <c r="T335" s="38"/>
      <c r="U335" s="38"/>
      <c r="V335" s="38"/>
      <c r="W335" s="315"/>
      <c r="X335" s="313"/>
      <c r="Y335" s="38"/>
      <c r="Z335" s="38"/>
      <c r="AA335" s="38"/>
      <c r="AB335" s="315"/>
    </row>
    <row r="336" spans="1:28" ht="18" customHeight="1" x14ac:dyDescent="0.2">
      <c r="A336" s="323"/>
      <c r="B336" s="41" t="s">
        <v>895</v>
      </c>
      <c r="C336" s="315"/>
      <c r="D336" s="313"/>
      <c r="E336" s="38"/>
      <c r="F336" s="38"/>
      <c r="G336" s="38"/>
      <c r="H336" s="315"/>
      <c r="I336" s="313"/>
      <c r="J336" s="38"/>
      <c r="K336" s="38"/>
      <c r="L336" s="38"/>
      <c r="M336" s="315"/>
      <c r="N336" s="313"/>
      <c r="O336" s="38"/>
      <c r="P336" s="38"/>
      <c r="Q336" s="38"/>
      <c r="R336" s="315"/>
      <c r="S336" s="313"/>
      <c r="T336" s="38"/>
      <c r="U336" s="38"/>
      <c r="V336" s="38"/>
      <c r="W336" s="315"/>
      <c r="X336" s="313"/>
      <c r="Y336" s="38"/>
      <c r="Z336" s="38"/>
      <c r="AA336" s="38"/>
      <c r="AB336" s="315"/>
    </row>
    <row r="337" spans="1:28" ht="18" customHeight="1" x14ac:dyDescent="0.2">
      <c r="A337" s="323"/>
      <c r="B337" s="41" t="s">
        <v>1679</v>
      </c>
      <c r="C337" s="315"/>
      <c r="D337" s="313"/>
      <c r="E337" s="38"/>
      <c r="F337" s="38"/>
      <c r="G337" s="38"/>
      <c r="H337" s="315"/>
      <c r="I337" s="313"/>
      <c r="J337" s="38"/>
      <c r="K337" s="38"/>
      <c r="L337" s="38"/>
      <c r="M337" s="315"/>
      <c r="N337" s="313"/>
      <c r="O337" s="38"/>
      <c r="P337" s="38"/>
      <c r="Q337" s="38"/>
      <c r="R337" s="315"/>
      <c r="S337" s="313"/>
      <c r="T337" s="38"/>
      <c r="U337" s="38"/>
      <c r="V337" s="38"/>
      <c r="W337" s="315"/>
      <c r="X337" s="313"/>
      <c r="Y337" s="38"/>
      <c r="Z337" s="38"/>
      <c r="AA337" s="38"/>
      <c r="AB337" s="315"/>
    </row>
    <row r="338" spans="1:28" ht="14.25" customHeight="1" x14ac:dyDescent="0.2">
      <c r="A338" s="323"/>
      <c r="B338" s="40" t="s">
        <v>1005</v>
      </c>
      <c r="C338" s="315"/>
      <c r="D338" s="313"/>
      <c r="E338" s="38"/>
      <c r="F338" s="38"/>
      <c r="G338" s="38"/>
      <c r="H338" s="315"/>
      <c r="I338" s="313"/>
      <c r="J338" s="38"/>
      <c r="K338" s="38"/>
      <c r="L338" s="38"/>
      <c r="M338" s="315"/>
      <c r="N338" s="313"/>
      <c r="O338" s="38"/>
      <c r="P338" s="38"/>
      <c r="Q338" s="38"/>
      <c r="R338" s="315"/>
      <c r="S338" s="313"/>
      <c r="T338" s="38"/>
      <c r="U338" s="38"/>
      <c r="V338" s="38"/>
      <c r="W338" s="315"/>
      <c r="X338" s="313"/>
      <c r="Y338" s="38"/>
      <c r="Z338" s="38"/>
      <c r="AA338" s="38"/>
      <c r="AB338" s="315"/>
    </row>
    <row r="339" spans="1:28" ht="18" customHeight="1" x14ac:dyDescent="0.2">
      <c r="A339" s="323"/>
      <c r="B339" s="41" t="s">
        <v>811</v>
      </c>
      <c r="C339" s="316"/>
      <c r="D339" s="314"/>
      <c r="E339" s="38"/>
      <c r="F339" s="38"/>
      <c r="G339" s="38"/>
      <c r="H339" s="316"/>
      <c r="I339" s="314"/>
      <c r="J339" s="38"/>
      <c r="K339" s="38"/>
      <c r="L339" s="38"/>
      <c r="M339" s="316"/>
      <c r="N339" s="314"/>
      <c r="O339" s="38"/>
      <c r="P339" s="38"/>
      <c r="Q339" s="38"/>
      <c r="R339" s="316"/>
      <c r="S339" s="314"/>
      <c r="T339" s="38"/>
      <c r="U339" s="38"/>
      <c r="V339" s="38"/>
      <c r="W339" s="316"/>
      <c r="X339" s="314"/>
      <c r="Y339" s="38"/>
      <c r="Z339" s="38"/>
      <c r="AA339" s="38"/>
      <c r="AB339" s="316"/>
    </row>
    <row r="340" spans="1:28" ht="21" customHeight="1" x14ac:dyDescent="0.2">
      <c r="A340" s="312" t="s">
        <v>27</v>
      </c>
      <c r="B340" s="37" t="s">
        <v>438</v>
      </c>
      <c r="C340" s="317">
        <f>D340+E340+F340+G340</f>
        <v>5379</v>
      </c>
      <c r="D340" s="318">
        <v>5379</v>
      </c>
      <c r="E340" s="38">
        <v>0</v>
      </c>
      <c r="F340" s="38">
        <v>0</v>
      </c>
      <c r="G340" s="38">
        <v>0</v>
      </c>
      <c r="H340" s="317">
        <f>I340+J340+K340+L340</f>
        <v>8539</v>
      </c>
      <c r="I340" s="318">
        <f>5209+3483-153</f>
        <v>8539</v>
      </c>
      <c r="J340" s="38">
        <v>0</v>
      </c>
      <c r="K340" s="38">
        <v>0</v>
      </c>
      <c r="L340" s="38">
        <v>0</v>
      </c>
      <c r="M340" s="317">
        <f>N340</f>
        <v>1333</v>
      </c>
      <c r="N340" s="318">
        <f t="shared" ref="N340:N347" si="8">12265-10932</f>
        <v>1333</v>
      </c>
      <c r="O340" s="38">
        <v>0</v>
      </c>
      <c r="P340" s="38">
        <v>0</v>
      </c>
      <c r="Q340" s="38">
        <v>0</v>
      </c>
      <c r="R340" s="317">
        <f>S340</f>
        <v>0</v>
      </c>
      <c r="S340" s="318">
        <f>12265-12265</f>
        <v>0</v>
      </c>
      <c r="T340" s="38">
        <v>0</v>
      </c>
      <c r="U340" s="38">
        <v>0</v>
      </c>
      <c r="V340" s="38">
        <v>0</v>
      </c>
      <c r="W340" s="318">
        <v>0</v>
      </c>
      <c r="X340" s="318">
        <v>0</v>
      </c>
      <c r="Y340" s="38">
        <v>0</v>
      </c>
      <c r="Z340" s="38">
        <v>0</v>
      </c>
      <c r="AA340" s="38">
        <v>0</v>
      </c>
      <c r="AB340" s="317">
        <f>C340+H340+M340+R340+W340</f>
        <v>15251</v>
      </c>
    </row>
    <row r="341" spans="1:28" ht="18" customHeight="1" x14ac:dyDescent="0.2">
      <c r="A341" s="312"/>
      <c r="B341" s="40" t="s">
        <v>437</v>
      </c>
      <c r="C341" s="315"/>
      <c r="D341" s="313"/>
      <c r="E341" s="38"/>
      <c r="F341" s="38"/>
      <c r="G341" s="38"/>
      <c r="H341" s="315"/>
      <c r="I341" s="313"/>
      <c r="J341" s="38"/>
      <c r="K341" s="38"/>
      <c r="L341" s="38"/>
      <c r="M341" s="315"/>
      <c r="N341" s="313">
        <f t="shared" si="8"/>
        <v>1333</v>
      </c>
      <c r="O341" s="38"/>
      <c r="P341" s="38"/>
      <c r="Q341" s="38"/>
      <c r="R341" s="315"/>
      <c r="S341" s="313"/>
      <c r="T341" s="38"/>
      <c r="U341" s="38"/>
      <c r="V341" s="38"/>
      <c r="W341" s="313"/>
      <c r="X341" s="313"/>
      <c r="Y341" s="38"/>
      <c r="Z341" s="38"/>
      <c r="AA341" s="38"/>
      <c r="AB341" s="315"/>
    </row>
    <row r="342" spans="1:28" ht="18" customHeight="1" x14ac:dyDescent="0.2">
      <c r="A342" s="312"/>
      <c r="B342" s="41" t="s">
        <v>439</v>
      </c>
      <c r="C342" s="315"/>
      <c r="D342" s="313"/>
      <c r="E342" s="38"/>
      <c r="F342" s="38"/>
      <c r="G342" s="38"/>
      <c r="H342" s="315"/>
      <c r="I342" s="313"/>
      <c r="J342" s="38"/>
      <c r="K342" s="38"/>
      <c r="L342" s="38"/>
      <c r="M342" s="315"/>
      <c r="N342" s="313">
        <f t="shared" si="8"/>
        <v>1333</v>
      </c>
      <c r="O342" s="38"/>
      <c r="P342" s="38"/>
      <c r="Q342" s="38"/>
      <c r="R342" s="315"/>
      <c r="S342" s="313"/>
      <c r="T342" s="38"/>
      <c r="U342" s="38"/>
      <c r="V342" s="38"/>
      <c r="W342" s="313"/>
      <c r="X342" s="313"/>
      <c r="Y342" s="38"/>
      <c r="Z342" s="38"/>
      <c r="AA342" s="38"/>
      <c r="AB342" s="315"/>
    </row>
    <row r="343" spans="1:28" ht="18" customHeight="1" x14ac:dyDescent="0.2">
      <c r="A343" s="312"/>
      <c r="B343" s="41" t="s">
        <v>440</v>
      </c>
      <c r="C343" s="315"/>
      <c r="D343" s="313"/>
      <c r="E343" s="38"/>
      <c r="F343" s="38"/>
      <c r="G343" s="38"/>
      <c r="H343" s="315"/>
      <c r="I343" s="313"/>
      <c r="J343" s="38"/>
      <c r="K343" s="38"/>
      <c r="L343" s="38"/>
      <c r="M343" s="315"/>
      <c r="N343" s="313">
        <f t="shared" si="8"/>
        <v>1333</v>
      </c>
      <c r="O343" s="38"/>
      <c r="P343" s="38"/>
      <c r="Q343" s="38"/>
      <c r="R343" s="315"/>
      <c r="S343" s="313"/>
      <c r="T343" s="38"/>
      <c r="U343" s="38"/>
      <c r="V343" s="38"/>
      <c r="W343" s="313"/>
      <c r="X343" s="313"/>
      <c r="Y343" s="38"/>
      <c r="Z343" s="38"/>
      <c r="AA343" s="38"/>
      <c r="AB343" s="315"/>
    </row>
    <row r="344" spans="1:28" ht="18" customHeight="1" x14ac:dyDescent="0.2">
      <c r="A344" s="312"/>
      <c r="B344" s="40" t="s">
        <v>428</v>
      </c>
      <c r="C344" s="315"/>
      <c r="D344" s="313"/>
      <c r="E344" s="38"/>
      <c r="F344" s="38"/>
      <c r="G344" s="38"/>
      <c r="H344" s="315"/>
      <c r="I344" s="313"/>
      <c r="J344" s="38"/>
      <c r="K344" s="38"/>
      <c r="L344" s="38"/>
      <c r="M344" s="315"/>
      <c r="N344" s="313">
        <f t="shared" si="8"/>
        <v>1333</v>
      </c>
      <c r="O344" s="38"/>
      <c r="P344" s="38"/>
      <c r="Q344" s="38"/>
      <c r="R344" s="315"/>
      <c r="S344" s="313"/>
      <c r="T344" s="38"/>
      <c r="U344" s="38"/>
      <c r="V344" s="38"/>
      <c r="W344" s="313"/>
      <c r="X344" s="313"/>
      <c r="Y344" s="38"/>
      <c r="Z344" s="38"/>
      <c r="AA344" s="38"/>
      <c r="AB344" s="315"/>
    </row>
    <row r="345" spans="1:28" ht="18" customHeight="1" x14ac:dyDescent="0.2">
      <c r="A345" s="354"/>
      <c r="B345" s="41" t="s">
        <v>912</v>
      </c>
      <c r="C345" s="351"/>
      <c r="D345" s="313"/>
      <c r="E345" s="38"/>
      <c r="F345" s="38"/>
      <c r="G345" s="38"/>
      <c r="H345" s="315"/>
      <c r="I345" s="313"/>
      <c r="J345" s="38"/>
      <c r="K345" s="38"/>
      <c r="L345" s="38"/>
      <c r="M345" s="315"/>
      <c r="N345" s="313">
        <f t="shared" si="8"/>
        <v>1333</v>
      </c>
      <c r="O345" s="38"/>
      <c r="P345" s="38"/>
      <c r="Q345" s="38"/>
      <c r="R345" s="315"/>
      <c r="S345" s="313"/>
      <c r="T345" s="38"/>
      <c r="U345" s="38"/>
      <c r="V345" s="38"/>
      <c r="W345" s="313"/>
      <c r="X345" s="313"/>
      <c r="Y345" s="38"/>
      <c r="Z345" s="38"/>
      <c r="AA345" s="38"/>
      <c r="AB345" s="315"/>
    </row>
    <row r="346" spans="1:28" ht="18" customHeight="1" x14ac:dyDescent="0.2">
      <c r="A346" s="312"/>
      <c r="B346" s="41" t="s">
        <v>849</v>
      </c>
      <c r="C346" s="315"/>
      <c r="D346" s="313"/>
      <c r="E346" s="38"/>
      <c r="F346" s="38"/>
      <c r="G346" s="38"/>
      <c r="H346" s="315"/>
      <c r="I346" s="313"/>
      <c r="J346" s="38"/>
      <c r="K346" s="38"/>
      <c r="L346" s="38"/>
      <c r="M346" s="315"/>
      <c r="N346" s="313">
        <f t="shared" si="8"/>
        <v>1333</v>
      </c>
      <c r="O346" s="38"/>
      <c r="P346" s="38"/>
      <c r="Q346" s="38"/>
      <c r="R346" s="315"/>
      <c r="S346" s="313"/>
      <c r="T346" s="38"/>
      <c r="U346" s="38"/>
      <c r="V346" s="38"/>
      <c r="W346" s="313"/>
      <c r="X346" s="313"/>
      <c r="Y346" s="38"/>
      <c r="Z346" s="38"/>
      <c r="AA346" s="38"/>
      <c r="AB346" s="315"/>
    </row>
    <row r="347" spans="1:28" ht="18" customHeight="1" x14ac:dyDescent="0.2">
      <c r="A347" s="312"/>
      <c r="B347" s="40" t="s">
        <v>783</v>
      </c>
      <c r="C347" s="315"/>
      <c r="D347" s="313"/>
      <c r="E347" s="38"/>
      <c r="F347" s="38"/>
      <c r="G347" s="38"/>
      <c r="H347" s="315"/>
      <c r="I347" s="313"/>
      <c r="J347" s="38"/>
      <c r="K347" s="38"/>
      <c r="L347" s="38"/>
      <c r="M347" s="315"/>
      <c r="N347" s="313">
        <f t="shared" si="8"/>
        <v>1333</v>
      </c>
      <c r="O347" s="38"/>
      <c r="P347" s="38"/>
      <c r="Q347" s="38"/>
      <c r="R347" s="315"/>
      <c r="S347" s="313"/>
      <c r="T347" s="38"/>
      <c r="U347" s="38"/>
      <c r="V347" s="38"/>
      <c r="W347" s="313"/>
      <c r="X347" s="313"/>
      <c r="Y347" s="38"/>
      <c r="Z347" s="38"/>
      <c r="AA347" s="38"/>
      <c r="AB347" s="315"/>
    </row>
    <row r="348" spans="1:28" ht="18" customHeight="1" x14ac:dyDescent="0.2">
      <c r="A348" s="312"/>
      <c r="B348" s="40" t="s">
        <v>1663</v>
      </c>
      <c r="C348" s="315"/>
      <c r="D348" s="313"/>
      <c r="E348" s="38"/>
      <c r="F348" s="38"/>
      <c r="G348" s="38"/>
      <c r="H348" s="315"/>
      <c r="I348" s="313"/>
      <c r="J348" s="38"/>
      <c r="K348" s="38"/>
      <c r="L348" s="38"/>
      <c r="M348" s="315"/>
      <c r="N348" s="313"/>
      <c r="O348" s="38"/>
      <c r="P348" s="38"/>
      <c r="Q348" s="38"/>
      <c r="R348" s="315"/>
      <c r="S348" s="313"/>
      <c r="T348" s="38"/>
      <c r="U348" s="38"/>
      <c r="V348" s="38"/>
      <c r="W348" s="313"/>
      <c r="X348" s="313"/>
      <c r="Y348" s="38"/>
      <c r="Z348" s="38"/>
      <c r="AA348" s="38"/>
      <c r="AB348" s="315"/>
    </row>
    <row r="349" spans="1:28" ht="18.75" customHeight="1" x14ac:dyDescent="0.2">
      <c r="A349" s="322" t="s">
        <v>1079</v>
      </c>
      <c r="B349" s="37" t="s">
        <v>902</v>
      </c>
      <c r="C349" s="317">
        <v>0</v>
      </c>
      <c r="D349" s="318">
        <v>0</v>
      </c>
      <c r="E349" s="38"/>
      <c r="F349" s="38"/>
      <c r="G349" s="38"/>
      <c r="H349" s="317">
        <f>I349</f>
        <v>65</v>
      </c>
      <c r="I349" s="318">
        <v>65</v>
      </c>
      <c r="J349" s="38"/>
      <c r="K349" s="38"/>
      <c r="L349" s="38"/>
      <c r="M349" s="317">
        <f>N349</f>
        <v>1076</v>
      </c>
      <c r="N349" s="318">
        <v>1076</v>
      </c>
      <c r="O349" s="38"/>
      <c r="P349" s="38"/>
      <c r="Q349" s="38"/>
      <c r="R349" s="317">
        <f>S349</f>
        <v>1752</v>
      </c>
      <c r="S349" s="318">
        <v>1752</v>
      </c>
      <c r="T349" s="38"/>
      <c r="U349" s="38"/>
      <c r="V349" s="38"/>
      <c r="W349" s="317">
        <f>X349</f>
        <v>0</v>
      </c>
      <c r="X349" s="318">
        <v>0</v>
      </c>
      <c r="Y349" s="38"/>
      <c r="Z349" s="38"/>
      <c r="AA349" s="38"/>
      <c r="AB349" s="317">
        <f>C349+H349+M349+R349+W349</f>
        <v>2893</v>
      </c>
    </row>
    <row r="350" spans="1:28" ht="18" customHeight="1" x14ac:dyDescent="0.2">
      <c r="A350" s="323"/>
      <c r="B350" s="40" t="s">
        <v>783</v>
      </c>
      <c r="C350" s="315"/>
      <c r="D350" s="313"/>
      <c r="E350" s="38"/>
      <c r="F350" s="38"/>
      <c r="G350" s="38"/>
      <c r="H350" s="315"/>
      <c r="I350" s="313"/>
      <c r="J350" s="38"/>
      <c r="K350" s="38"/>
      <c r="L350" s="38"/>
      <c r="M350" s="315"/>
      <c r="N350" s="313"/>
      <c r="O350" s="38"/>
      <c r="P350" s="38"/>
      <c r="Q350" s="38"/>
      <c r="R350" s="315"/>
      <c r="S350" s="313"/>
      <c r="T350" s="38"/>
      <c r="U350" s="38"/>
      <c r="V350" s="38"/>
      <c r="W350" s="315"/>
      <c r="X350" s="313"/>
      <c r="Y350" s="38"/>
      <c r="Z350" s="38"/>
      <c r="AA350" s="38"/>
      <c r="AB350" s="315"/>
    </row>
    <row r="351" spans="1:28" ht="18" customHeight="1" x14ac:dyDescent="0.2">
      <c r="A351" s="323"/>
      <c r="B351" s="41" t="s">
        <v>900</v>
      </c>
      <c r="C351" s="315"/>
      <c r="D351" s="313"/>
      <c r="E351" s="38"/>
      <c r="F351" s="38"/>
      <c r="G351" s="38"/>
      <c r="H351" s="315"/>
      <c r="I351" s="313"/>
      <c r="J351" s="38"/>
      <c r="K351" s="38"/>
      <c r="L351" s="38"/>
      <c r="M351" s="315"/>
      <c r="N351" s="313"/>
      <c r="O351" s="38"/>
      <c r="P351" s="38"/>
      <c r="Q351" s="38"/>
      <c r="R351" s="315"/>
      <c r="S351" s="313"/>
      <c r="T351" s="38"/>
      <c r="U351" s="38"/>
      <c r="V351" s="38"/>
      <c r="W351" s="315"/>
      <c r="X351" s="313"/>
      <c r="Y351" s="38"/>
      <c r="Z351" s="38"/>
      <c r="AA351" s="38"/>
      <c r="AB351" s="315"/>
    </row>
    <row r="352" spans="1:28" ht="18" customHeight="1" x14ac:dyDescent="0.2">
      <c r="A352" s="323"/>
      <c r="B352" s="41" t="s">
        <v>1666</v>
      </c>
      <c r="C352" s="315"/>
      <c r="D352" s="313"/>
      <c r="E352" s="38"/>
      <c r="F352" s="38"/>
      <c r="G352" s="38"/>
      <c r="H352" s="315"/>
      <c r="I352" s="313"/>
      <c r="J352" s="38"/>
      <c r="K352" s="38"/>
      <c r="L352" s="38"/>
      <c r="M352" s="315"/>
      <c r="N352" s="313"/>
      <c r="O352" s="38"/>
      <c r="P352" s="38"/>
      <c r="Q352" s="38"/>
      <c r="R352" s="315"/>
      <c r="S352" s="313"/>
      <c r="T352" s="38"/>
      <c r="U352" s="38"/>
      <c r="V352" s="38"/>
      <c r="W352" s="315"/>
      <c r="X352" s="313"/>
      <c r="Y352" s="38"/>
      <c r="Z352" s="38"/>
      <c r="AA352" s="38"/>
      <c r="AB352" s="315"/>
    </row>
    <row r="353" spans="1:28" ht="18" customHeight="1" x14ac:dyDescent="0.2">
      <c r="A353" s="323"/>
      <c r="B353" s="41" t="s">
        <v>1667</v>
      </c>
      <c r="C353" s="315"/>
      <c r="D353" s="313"/>
      <c r="E353" s="38"/>
      <c r="F353" s="38"/>
      <c r="G353" s="38"/>
      <c r="H353" s="315"/>
      <c r="I353" s="313"/>
      <c r="J353" s="38"/>
      <c r="K353" s="38"/>
      <c r="L353" s="38"/>
      <c r="M353" s="315"/>
      <c r="N353" s="313"/>
      <c r="O353" s="38"/>
      <c r="P353" s="38"/>
      <c r="Q353" s="38"/>
      <c r="R353" s="315"/>
      <c r="S353" s="313"/>
      <c r="T353" s="38"/>
      <c r="U353" s="38"/>
      <c r="V353" s="38"/>
      <c r="W353" s="315"/>
      <c r="X353" s="313"/>
      <c r="Y353" s="38"/>
      <c r="Z353" s="38"/>
      <c r="AA353" s="38"/>
      <c r="AB353" s="315"/>
    </row>
    <row r="354" spans="1:28" ht="18" customHeight="1" x14ac:dyDescent="0.2">
      <c r="A354" s="323"/>
      <c r="B354" s="41" t="s">
        <v>1664</v>
      </c>
      <c r="C354" s="315"/>
      <c r="D354" s="313"/>
      <c r="E354" s="38"/>
      <c r="F354" s="38"/>
      <c r="G354" s="38"/>
      <c r="H354" s="315"/>
      <c r="I354" s="313"/>
      <c r="J354" s="38"/>
      <c r="K354" s="38"/>
      <c r="L354" s="38"/>
      <c r="M354" s="315"/>
      <c r="N354" s="313"/>
      <c r="O354" s="38"/>
      <c r="P354" s="38"/>
      <c r="Q354" s="38"/>
      <c r="R354" s="315"/>
      <c r="S354" s="313"/>
      <c r="T354" s="38"/>
      <c r="U354" s="38"/>
      <c r="V354" s="38"/>
      <c r="W354" s="315"/>
      <c r="X354" s="313"/>
      <c r="Y354" s="38"/>
      <c r="Z354" s="38"/>
      <c r="AA354" s="38"/>
      <c r="AB354" s="315"/>
    </row>
    <row r="355" spans="1:28" ht="18" customHeight="1" x14ac:dyDescent="0.2">
      <c r="A355" s="323"/>
      <c r="B355" s="41" t="s">
        <v>1665</v>
      </c>
      <c r="C355" s="315"/>
      <c r="D355" s="313"/>
      <c r="E355" s="38"/>
      <c r="F355" s="38"/>
      <c r="G355" s="38"/>
      <c r="H355" s="315"/>
      <c r="I355" s="313"/>
      <c r="J355" s="38"/>
      <c r="K355" s="38"/>
      <c r="L355" s="38"/>
      <c r="M355" s="315"/>
      <c r="N355" s="313"/>
      <c r="O355" s="38"/>
      <c r="P355" s="38"/>
      <c r="Q355" s="38"/>
      <c r="R355" s="315"/>
      <c r="S355" s="313"/>
      <c r="T355" s="38"/>
      <c r="U355" s="38"/>
      <c r="V355" s="38"/>
      <c r="W355" s="315"/>
      <c r="X355" s="313"/>
      <c r="Y355" s="38"/>
      <c r="Z355" s="38"/>
      <c r="AA355" s="38"/>
      <c r="AB355" s="315"/>
    </row>
    <row r="356" spans="1:28" ht="18" customHeight="1" x14ac:dyDescent="0.2">
      <c r="A356" s="323"/>
      <c r="B356" s="40" t="s">
        <v>871</v>
      </c>
      <c r="C356" s="315"/>
      <c r="D356" s="313"/>
      <c r="E356" s="38"/>
      <c r="F356" s="38"/>
      <c r="G356" s="38"/>
      <c r="H356" s="315"/>
      <c r="I356" s="313"/>
      <c r="J356" s="38"/>
      <c r="K356" s="38"/>
      <c r="L356" s="38"/>
      <c r="M356" s="315"/>
      <c r="N356" s="313"/>
      <c r="O356" s="38"/>
      <c r="P356" s="38"/>
      <c r="Q356" s="38"/>
      <c r="R356" s="315"/>
      <c r="S356" s="313"/>
      <c r="T356" s="38"/>
      <c r="U356" s="38"/>
      <c r="V356" s="38"/>
      <c r="W356" s="315"/>
      <c r="X356" s="313"/>
      <c r="Y356" s="38"/>
      <c r="Z356" s="38"/>
      <c r="AA356" s="38"/>
      <c r="AB356" s="315"/>
    </row>
    <row r="357" spans="1:28" ht="18" customHeight="1" x14ac:dyDescent="0.2">
      <c r="A357" s="323"/>
      <c r="B357" s="41" t="s">
        <v>896</v>
      </c>
      <c r="C357" s="315"/>
      <c r="D357" s="313"/>
      <c r="E357" s="38"/>
      <c r="F357" s="38"/>
      <c r="G357" s="38"/>
      <c r="H357" s="315"/>
      <c r="I357" s="313"/>
      <c r="J357" s="38"/>
      <c r="K357" s="38"/>
      <c r="L357" s="38"/>
      <c r="M357" s="315"/>
      <c r="N357" s="313"/>
      <c r="O357" s="38"/>
      <c r="P357" s="38"/>
      <c r="Q357" s="38"/>
      <c r="R357" s="315"/>
      <c r="S357" s="313"/>
      <c r="T357" s="38"/>
      <c r="U357" s="38"/>
      <c r="V357" s="38"/>
      <c r="W357" s="315"/>
      <c r="X357" s="313"/>
      <c r="Y357" s="38"/>
      <c r="Z357" s="38"/>
      <c r="AA357" s="38"/>
      <c r="AB357" s="315"/>
    </row>
    <row r="358" spans="1:28" ht="18" customHeight="1" x14ac:dyDescent="0.2">
      <c r="A358" s="323"/>
      <c r="B358" s="41" t="s">
        <v>897</v>
      </c>
      <c r="C358" s="315"/>
      <c r="D358" s="313"/>
      <c r="E358" s="38"/>
      <c r="F358" s="38"/>
      <c r="G358" s="38"/>
      <c r="H358" s="315"/>
      <c r="I358" s="313"/>
      <c r="J358" s="38"/>
      <c r="K358" s="38"/>
      <c r="L358" s="38"/>
      <c r="M358" s="315"/>
      <c r="N358" s="313"/>
      <c r="O358" s="38"/>
      <c r="P358" s="38"/>
      <c r="Q358" s="38"/>
      <c r="R358" s="315"/>
      <c r="S358" s="313"/>
      <c r="T358" s="38"/>
      <c r="U358" s="38"/>
      <c r="V358" s="38"/>
      <c r="W358" s="315"/>
      <c r="X358" s="313"/>
      <c r="Y358" s="38"/>
      <c r="Z358" s="38"/>
      <c r="AA358" s="38"/>
      <c r="AB358" s="315"/>
    </row>
    <row r="359" spans="1:28" ht="18" customHeight="1" x14ac:dyDescent="0.2">
      <c r="A359" s="323"/>
      <c r="B359" s="41" t="s">
        <v>898</v>
      </c>
      <c r="C359" s="315"/>
      <c r="D359" s="313"/>
      <c r="E359" s="38"/>
      <c r="F359" s="38"/>
      <c r="G359" s="38"/>
      <c r="H359" s="315"/>
      <c r="I359" s="313"/>
      <c r="J359" s="38"/>
      <c r="K359" s="38"/>
      <c r="L359" s="38"/>
      <c r="M359" s="315"/>
      <c r="N359" s="313"/>
      <c r="O359" s="38"/>
      <c r="P359" s="38"/>
      <c r="Q359" s="38"/>
      <c r="R359" s="315"/>
      <c r="S359" s="313"/>
      <c r="T359" s="38"/>
      <c r="U359" s="38"/>
      <c r="V359" s="38"/>
      <c r="W359" s="315"/>
      <c r="X359" s="313"/>
      <c r="Y359" s="38"/>
      <c r="Z359" s="38"/>
      <c r="AA359" s="38"/>
      <c r="AB359" s="315"/>
    </row>
    <row r="360" spans="1:28" ht="18" customHeight="1" x14ac:dyDescent="0.2">
      <c r="A360" s="323"/>
      <c r="B360" s="41" t="s">
        <v>899</v>
      </c>
      <c r="C360" s="316"/>
      <c r="D360" s="314"/>
      <c r="E360" s="38"/>
      <c r="F360" s="38"/>
      <c r="G360" s="38"/>
      <c r="H360" s="316"/>
      <c r="I360" s="314"/>
      <c r="J360" s="38"/>
      <c r="K360" s="38"/>
      <c r="L360" s="38"/>
      <c r="M360" s="316"/>
      <c r="N360" s="314"/>
      <c r="O360" s="38"/>
      <c r="P360" s="38"/>
      <c r="Q360" s="38"/>
      <c r="R360" s="316"/>
      <c r="S360" s="314"/>
      <c r="T360" s="38"/>
      <c r="U360" s="38"/>
      <c r="V360" s="38"/>
      <c r="W360" s="316"/>
      <c r="X360" s="314"/>
      <c r="Y360" s="38"/>
      <c r="Z360" s="38"/>
      <c r="AA360" s="38"/>
      <c r="AB360" s="316"/>
    </row>
    <row r="361" spans="1:28" ht="13.5" customHeight="1" x14ac:dyDescent="0.2">
      <c r="A361" s="322" t="s">
        <v>1080</v>
      </c>
      <c r="B361" s="37" t="s">
        <v>441</v>
      </c>
      <c r="C361" s="317">
        <f>D361+E361+F361+G361</f>
        <v>3478</v>
      </c>
      <c r="D361" s="318">
        <v>3478</v>
      </c>
      <c r="E361" s="38">
        <v>0</v>
      </c>
      <c r="F361" s="38">
        <v>0</v>
      </c>
      <c r="G361" s="38">
        <v>0</v>
      </c>
      <c r="H361" s="317">
        <f>I361+J361+K361+L361</f>
        <v>797</v>
      </c>
      <c r="I361" s="318">
        <f>4667-3870</f>
        <v>797</v>
      </c>
      <c r="J361" s="38">
        <v>0</v>
      </c>
      <c r="K361" s="38">
        <v>0</v>
      </c>
      <c r="L361" s="38">
        <v>0</v>
      </c>
      <c r="M361" s="317">
        <f>N361</f>
        <v>0</v>
      </c>
      <c r="N361" s="318">
        <f>57-57</f>
        <v>0</v>
      </c>
      <c r="O361" s="38">
        <v>0</v>
      </c>
      <c r="P361" s="38">
        <v>0</v>
      </c>
      <c r="Q361" s="38">
        <v>0</v>
      </c>
      <c r="R361" s="317">
        <f>S361</f>
        <v>0</v>
      </c>
      <c r="S361" s="318">
        <v>0</v>
      </c>
      <c r="T361" s="38">
        <v>0</v>
      </c>
      <c r="U361" s="38">
        <v>0</v>
      </c>
      <c r="V361" s="38">
        <v>0</v>
      </c>
      <c r="W361" s="318">
        <v>0</v>
      </c>
      <c r="X361" s="318">
        <v>0</v>
      </c>
      <c r="Y361" s="38">
        <v>0</v>
      </c>
      <c r="Z361" s="38">
        <v>0</v>
      </c>
      <c r="AA361" s="38">
        <v>0</v>
      </c>
      <c r="AB361" s="317">
        <f>C361+H361+M361+R361+W361</f>
        <v>4275</v>
      </c>
    </row>
    <row r="362" spans="1:28" ht="15.75" customHeight="1" x14ac:dyDescent="0.2">
      <c r="A362" s="323"/>
      <c r="B362" s="40" t="s">
        <v>437</v>
      </c>
      <c r="C362" s="315"/>
      <c r="D362" s="313"/>
      <c r="E362" s="38"/>
      <c r="F362" s="38"/>
      <c r="G362" s="38"/>
      <c r="H362" s="315"/>
      <c r="I362" s="313"/>
      <c r="J362" s="38"/>
      <c r="K362" s="38"/>
      <c r="L362" s="38"/>
      <c r="M362" s="315"/>
      <c r="N362" s="313">
        <f>57+1019</f>
        <v>1076</v>
      </c>
      <c r="O362" s="38"/>
      <c r="P362" s="38"/>
      <c r="Q362" s="38"/>
      <c r="R362" s="315"/>
      <c r="S362" s="313">
        <f>57+1695</f>
        <v>1752</v>
      </c>
      <c r="T362" s="38"/>
      <c r="U362" s="38"/>
      <c r="V362" s="38"/>
      <c r="W362" s="313"/>
      <c r="X362" s="313"/>
      <c r="Y362" s="38"/>
      <c r="Z362" s="38"/>
      <c r="AA362" s="38"/>
      <c r="AB362" s="315"/>
    </row>
    <row r="363" spans="1:28" ht="15" customHeight="1" x14ac:dyDescent="0.2">
      <c r="A363" s="323"/>
      <c r="B363" s="41" t="s">
        <v>442</v>
      </c>
      <c r="C363" s="315"/>
      <c r="D363" s="313"/>
      <c r="E363" s="38"/>
      <c r="F363" s="38"/>
      <c r="G363" s="38"/>
      <c r="H363" s="315"/>
      <c r="I363" s="313"/>
      <c r="J363" s="38"/>
      <c r="K363" s="38"/>
      <c r="L363" s="38"/>
      <c r="M363" s="315"/>
      <c r="N363" s="313">
        <f>57+1019</f>
        <v>1076</v>
      </c>
      <c r="O363" s="38"/>
      <c r="P363" s="38"/>
      <c r="Q363" s="38"/>
      <c r="R363" s="315"/>
      <c r="S363" s="313">
        <f>57+1695</f>
        <v>1752</v>
      </c>
      <c r="T363" s="38"/>
      <c r="U363" s="38"/>
      <c r="V363" s="38"/>
      <c r="W363" s="313"/>
      <c r="X363" s="313"/>
      <c r="Y363" s="38"/>
      <c r="Z363" s="38"/>
      <c r="AA363" s="38"/>
      <c r="AB363" s="315"/>
    </row>
    <row r="364" spans="1:28" ht="15.75" customHeight="1" x14ac:dyDescent="0.2">
      <c r="A364" s="323"/>
      <c r="B364" s="40" t="s">
        <v>428</v>
      </c>
      <c r="C364" s="315"/>
      <c r="D364" s="313"/>
      <c r="E364" s="54"/>
      <c r="F364" s="54"/>
      <c r="G364" s="54"/>
      <c r="H364" s="315"/>
      <c r="I364" s="313"/>
      <c r="J364" s="54"/>
      <c r="K364" s="54"/>
      <c r="L364" s="54"/>
      <c r="M364" s="315"/>
      <c r="N364" s="313">
        <f>57+1019</f>
        <v>1076</v>
      </c>
      <c r="O364" s="54"/>
      <c r="P364" s="54"/>
      <c r="Q364" s="54"/>
      <c r="R364" s="315"/>
      <c r="S364" s="313">
        <f>57+1695</f>
        <v>1752</v>
      </c>
      <c r="T364" s="54"/>
      <c r="U364" s="54"/>
      <c r="V364" s="54"/>
      <c r="W364" s="313"/>
      <c r="X364" s="313"/>
      <c r="Y364" s="54"/>
      <c r="Z364" s="54"/>
      <c r="AA364" s="54"/>
      <c r="AB364" s="315"/>
    </row>
    <row r="365" spans="1:28" ht="13.5" customHeight="1" x14ac:dyDescent="0.2">
      <c r="A365" s="323"/>
      <c r="B365" s="41" t="s">
        <v>904</v>
      </c>
      <c r="C365" s="315"/>
      <c r="D365" s="313"/>
      <c r="E365" s="44"/>
      <c r="F365" s="44"/>
      <c r="G365" s="44"/>
      <c r="H365" s="315"/>
      <c r="I365" s="313"/>
      <c r="J365" s="44"/>
      <c r="K365" s="44"/>
      <c r="L365" s="44"/>
      <c r="M365" s="315"/>
      <c r="N365" s="313">
        <f>57+1019</f>
        <v>1076</v>
      </c>
      <c r="O365" s="44"/>
      <c r="P365" s="44"/>
      <c r="Q365" s="44"/>
      <c r="R365" s="315"/>
      <c r="S365" s="313">
        <f>57+1695</f>
        <v>1752</v>
      </c>
      <c r="T365" s="44"/>
      <c r="U365" s="44"/>
      <c r="V365" s="44"/>
      <c r="W365" s="313"/>
      <c r="X365" s="313"/>
      <c r="Y365" s="44"/>
      <c r="Z365" s="44"/>
      <c r="AA365" s="44"/>
      <c r="AB365" s="315"/>
    </row>
    <row r="366" spans="1:28" ht="18" customHeight="1" x14ac:dyDescent="0.2">
      <c r="A366" s="324"/>
      <c r="B366" s="45" t="s">
        <v>901</v>
      </c>
      <c r="C366" s="316"/>
      <c r="D366" s="314"/>
      <c r="E366" s="38"/>
      <c r="F366" s="38"/>
      <c r="G366" s="38"/>
      <c r="H366" s="316"/>
      <c r="I366" s="314"/>
      <c r="J366" s="38"/>
      <c r="K366" s="38"/>
      <c r="L366" s="38"/>
      <c r="M366" s="316"/>
      <c r="N366" s="314">
        <f>57+1019</f>
        <v>1076</v>
      </c>
      <c r="O366" s="38"/>
      <c r="P366" s="38"/>
      <c r="Q366" s="38"/>
      <c r="R366" s="316"/>
      <c r="S366" s="314">
        <f>57+1695</f>
        <v>1752</v>
      </c>
      <c r="T366" s="38"/>
      <c r="U366" s="38"/>
      <c r="V366" s="38"/>
      <c r="W366" s="314"/>
      <c r="X366" s="314"/>
      <c r="Y366" s="38"/>
      <c r="Z366" s="38"/>
      <c r="AA366" s="38"/>
      <c r="AB366" s="316"/>
    </row>
    <row r="367" spans="1:28" ht="18" customHeight="1" x14ac:dyDescent="0.2">
      <c r="A367" s="8" t="s">
        <v>1081</v>
      </c>
      <c r="B367" s="55" t="s">
        <v>600</v>
      </c>
      <c r="C367" s="56">
        <f>SUM(D367:G367)</f>
        <v>1700</v>
      </c>
      <c r="D367" s="38">
        <v>1700</v>
      </c>
      <c r="E367" s="38"/>
      <c r="F367" s="38"/>
      <c r="G367" s="38"/>
      <c r="H367" s="56">
        <f>I367</f>
        <v>2742</v>
      </c>
      <c r="I367" s="38">
        <f>2000+147+411+184</f>
        <v>2742</v>
      </c>
      <c r="J367" s="38"/>
      <c r="K367" s="38"/>
      <c r="L367" s="38"/>
      <c r="M367" s="56">
        <f>N367</f>
        <v>2996</v>
      </c>
      <c r="N367" s="38">
        <f>2000+996</f>
        <v>2996</v>
      </c>
      <c r="O367" s="38"/>
      <c r="P367" s="38"/>
      <c r="Q367" s="38"/>
      <c r="R367" s="56">
        <f>S367</f>
        <v>5529</v>
      </c>
      <c r="S367" s="38">
        <f>2000+3529</f>
        <v>5529</v>
      </c>
      <c r="T367" s="38"/>
      <c r="U367" s="38"/>
      <c r="V367" s="38"/>
      <c r="W367" s="56">
        <f>X367</f>
        <v>5529</v>
      </c>
      <c r="X367" s="38">
        <f>4500+1029</f>
        <v>5529</v>
      </c>
      <c r="Y367" s="38"/>
      <c r="Z367" s="38"/>
      <c r="AA367" s="38"/>
      <c r="AB367" s="56">
        <f>R367+W367+C367+H367+M367</f>
        <v>18496</v>
      </c>
    </row>
    <row r="368" spans="1:28" ht="18" customHeight="1" x14ac:dyDescent="0.2">
      <c r="A368" s="8" t="s">
        <v>1082</v>
      </c>
      <c r="B368" s="55" t="s">
        <v>101</v>
      </c>
      <c r="C368" s="56">
        <f>SUM(D368:G368)</f>
        <v>0</v>
      </c>
      <c r="D368" s="38">
        <v>0</v>
      </c>
      <c r="E368" s="38">
        <v>0</v>
      </c>
      <c r="F368" s="38">
        <v>0</v>
      </c>
      <c r="G368" s="38">
        <v>0</v>
      </c>
      <c r="H368" s="56">
        <f>SUM(I368:L368)</f>
        <v>0</v>
      </c>
      <c r="I368" s="38">
        <v>0</v>
      </c>
      <c r="J368" s="38">
        <v>0</v>
      </c>
      <c r="K368" s="38">
        <v>0</v>
      </c>
      <c r="L368" s="38">
        <v>0</v>
      </c>
      <c r="M368" s="56">
        <f>SUM(N368:Q368)</f>
        <v>0</v>
      </c>
      <c r="N368" s="38">
        <v>0</v>
      </c>
      <c r="O368" s="38">
        <v>0</v>
      </c>
      <c r="P368" s="38">
        <v>0</v>
      </c>
      <c r="Q368" s="38">
        <v>0</v>
      </c>
      <c r="R368" s="56">
        <f>SUM(S368:V368)</f>
        <v>0</v>
      </c>
      <c r="S368" s="38">
        <v>0</v>
      </c>
      <c r="T368" s="38">
        <v>0</v>
      </c>
      <c r="U368" s="38">
        <v>0</v>
      </c>
      <c r="V368" s="38">
        <v>0</v>
      </c>
      <c r="W368" s="56">
        <f>SUM(X368:AA368)</f>
        <v>0</v>
      </c>
      <c r="X368" s="38">
        <v>0</v>
      </c>
      <c r="Y368" s="38">
        <v>0</v>
      </c>
      <c r="Z368" s="38">
        <v>0</v>
      </c>
      <c r="AA368" s="38">
        <v>0</v>
      </c>
      <c r="AB368" s="56">
        <f>C368+H368+M368+R368+W368</f>
        <v>0</v>
      </c>
    </row>
    <row r="369" spans="1:28" ht="18" customHeight="1" x14ac:dyDescent="0.2">
      <c r="A369" s="8" t="s">
        <v>1083</v>
      </c>
      <c r="B369" s="55" t="s">
        <v>99</v>
      </c>
      <c r="C369" s="56">
        <f>SUM(D369:G369)</f>
        <v>3594</v>
      </c>
      <c r="D369" s="38">
        <v>3594</v>
      </c>
      <c r="E369" s="38">
        <v>0</v>
      </c>
      <c r="F369" s="38">
        <v>0</v>
      </c>
      <c r="G369" s="38">
        <v>0</v>
      </c>
      <c r="H369" s="56">
        <f>SUM(I369:L369)</f>
        <v>3788</v>
      </c>
      <c r="I369" s="38">
        <f>4176-388</f>
        <v>3788</v>
      </c>
      <c r="J369" s="38">
        <v>0</v>
      </c>
      <c r="K369" s="38">
        <v>0</v>
      </c>
      <c r="L369" s="38">
        <v>0</v>
      </c>
      <c r="M369" s="56">
        <f>SUM(N369:Q369)</f>
        <v>4176</v>
      </c>
      <c r="N369" s="38">
        <f>4575-399</f>
        <v>4176</v>
      </c>
      <c r="O369" s="38">
        <v>0</v>
      </c>
      <c r="P369" s="38">
        <v>0</v>
      </c>
      <c r="Q369" s="38">
        <v>0</v>
      </c>
      <c r="R369" s="56">
        <f>SUM(S369:V369)</f>
        <v>4342</v>
      </c>
      <c r="S369" s="38">
        <f>4575-233</f>
        <v>4342</v>
      </c>
      <c r="T369" s="38">
        <v>0</v>
      </c>
      <c r="U369" s="38">
        <v>0</v>
      </c>
      <c r="V369" s="38">
        <v>0</v>
      </c>
      <c r="W369" s="56">
        <f>SUM(X369:AA369)</f>
        <v>4342</v>
      </c>
      <c r="X369" s="38">
        <f>4176+166</f>
        <v>4342</v>
      </c>
      <c r="Y369" s="38">
        <v>0</v>
      </c>
      <c r="Z369" s="38">
        <v>0</v>
      </c>
      <c r="AA369" s="38">
        <v>0</v>
      </c>
      <c r="AB369" s="56">
        <f>C369+H369+M369+R369+W369</f>
        <v>20242</v>
      </c>
    </row>
    <row r="370" spans="1:28" ht="18" customHeight="1" x14ac:dyDescent="0.2">
      <c r="A370" s="352" t="s">
        <v>1084</v>
      </c>
      <c r="B370" s="41" t="s">
        <v>1052</v>
      </c>
      <c r="C370" s="353">
        <f>SUM(D370:G370)</f>
        <v>0</v>
      </c>
      <c r="D370" s="318">
        <v>0</v>
      </c>
      <c r="E370" s="38">
        <v>0</v>
      </c>
      <c r="F370" s="38">
        <v>0</v>
      </c>
      <c r="G370" s="38">
        <v>0</v>
      </c>
      <c r="H370" s="317">
        <f t="shared" ref="H370" si="9">SUM(I370:L370)</f>
        <v>716</v>
      </c>
      <c r="I370" s="318">
        <f>1557-841</f>
        <v>716</v>
      </c>
      <c r="J370" s="38">
        <v>0</v>
      </c>
      <c r="K370" s="38">
        <v>0</v>
      </c>
      <c r="L370" s="38">
        <v>0</v>
      </c>
      <c r="M370" s="317">
        <f>SUM(N370:Q370)</f>
        <v>684</v>
      </c>
      <c r="N370" s="318">
        <f>117+684-117</f>
        <v>684</v>
      </c>
      <c r="O370" s="38">
        <v>0</v>
      </c>
      <c r="P370" s="38">
        <v>0</v>
      </c>
      <c r="Q370" s="38">
        <v>0</v>
      </c>
      <c r="R370" s="317">
        <f>SUM(S370:V370)</f>
        <v>716</v>
      </c>
      <c r="S370" s="318">
        <v>716</v>
      </c>
      <c r="T370" s="38">
        <v>0</v>
      </c>
      <c r="U370" s="38">
        <v>0</v>
      </c>
      <c r="V370" s="38">
        <v>0</v>
      </c>
      <c r="W370" s="317">
        <f>SUM(X370:AA370)</f>
        <v>0</v>
      </c>
      <c r="X370" s="318">
        <v>0</v>
      </c>
      <c r="Y370" s="38">
        <v>0</v>
      </c>
      <c r="Z370" s="38">
        <v>0</v>
      </c>
      <c r="AA370" s="38">
        <v>0</v>
      </c>
      <c r="AB370" s="317">
        <f>C370+H370+M370+R370+W370</f>
        <v>2116</v>
      </c>
    </row>
    <row r="371" spans="1:28" ht="18" customHeight="1" x14ac:dyDescent="0.2">
      <c r="A371" s="323"/>
      <c r="B371" s="40" t="s">
        <v>428</v>
      </c>
      <c r="C371" s="315"/>
      <c r="D371" s="313"/>
      <c r="E371" s="38"/>
      <c r="F371" s="38"/>
      <c r="G371" s="38"/>
      <c r="H371" s="315"/>
      <c r="I371" s="313"/>
      <c r="J371" s="38"/>
      <c r="K371" s="38"/>
      <c r="L371" s="38"/>
      <c r="M371" s="315"/>
      <c r="N371" s="313"/>
      <c r="O371" s="38"/>
      <c r="P371" s="38"/>
      <c r="Q371" s="38"/>
      <c r="R371" s="315"/>
      <c r="S371" s="313"/>
      <c r="T371" s="38"/>
      <c r="U371" s="38"/>
      <c r="V371" s="38"/>
      <c r="W371" s="315"/>
      <c r="X371" s="313"/>
      <c r="Y371" s="38"/>
      <c r="Z371" s="38"/>
      <c r="AA371" s="38"/>
      <c r="AB371" s="315"/>
    </row>
    <row r="372" spans="1:28" ht="18" customHeight="1" x14ac:dyDescent="0.2">
      <c r="A372" s="323"/>
      <c r="B372" s="41" t="s">
        <v>1681</v>
      </c>
      <c r="C372" s="315"/>
      <c r="D372" s="313"/>
      <c r="E372" s="38"/>
      <c r="F372" s="38"/>
      <c r="G372" s="38"/>
      <c r="H372" s="315"/>
      <c r="I372" s="313"/>
      <c r="J372" s="38"/>
      <c r="K372" s="38"/>
      <c r="L372" s="38"/>
      <c r="M372" s="315"/>
      <c r="N372" s="313"/>
      <c r="O372" s="38"/>
      <c r="P372" s="38"/>
      <c r="Q372" s="38"/>
      <c r="R372" s="315"/>
      <c r="S372" s="313"/>
      <c r="T372" s="38"/>
      <c r="U372" s="38"/>
      <c r="V372" s="38"/>
      <c r="W372" s="315"/>
      <c r="X372" s="313"/>
      <c r="Y372" s="38"/>
      <c r="Z372" s="38"/>
      <c r="AA372" s="38"/>
      <c r="AB372" s="315"/>
    </row>
    <row r="373" spans="1:28" ht="18" customHeight="1" x14ac:dyDescent="0.2">
      <c r="A373" s="323"/>
      <c r="B373" s="41" t="s">
        <v>1682</v>
      </c>
      <c r="C373" s="315"/>
      <c r="D373" s="313"/>
      <c r="E373" s="38"/>
      <c r="F373" s="38"/>
      <c r="G373" s="38"/>
      <c r="H373" s="315"/>
      <c r="I373" s="313"/>
      <c r="J373" s="38"/>
      <c r="K373" s="38"/>
      <c r="L373" s="38"/>
      <c r="M373" s="315"/>
      <c r="N373" s="313"/>
      <c r="O373" s="38"/>
      <c r="P373" s="38"/>
      <c r="Q373" s="38"/>
      <c r="R373" s="315"/>
      <c r="S373" s="313"/>
      <c r="T373" s="38"/>
      <c r="U373" s="38"/>
      <c r="V373" s="38"/>
      <c r="W373" s="315"/>
      <c r="X373" s="313"/>
      <c r="Y373" s="38"/>
      <c r="Z373" s="38"/>
      <c r="AA373" s="38"/>
      <c r="AB373" s="315"/>
    </row>
    <row r="374" spans="1:28" ht="18" customHeight="1" x14ac:dyDescent="0.2">
      <c r="A374" s="323"/>
      <c r="B374" s="41" t="s">
        <v>903</v>
      </c>
      <c r="C374" s="315"/>
      <c r="D374" s="313"/>
      <c r="E374" s="38"/>
      <c r="F374" s="38"/>
      <c r="G374" s="38"/>
      <c r="H374" s="315"/>
      <c r="I374" s="313"/>
      <c r="J374" s="38"/>
      <c r="K374" s="38"/>
      <c r="L374" s="38"/>
      <c r="M374" s="315"/>
      <c r="N374" s="313"/>
      <c r="O374" s="38"/>
      <c r="P374" s="38"/>
      <c r="Q374" s="38"/>
      <c r="R374" s="315"/>
      <c r="S374" s="313"/>
      <c r="T374" s="38"/>
      <c r="U374" s="38"/>
      <c r="V374" s="38"/>
      <c r="W374" s="315"/>
      <c r="X374" s="313"/>
      <c r="Y374" s="38"/>
      <c r="Z374" s="38"/>
      <c r="AA374" s="38"/>
      <c r="AB374" s="315"/>
    </row>
    <row r="375" spans="1:28" ht="18" customHeight="1" x14ac:dyDescent="0.2">
      <c r="A375" s="323"/>
      <c r="B375" s="41" t="s">
        <v>1683</v>
      </c>
      <c r="C375" s="315"/>
      <c r="D375" s="313"/>
      <c r="E375" s="38"/>
      <c r="F375" s="38"/>
      <c r="G375" s="38"/>
      <c r="H375" s="315"/>
      <c r="I375" s="313"/>
      <c r="J375" s="38"/>
      <c r="K375" s="38"/>
      <c r="L375" s="38"/>
      <c r="M375" s="315"/>
      <c r="N375" s="313"/>
      <c r="O375" s="38"/>
      <c r="P375" s="38"/>
      <c r="Q375" s="38"/>
      <c r="R375" s="315"/>
      <c r="S375" s="313"/>
      <c r="T375" s="38"/>
      <c r="U375" s="38"/>
      <c r="V375" s="38"/>
      <c r="W375" s="315"/>
      <c r="X375" s="313"/>
      <c r="Y375" s="38"/>
      <c r="Z375" s="38"/>
      <c r="AA375" s="38"/>
      <c r="AB375" s="315"/>
    </row>
    <row r="376" spans="1:28" ht="18" customHeight="1" x14ac:dyDescent="0.2">
      <c r="A376" s="323"/>
      <c r="B376" s="40" t="s">
        <v>783</v>
      </c>
      <c r="C376" s="315"/>
      <c r="D376" s="313"/>
      <c r="E376" s="38"/>
      <c r="F376" s="38"/>
      <c r="G376" s="38"/>
      <c r="H376" s="315"/>
      <c r="I376" s="313"/>
      <c r="J376" s="38"/>
      <c r="K376" s="38"/>
      <c r="L376" s="38"/>
      <c r="M376" s="315"/>
      <c r="N376" s="313"/>
      <c r="O376" s="38"/>
      <c r="P376" s="38"/>
      <c r="Q376" s="38"/>
      <c r="R376" s="315"/>
      <c r="S376" s="313"/>
      <c r="T376" s="38"/>
      <c r="U376" s="38"/>
      <c r="V376" s="38"/>
      <c r="W376" s="315"/>
      <c r="X376" s="313"/>
      <c r="Y376" s="38"/>
      <c r="Z376" s="38"/>
      <c r="AA376" s="38"/>
      <c r="AB376" s="315"/>
    </row>
    <row r="377" spans="1:28" ht="33.75" customHeight="1" x14ac:dyDescent="0.2">
      <c r="A377" s="323"/>
      <c r="B377" s="41" t="s">
        <v>1725</v>
      </c>
      <c r="C377" s="315"/>
      <c r="D377" s="313"/>
      <c r="E377" s="38"/>
      <c r="F377" s="38"/>
      <c r="G377" s="38"/>
      <c r="H377" s="315"/>
      <c r="I377" s="313"/>
      <c r="J377" s="38"/>
      <c r="K377" s="38"/>
      <c r="L377" s="38"/>
      <c r="M377" s="315"/>
      <c r="N377" s="313"/>
      <c r="O377" s="38"/>
      <c r="P377" s="38"/>
      <c r="Q377" s="38"/>
      <c r="R377" s="315"/>
      <c r="S377" s="313"/>
      <c r="T377" s="38"/>
      <c r="U377" s="38"/>
      <c r="V377" s="38"/>
      <c r="W377" s="315"/>
      <c r="X377" s="313"/>
      <c r="Y377" s="38"/>
      <c r="Z377" s="38"/>
      <c r="AA377" s="38"/>
      <c r="AB377" s="315"/>
    </row>
    <row r="378" spans="1:28" ht="18" customHeight="1" x14ac:dyDescent="0.2">
      <c r="A378" s="323"/>
      <c r="B378" s="40" t="s">
        <v>871</v>
      </c>
      <c r="C378" s="315"/>
      <c r="D378" s="313"/>
      <c r="E378" s="38"/>
      <c r="F378" s="38"/>
      <c r="G378" s="38"/>
      <c r="H378" s="315"/>
      <c r="I378" s="313"/>
      <c r="J378" s="38"/>
      <c r="K378" s="38"/>
      <c r="L378" s="38"/>
      <c r="M378" s="315"/>
      <c r="N378" s="313"/>
      <c r="O378" s="38"/>
      <c r="P378" s="38"/>
      <c r="Q378" s="38"/>
      <c r="R378" s="315"/>
      <c r="S378" s="313"/>
      <c r="T378" s="38"/>
      <c r="U378" s="38"/>
      <c r="V378" s="38"/>
      <c r="W378" s="315"/>
      <c r="X378" s="313"/>
      <c r="Y378" s="38"/>
      <c r="Z378" s="38"/>
      <c r="AA378" s="38"/>
      <c r="AB378" s="315"/>
    </row>
    <row r="379" spans="1:28" ht="18" customHeight="1" x14ac:dyDescent="0.2">
      <c r="A379" s="323"/>
      <c r="B379" s="41" t="s">
        <v>1668</v>
      </c>
      <c r="C379" s="315"/>
      <c r="D379" s="313"/>
      <c r="E379" s="44"/>
      <c r="F379" s="44"/>
      <c r="G379" s="44"/>
      <c r="H379" s="315"/>
      <c r="I379" s="313"/>
      <c r="J379" s="44"/>
      <c r="K379" s="44"/>
      <c r="L379" s="44"/>
      <c r="M379" s="315"/>
      <c r="N379" s="313"/>
      <c r="O379" s="44"/>
      <c r="P379" s="44"/>
      <c r="Q379" s="44"/>
      <c r="R379" s="315"/>
      <c r="S379" s="313"/>
      <c r="T379" s="44"/>
      <c r="U379" s="44"/>
      <c r="V379" s="44"/>
      <c r="W379" s="315"/>
      <c r="X379" s="313"/>
      <c r="Y379" s="44"/>
      <c r="Z379" s="44"/>
      <c r="AA379" s="44"/>
      <c r="AB379" s="315"/>
    </row>
    <row r="380" spans="1:28" ht="18" customHeight="1" x14ac:dyDescent="0.2">
      <c r="A380" s="8" t="s">
        <v>1085</v>
      </c>
      <c r="B380" s="37" t="s">
        <v>990</v>
      </c>
      <c r="C380" s="56">
        <v>0</v>
      </c>
      <c r="D380" s="38">
        <v>0</v>
      </c>
      <c r="E380" s="38"/>
      <c r="F380" s="38"/>
      <c r="G380" s="38"/>
      <c r="H380" s="56">
        <f>SUM(I380+L380)</f>
        <v>314</v>
      </c>
      <c r="I380" s="38">
        <v>314</v>
      </c>
      <c r="J380" s="38"/>
      <c r="K380" s="38"/>
      <c r="L380" s="38"/>
      <c r="M380" s="56">
        <f>N380</f>
        <v>314</v>
      </c>
      <c r="N380" s="38">
        <v>314</v>
      </c>
      <c r="O380" s="38"/>
      <c r="P380" s="38"/>
      <c r="Q380" s="38"/>
      <c r="R380" s="56">
        <v>0</v>
      </c>
      <c r="S380" s="38">
        <v>0</v>
      </c>
      <c r="T380" s="38"/>
      <c r="U380" s="38"/>
      <c r="V380" s="38"/>
      <c r="W380" s="56">
        <v>0</v>
      </c>
      <c r="X380" s="38">
        <v>0</v>
      </c>
      <c r="Y380" s="38"/>
      <c r="Z380" s="38"/>
      <c r="AA380" s="38"/>
      <c r="AB380" s="56">
        <f>C380+H380+M380+R380+W380</f>
        <v>628</v>
      </c>
    </row>
    <row r="381" spans="1:28" ht="20.25" customHeight="1" x14ac:dyDescent="0.2">
      <c r="A381" s="322" t="s">
        <v>1086</v>
      </c>
      <c r="B381" s="37" t="s">
        <v>993</v>
      </c>
      <c r="C381" s="317">
        <v>0</v>
      </c>
      <c r="D381" s="318">
        <v>0</v>
      </c>
      <c r="E381" s="38"/>
      <c r="F381" s="38"/>
      <c r="G381" s="38"/>
      <c r="H381" s="317">
        <f>SUM(I381+L381)</f>
        <v>2279</v>
      </c>
      <c r="I381" s="318">
        <v>2279</v>
      </c>
      <c r="J381" s="38"/>
      <c r="K381" s="38"/>
      <c r="L381" s="38"/>
      <c r="M381" s="317">
        <v>0</v>
      </c>
      <c r="N381" s="318">
        <v>0</v>
      </c>
      <c r="O381" s="38"/>
      <c r="P381" s="38"/>
      <c r="Q381" s="38"/>
      <c r="R381" s="317">
        <v>0</v>
      </c>
      <c r="S381" s="318">
        <v>0</v>
      </c>
      <c r="T381" s="38"/>
      <c r="U381" s="38"/>
      <c r="V381" s="38"/>
      <c r="W381" s="317">
        <v>0</v>
      </c>
      <c r="X381" s="318">
        <v>0</v>
      </c>
      <c r="Y381" s="38"/>
      <c r="Z381" s="38"/>
      <c r="AA381" s="38"/>
      <c r="AB381" s="317">
        <f>C381+H381+M381+R381+W381</f>
        <v>2279</v>
      </c>
    </row>
    <row r="382" spans="1:28" ht="18" customHeight="1" x14ac:dyDescent="0.2">
      <c r="A382" s="323"/>
      <c r="B382" s="40" t="s">
        <v>428</v>
      </c>
      <c r="C382" s="315"/>
      <c r="D382" s="313"/>
      <c r="E382" s="38"/>
      <c r="F382" s="38"/>
      <c r="G382" s="38"/>
      <c r="H382" s="315"/>
      <c r="I382" s="313"/>
      <c r="J382" s="38"/>
      <c r="K382" s="38"/>
      <c r="L382" s="38"/>
      <c r="M382" s="315"/>
      <c r="N382" s="313"/>
      <c r="O382" s="38"/>
      <c r="P382" s="38"/>
      <c r="Q382" s="38"/>
      <c r="R382" s="315"/>
      <c r="S382" s="313"/>
      <c r="T382" s="38"/>
      <c r="U382" s="38"/>
      <c r="V382" s="38"/>
      <c r="W382" s="315"/>
      <c r="X382" s="313"/>
      <c r="Y382" s="38"/>
      <c r="Z382" s="38"/>
      <c r="AA382" s="38"/>
      <c r="AB382" s="315"/>
    </row>
    <row r="383" spans="1:28" ht="18" customHeight="1" x14ac:dyDescent="0.2">
      <c r="A383" s="323"/>
      <c r="B383" s="41" t="s">
        <v>992</v>
      </c>
      <c r="C383" s="315"/>
      <c r="D383" s="313"/>
      <c r="E383" s="38"/>
      <c r="F383" s="38"/>
      <c r="G383" s="38"/>
      <c r="H383" s="315"/>
      <c r="I383" s="313"/>
      <c r="J383" s="38"/>
      <c r="K383" s="38"/>
      <c r="L383" s="38"/>
      <c r="M383" s="315"/>
      <c r="N383" s="313"/>
      <c r="O383" s="38"/>
      <c r="P383" s="38"/>
      <c r="Q383" s="38"/>
      <c r="R383" s="315"/>
      <c r="S383" s="313"/>
      <c r="T383" s="38"/>
      <c r="U383" s="38"/>
      <c r="V383" s="38"/>
      <c r="W383" s="315"/>
      <c r="X383" s="313"/>
      <c r="Y383" s="38"/>
      <c r="Z383" s="38"/>
      <c r="AA383" s="38"/>
      <c r="AB383" s="315"/>
    </row>
    <row r="384" spans="1:28" ht="18" customHeight="1" x14ac:dyDescent="0.2">
      <c r="A384" s="323"/>
      <c r="B384" s="41" t="s">
        <v>994</v>
      </c>
      <c r="C384" s="315"/>
      <c r="D384" s="313"/>
      <c r="E384" s="38"/>
      <c r="F384" s="38"/>
      <c r="G384" s="38"/>
      <c r="H384" s="315"/>
      <c r="I384" s="313"/>
      <c r="J384" s="38"/>
      <c r="K384" s="38"/>
      <c r="L384" s="38"/>
      <c r="M384" s="315"/>
      <c r="N384" s="313"/>
      <c r="O384" s="38"/>
      <c r="P384" s="38"/>
      <c r="Q384" s="38"/>
      <c r="R384" s="315"/>
      <c r="S384" s="313"/>
      <c r="T384" s="38"/>
      <c r="U384" s="38"/>
      <c r="V384" s="38"/>
      <c r="W384" s="315"/>
      <c r="X384" s="313"/>
      <c r="Y384" s="38"/>
      <c r="Z384" s="38"/>
      <c r="AA384" s="38"/>
      <c r="AB384" s="315"/>
    </row>
    <row r="385" spans="1:28" ht="18" customHeight="1" x14ac:dyDescent="0.2">
      <c r="A385" s="323"/>
      <c r="B385" s="41" t="s">
        <v>995</v>
      </c>
      <c r="C385" s="315"/>
      <c r="D385" s="313"/>
      <c r="E385" s="38"/>
      <c r="F385" s="38"/>
      <c r="G385" s="38"/>
      <c r="H385" s="315"/>
      <c r="I385" s="313"/>
      <c r="J385" s="38"/>
      <c r="K385" s="38"/>
      <c r="L385" s="38"/>
      <c r="M385" s="315"/>
      <c r="N385" s="313"/>
      <c r="O385" s="38"/>
      <c r="P385" s="38"/>
      <c r="Q385" s="38"/>
      <c r="R385" s="315"/>
      <c r="S385" s="313"/>
      <c r="T385" s="38"/>
      <c r="U385" s="38"/>
      <c r="V385" s="38"/>
      <c r="W385" s="315"/>
      <c r="X385" s="313"/>
      <c r="Y385" s="38"/>
      <c r="Z385" s="38"/>
      <c r="AA385" s="38"/>
      <c r="AB385" s="315"/>
    </row>
    <row r="386" spans="1:28" ht="36" customHeight="1" x14ac:dyDescent="0.2">
      <c r="A386" s="323"/>
      <c r="B386" s="41" t="s">
        <v>996</v>
      </c>
      <c r="C386" s="315"/>
      <c r="D386" s="313"/>
      <c r="E386" s="38"/>
      <c r="F386" s="38"/>
      <c r="G386" s="38"/>
      <c r="H386" s="315"/>
      <c r="I386" s="313"/>
      <c r="J386" s="38"/>
      <c r="K386" s="38"/>
      <c r="L386" s="38"/>
      <c r="M386" s="315"/>
      <c r="N386" s="313"/>
      <c r="O386" s="38"/>
      <c r="P386" s="38"/>
      <c r="Q386" s="38"/>
      <c r="R386" s="315"/>
      <c r="S386" s="313"/>
      <c r="T386" s="38"/>
      <c r="U386" s="38"/>
      <c r="V386" s="38"/>
      <c r="W386" s="315"/>
      <c r="X386" s="313"/>
      <c r="Y386" s="38"/>
      <c r="Z386" s="38"/>
      <c r="AA386" s="38"/>
      <c r="AB386" s="315"/>
    </row>
    <row r="387" spans="1:28" ht="18" customHeight="1" x14ac:dyDescent="0.2">
      <c r="A387" s="323"/>
      <c r="B387" s="41" t="s">
        <v>997</v>
      </c>
      <c r="C387" s="315"/>
      <c r="D387" s="313"/>
      <c r="E387" s="38"/>
      <c r="F387" s="38"/>
      <c r="G387" s="38"/>
      <c r="H387" s="315"/>
      <c r="I387" s="313"/>
      <c r="J387" s="38"/>
      <c r="K387" s="38"/>
      <c r="L387" s="38"/>
      <c r="M387" s="315"/>
      <c r="N387" s="313"/>
      <c r="O387" s="38"/>
      <c r="P387" s="38"/>
      <c r="Q387" s="38"/>
      <c r="R387" s="315"/>
      <c r="S387" s="313"/>
      <c r="T387" s="38"/>
      <c r="U387" s="38"/>
      <c r="V387" s="38"/>
      <c r="W387" s="315"/>
      <c r="X387" s="313"/>
      <c r="Y387" s="38"/>
      <c r="Z387" s="38"/>
      <c r="AA387" s="38"/>
      <c r="AB387" s="315"/>
    </row>
    <row r="388" spans="1:28" ht="33" customHeight="1" x14ac:dyDescent="0.2">
      <c r="A388" s="323"/>
      <c r="B388" s="41" t="s">
        <v>998</v>
      </c>
      <c r="C388" s="315"/>
      <c r="D388" s="313"/>
      <c r="E388" s="38"/>
      <c r="F388" s="38"/>
      <c r="G388" s="38"/>
      <c r="H388" s="315"/>
      <c r="I388" s="313"/>
      <c r="J388" s="38"/>
      <c r="K388" s="38"/>
      <c r="L388" s="38"/>
      <c r="M388" s="315"/>
      <c r="N388" s="313"/>
      <c r="O388" s="38"/>
      <c r="P388" s="38"/>
      <c r="Q388" s="38"/>
      <c r="R388" s="315"/>
      <c r="S388" s="313"/>
      <c r="T388" s="38"/>
      <c r="U388" s="38"/>
      <c r="V388" s="38"/>
      <c r="W388" s="315"/>
      <c r="X388" s="313"/>
      <c r="Y388" s="38"/>
      <c r="Z388" s="38"/>
      <c r="AA388" s="38"/>
      <c r="AB388" s="315"/>
    </row>
    <row r="389" spans="1:28" ht="18" customHeight="1" x14ac:dyDescent="0.2">
      <c r="A389" s="323"/>
      <c r="B389" s="41" t="s">
        <v>999</v>
      </c>
      <c r="C389" s="315"/>
      <c r="D389" s="313"/>
      <c r="E389" s="38"/>
      <c r="F389" s="38"/>
      <c r="G389" s="38"/>
      <c r="H389" s="315"/>
      <c r="I389" s="313"/>
      <c r="J389" s="38"/>
      <c r="K389" s="38"/>
      <c r="L389" s="38"/>
      <c r="M389" s="315"/>
      <c r="N389" s="313"/>
      <c r="O389" s="38"/>
      <c r="P389" s="38"/>
      <c r="Q389" s="38"/>
      <c r="R389" s="315"/>
      <c r="S389" s="313"/>
      <c r="T389" s="38"/>
      <c r="U389" s="38"/>
      <c r="V389" s="38"/>
      <c r="W389" s="315"/>
      <c r="X389" s="313"/>
      <c r="Y389" s="38"/>
      <c r="Z389" s="38"/>
      <c r="AA389" s="38"/>
      <c r="AB389" s="315"/>
    </row>
    <row r="390" spans="1:28" ht="18" customHeight="1" x14ac:dyDescent="0.2">
      <c r="A390" s="323"/>
      <c r="B390" s="41" t="s">
        <v>1000</v>
      </c>
      <c r="C390" s="315"/>
      <c r="D390" s="313"/>
      <c r="E390" s="38"/>
      <c r="F390" s="38"/>
      <c r="G390" s="38"/>
      <c r="H390" s="315"/>
      <c r="I390" s="313"/>
      <c r="J390" s="38"/>
      <c r="K390" s="38"/>
      <c r="L390" s="38"/>
      <c r="M390" s="315"/>
      <c r="N390" s="313"/>
      <c r="O390" s="38"/>
      <c r="P390" s="38"/>
      <c r="Q390" s="38"/>
      <c r="R390" s="315"/>
      <c r="S390" s="313"/>
      <c r="T390" s="38"/>
      <c r="U390" s="38"/>
      <c r="V390" s="38"/>
      <c r="W390" s="315"/>
      <c r="X390" s="313"/>
      <c r="Y390" s="38"/>
      <c r="Z390" s="38"/>
      <c r="AA390" s="38"/>
      <c r="AB390" s="315"/>
    </row>
    <row r="391" spans="1:28" ht="34.5" customHeight="1" x14ac:dyDescent="0.2">
      <c r="A391" s="324"/>
      <c r="B391" s="45" t="s">
        <v>1001</v>
      </c>
      <c r="C391" s="316"/>
      <c r="D391" s="314"/>
      <c r="E391" s="38"/>
      <c r="F391" s="38"/>
      <c r="G391" s="38"/>
      <c r="H391" s="316"/>
      <c r="I391" s="314"/>
      <c r="J391" s="38"/>
      <c r="K391" s="38"/>
      <c r="L391" s="38"/>
      <c r="M391" s="316"/>
      <c r="N391" s="314"/>
      <c r="O391" s="38"/>
      <c r="P391" s="38"/>
      <c r="Q391" s="38"/>
      <c r="R391" s="316"/>
      <c r="S391" s="314"/>
      <c r="T391" s="38"/>
      <c r="U391" s="38"/>
      <c r="V391" s="38"/>
      <c r="W391" s="316"/>
      <c r="X391" s="314"/>
      <c r="Y391" s="38"/>
      <c r="Z391" s="38"/>
      <c r="AA391" s="38"/>
      <c r="AB391" s="316"/>
    </row>
    <row r="392" spans="1:28" ht="19.5" customHeight="1" x14ac:dyDescent="0.2">
      <c r="A392" s="322" t="s">
        <v>1087</v>
      </c>
      <c r="B392" s="37" t="s">
        <v>1008</v>
      </c>
      <c r="C392" s="317">
        <v>0</v>
      </c>
      <c r="D392" s="318">
        <v>0</v>
      </c>
      <c r="E392" s="38"/>
      <c r="F392" s="38"/>
      <c r="G392" s="38"/>
      <c r="H392" s="317">
        <f>SUM(I392+L392)</f>
        <v>6496</v>
      </c>
      <c r="I392" s="318">
        <v>6496</v>
      </c>
      <c r="J392" s="38"/>
      <c r="K392" s="38"/>
      <c r="L392" s="38"/>
      <c r="M392" s="317">
        <v>0</v>
      </c>
      <c r="N392" s="318">
        <v>0</v>
      </c>
      <c r="O392" s="38"/>
      <c r="P392" s="38"/>
      <c r="Q392" s="38"/>
      <c r="R392" s="317">
        <v>0</v>
      </c>
      <c r="S392" s="318">
        <v>0</v>
      </c>
      <c r="T392" s="38"/>
      <c r="U392" s="38"/>
      <c r="V392" s="38"/>
      <c r="W392" s="317">
        <v>0</v>
      </c>
      <c r="X392" s="318">
        <v>0</v>
      </c>
      <c r="Y392" s="38"/>
      <c r="Z392" s="38"/>
      <c r="AA392" s="38"/>
      <c r="AB392" s="317">
        <f>C392+H392+M392+R392+W392</f>
        <v>6496</v>
      </c>
    </row>
    <row r="393" spans="1:28" ht="18.75" customHeight="1" x14ac:dyDescent="0.2">
      <c r="A393" s="323"/>
      <c r="B393" s="40" t="s">
        <v>428</v>
      </c>
      <c r="C393" s="315"/>
      <c r="D393" s="313"/>
      <c r="E393" s="38"/>
      <c r="F393" s="38"/>
      <c r="G393" s="38"/>
      <c r="H393" s="315"/>
      <c r="I393" s="313"/>
      <c r="J393" s="38"/>
      <c r="K393" s="38"/>
      <c r="L393" s="38"/>
      <c r="M393" s="315"/>
      <c r="N393" s="313"/>
      <c r="O393" s="38"/>
      <c r="P393" s="38"/>
      <c r="Q393" s="38"/>
      <c r="R393" s="315"/>
      <c r="S393" s="313"/>
      <c r="T393" s="38"/>
      <c r="U393" s="38"/>
      <c r="V393" s="38"/>
      <c r="W393" s="315"/>
      <c r="X393" s="313"/>
      <c r="Y393" s="38"/>
      <c r="Z393" s="38"/>
      <c r="AA393" s="38"/>
      <c r="AB393" s="315"/>
    </row>
    <row r="394" spans="1:28" ht="18.75" customHeight="1" x14ac:dyDescent="0.2">
      <c r="A394" s="323"/>
      <c r="B394" s="41" t="s">
        <v>1009</v>
      </c>
      <c r="C394" s="315"/>
      <c r="D394" s="313"/>
      <c r="E394" s="38"/>
      <c r="F394" s="38"/>
      <c r="G394" s="38"/>
      <c r="H394" s="315"/>
      <c r="I394" s="313"/>
      <c r="J394" s="38"/>
      <c r="K394" s="38"/>
      <c r="L394" s="38"/>
      <c r="M394" s="315"/>
      <c r="N394" s="313"/>
      <c r="O394" s="38"/>
      <c r="P394" s="38"/>
      <c r="Q394" s="38"/>
      <c r="R394" s="315"/>
      <c r="S394" s="313"/>
      <c r="T394" s="38"/>
      <c r="U394" s="38"/>
      <c r="V394" s="38"/>
      <c r="W394" s="315"/>
      <c r="X394" s="313"/>
      <c r="Y394" s="38"/>
      <c r="Z394" s="38"/>
      <c r="AA394" s="38"/>
      <c r="AB394" s="315"/>
    </row>
    <row r="395" spans="1:28" ht="30.75" customHeight="1" x14ac:dyDescent="0.25">
      <c r="A395" s="323"/>
      <c r="B395" s="67" t="s">
        <v>1010</v>
      </c>
      <c r="C395" s="315"/>
      <c r="D395" s="313"/>
      <c r="E395" s="38"/>
      <c r="F395" s="38"/>
      <c r="G395" s="38"/>
      <c r="H395" s="315"/>
      <c r="I395" s="313"/>
      <c r="J395" s="38"/>
      <c r="K395" s="38"/>
      <c r="L395" s="38"/>
      <c r="M395" s="315"/>
      <c r="N395" s="313"/>
      <c r="O395" s="38"/>
      <c r="P395" s="38"/>
      <c r="Q395" s="38"/>
      <c r="R395" s="315"/>
      <c r="S395" s="313"/>
      <c r="T395" s="38"/>
      <c r="U395" s="38"/>
      <c r="V395" s="38"/>
      <c r="W395" s="315"/>
      <c r="X395" s="313"/>
      <c r="Y395" s="38"/>
      <c r="Z395" s="38"/>
      <c r="AA395" s="38"/>
      <c r="AB395" s="315"/>
    </row>
    <row r="396" spans="1:28" ht="18.75" customHeight="1" x14ac:dyDescent="0.25">
      <c r="A396" s="323"/>
      <c r="B396" s="68" t="s">
        <v>1011</v>
      </c>
      <c r="C396" s="315"/>
      <c r="D396" s="313"/>
      <c r="E396" s="38"/>
      <c r="F396" s="38"/>
      <c r="G396" s="38"/>
      <c r="H396" s="315"/>
      <c r="I396" s="313"/>
      <c r="J396" s="38"/>
      <c r="K396" s="38"/>
      <c r="L396" s="38"/>
      <c r="M396" s="315"/>
      <c r="N396" s="313"/>
      <c r="O396" s="38"/>
      <c r="P396" s="38"/>
      <c r="Q396" s="38"/>
      <c r="R396" s="315"/>
      <c r="S396" s="313"/>
      <c r="T396" s="38"/>
      <c r="U396" s="38"/>
      <c r="V396" s="38"/>
      <c r="W396" s="315"/>
      <c r="X396" s="313"/>
      <c r="Y396" s="38"/>
      <c r="Z396" s="38"/>
      <c r="AA396" s="38"/>
      <c r="AB396" s="315"/>
    </row>
    <row r="397" spans="1:28" ht="18.75" customHeight="1" x14ac:dyDescent="0.2">
      <c r="A397" s="323"/>
      <c r="B397" s="41" t="s">
        <v>1012</v>
      </c>
      <c r="C397" s="315"/>
      <c r="D397" s="313"/>
      <c r="E397" s="38"/>
      <c r="F397" s="38"/>
      <c r="G397" s="38"/>
      <c r="H397" s="315"/>
      <c r="I397" s="313"/>
      <c r="J397" s="38"/>
      <c r="K397" s="38"/>
      <c r="L397" s="38"/>
      <c r="M397" s="315"/>
      <c r="N397" s="313"/>
      <c r="O397" s="38"/>
      <c r="P397" s="38"/>
      <c r="Q397" s="38"/>
      <c r="R397" s="315"/>
      <c r="S397" s="313"/>
      <c r="T397" s="38"/>
      <c r="U397" s="38"/>
      <c r="V397" s="38"/>
      <c r="W397" s="315"/>
      <c r="X397" s="313"/>
      <c r="Y397" s="38"/>
      <c r="Z397" s="38"/>
      <c r="AA397" s="38"/>
      <c r="AB397" s="315"/>
    </row>
    <row r="398" spans="1:28" ht="18.75" customHeight="1" x14ac:dyDescent="0.2">
      <c r="A398" s="323"/>
      <c r="B398" s="41" t="s">
        <v>1013</v>
      </c>
      <c r="C398" s="315"/>
      <c r="D398" s="313"/>
      <c r="E398" s="38"/>
      <c r="F398" s="38"/>
      <c r="G398" s="38"/>
      <c r="H398" s="315"/>
      <c r="I398" s="313"/>
      <c r="J398" s="38"/>
      <c r="K398" s="38"/>
      <c r="L398" s="38"/>
      <c r="M398" s="315"/>
      <c r="N398" s="313"/>
      <c r="O398" s="38"/>
      <c r="P398" s="38"/>
      <c r="Q398" s="38"/>
      <c r="R398" s="315"/>
      <c r="S398" s="313"/>
      <c r="T398" s="38"/>
      <c r="U398" s="38"/>
      <c r="V398" s="38"/>
      <c r="W398" s="315"/>
      <c r="X398" s="313"/>
      <c r="Y398" s="38"/>
      <c r="Z398" s="38"/>
      <c r="AA398" s="38"/>
      <c r="AB398" s="315"/>
    </row>
    <row r="399" spans="1:28" ht="18.75" customHeight="1" x14ac:dyDescent="0.2">
      <c r="A399" s="323"/>
      <c r="B399" s="41" t="s">
        <v>1014</v>
      </c>
      <c r="C399" s="315"/>
      <c r="D399" s="313"/>
      <c r="E399" s="38"/>
      <c r="F399" s="38"/>
      <c r="G399" s="38"/>
      <c r="H399" s="315"/>
      <c r="I399" s="313"/>
      <c r="J399" s="38"/>
      <c r="K399" s="38"/>
      <c r="L399" s="38"/>
      <c r="M399" s="315"/>
      <c r="N399" s="313"/>
      <c r="O399" s="38"/>
      <c r="P399" s="38"/>
      <c r="Q399" s="38"/>
      <c r="R399" s="315"/>
      <c r="S399" s="313"/>
      <c r="T399" s="38"/>
      <c r="U399" s="38"/>
      <c r="V399" s="38"/>
      <c r="W399" s="315"/>
      <c r="X399" s="313"/>
      <c r="Y399" s="38"/>
      <c r="Z399" s="38"/>
      <c r="AA399" s="38"/>
      <c r="AB399" s="315"/>
    </row>
    <row r="400" spans="1:28" ht="18.75" customHeight="1" x14ac:dyDescent="0.2">
      <c r="A400" s="323"/>
      <c r="B400" s="41" t="s">
        <v>1015</v>
      </c>
      <c r="C400" s="315"/>
      <c r="D400" s="313"/>
      <c r="E400" s="38"/>
      <c r="F400" s="38"/>
      <c r="G400" s="38"/>
      <c r="H400" s="315"/>
      <c r="I400" s="313"/>
      <c r="J400" s="38"/>
      <c r="K400" s="38"/>
      <c r="L400" s="38"/>
      <c r="M400" s="315"/>
      <c r="N400" s="313"/>
      <c r="O400" s="38"/>
      <c r="P400" s="38"/>
      <c r="Q400" s="38"/>
      <c r="R400" s="315"/>
      <c r="S400" s="313"/>
      <c r="T400" s="38"/>
      <c r="U400" s="38"/>
      <c r="V400" s="38"/>
      <c r="W400" s="315"/>
      <c r="X400" s="313"/>
      <c r="Y400" s="38"/>
      <c r="Z400" s="38"/>
      <c r="AA400" s="38"/>
      <c r="AB400" s="315"/>
    </row>
    <row r="401" spans="1:30" ht="18.75" customHeight="1" x14ac:dyDescent="0.2">
      <c r="A401" s="323"/>
      <c r="B401" s="41" t="s">
        <v>1016</v>
      </c>
      <c r="C401" s="315"/>
      <c r="D401" s="313"/>
      <c r="E401" s="38"/>
      <c r="F401" s="38"/>
      <c r="G401" s="38"/>
      <c r="H401" s="315"/>
      <c r="I401" s="313"/>
      <c r="J401" s="38"/>
      <c r="K401" s="38"/>
      <c r="L401" s="38"/>
      <c r="M401" s="315"/>
      <c r="N401" s="313"/>
      <c r="O401" s="38"/>
      <c r="P401" s="38"/>
      <c r="Q401" s="38"/>
      <c r="R401" s="315"/>
      <c r="S401" s="313"/>
      <c r="T401" s="38"/>
      <c r="U401" s="38"/>
      <c r="V401" s="38"/>
      <c r="W401" s="315"/>
      <c r="X401" s="313"/>
      <c r="Y401" s="38"/>
      <c r="Z401" s="38"/>
      <c r="AA401" s="38"/>
      <c r="AB401" s="315"/>
    </row>
    <row r="402" spans="1:30" ht="18.75" customHeight="1" x14ac:dyDescent="0.2">
      <c r="A402" s="323"/>
      <c r="B402" s="41" t="s">
        <v>1017</v>
      </c>
      <c r="C402" s="315"/>
      <c r="D402" s="313"/>
      <c r="E402" s="38"/>
      <c r="F402" s="38"/>
      <c r="G402" s="38"/>
      <c r="H402" s="315"/>
      <c r="I402" s="313"/>
      <c r="J402" s="38"/>
      <c r="K402" s="38"/>
      <c r="L402" s="38"/>
      <c r="M402" s="315"/>
      <c r="N402" s="313"/>
      <c r="O402" s="38"/>
      <c r="P402" s="38"/>
      <c r="Q402" s="38"/>
      <c r="R402" s="315"/>
      <c r="S402" s="313"/>
      <c r="T402" s="38"/>
      <c r="U402" s="38"/>
      <c r="V402" s="38"/>
      <c r="W402" s="315"/>
      <c r="X402" s="313"/>
      <c r="Y402" s="38"/>
      <c r="Z402" s="38"/>
      <c r="AA402" s="38"/>
      <c r="AB402" s="315"/>
    </row>
    <row r="403" spans="1:30" ht="33.75" customHeight="1" x14ac:dyDescent="0.2">
      <c r="A403" s="323"/>
      <c r="B403" s="41" t="s">
        <v>1018</v>
      </c>
      <c r="C403" s="315"/>
      <c r="D403" s="313"/>
      <c r="E403" s="38"/>
      <c r="F403" s="38"/>
      <c r="G403" s="38"/>
      <c r="H403" s="315"/>
      <c r="I403" s="313"/>
      <c r="J403" s="38"/>
      <c r="K403" s="38"/>
      <c r="L403" s="38"/>
      <c r="M403" s="315"/>
      <c r="N403" s="313"/>
      <c r="O403" s="38"/>
      <c r="P403" s="38"/>
      <c r="Q403" s="38"/>
      <c r="R403" s="315"/>
      <c r="S403" s="313"/>
      <c r="T403" s="38"/>
      <c r="U403" s="38"/>
      <c r="V403" s="38"/>
      <c r="W403" s="315"/>
      <c r="X403" s="313"/>
      <c r="Y403" s="38"/>
      <c r="Z403" s="38"/>
      <c r="AA403" s="38"/>
      <c r="AB403" s="315"/>
    </row>
    <row r="404" spans="1:30" ht="18.75" customHeight="1" x14ac:dyDescent="0.2">
      <c r="A404" s="324"/>
      <c r="B404" s="45" t="s">
        <v>1019</v>
      </c>
      <c r="C404" s="316"/>
      <c r="D404" s="314"/>
      <c r="E404" s="38"/>
      <c r="F404" s="38"/>
      <c r="G404" s="38"/>
      <c r="H404" s="316"/>
      <c r="I404" s="314"/>
      <c r="J404" s="38"/>
      <c r="K404" s="38"/>
      <c r="L404" s="38"/>
      <c r="M404" s="316"/>
      <c r="N404" s="314"/>
      <c r="O404" s="38"/>
      <c r="P404" s="38"/>
      <c r="Q404" s="38"/>
      <c r="R404" s="316"/>
      <c r="S404" s="314"/>
      <c r="T404" s="38"/>
      <c r="U404" s="38"/>
      <c r="V404" s="38"/>
      <c r="W404" s="316"/>
      <c r="X404" s="314"/>
      <c r="Y404" s="38"/>
      <c r="Z404" s="38"/>
      <c r="AA404" s="38"/>
      <c r="AB404" s="316"/>
    </row>
    <row r="405" spans="1:30" ht="18.75" customHeight="1" x14ac:dyDescent="0.2">
      <c r="A405" s="58" t="s">
        <v>26</v>
      </c>
      <c r="B405" s="355" t="s">
        <v>1103</v>
      </c>
      <c r="C405" s="356"/>
      <c r="D405" s="356"/>
      <c r="E405" s="356"/>
      <c r="F405" s="356"/>
      <c r="G405" s="356"/>
      <c r="H405" s="356"/>
      <c r="I405" s="356"/>
      <c r="J405" s="356"/>
      <c r="K405" s="356"/>
      <c r="L405" s="356"/>
      <c r="M405" s="356"/>
      <c r="N405" s="356"/>
      <c r="O405" s="356"/>
      <c r="P405" s="356"/>
      <c r="Q405" s="356"/>
      <c r="R405" s="356"/>
      <c r="S405" s="356"/>
      <c r="T405" s="356"/>
      <c r="U405" s="356"/>
      <c r="V405" s="356"/>
      <c r="W405" s="356"/>
      <c r="X405" s="356"/>
      <c r="Y405" s="356"/>
      <c r="Z405" s="356"/>
      <c r="AA405" s="356"/>
      <c r="AB405" s="356"/>
      <c r="AC405" s="75"/>
      <c r="AD405" s="75"/>
    </row>
    <row r="406" spans="1:30" ht="18" customHeight="1" x14ac:dyDescent="0.2">
      <c r="A406" s="8" t="s">
        <v>412</v>
      </c>
      <c r="B406" s="55" t="s">
        <v>96</v>
      </c>
      <c r="C406" s="56">
        <f>D406+E406+F406+G406</f>
        <v>27036</v>
      </c>
      <c r="D406" s="38">
        <v>27036</v>
      </c>
      <c r="E406" s="38">
        <v>0</v>
      </c>
      <c r="F406" s="38">
        <v>0</v>
      </c>
      <c r="G406" s="38">
        <v>0</v>
      </c>
      <c r="H406" s="56">
        <f>I406+J406+K406+L406</f>
        <v>35037</v>
      </c>
      <c r="I406" s="38">
        <f>34053+19+526+786-411-184+388-1-139</f>
        <v>35037</v>
      </c>
      <c r="J406" s="38">
        <v>0</v>
      </c>
      <c r="K406" s="38">
        <v>0</v>
      </c>
      <c r="L406" s="38">
        <v>0</v>
      </c>
      <c r="M406" s="56">
        <f>N406+O406+P406+Q406</f>
        <v>45892</v>
      </c>
      <c r="N406" s="38">
        <f>32839+12411+642</f>
        <v>45892</v>
      </c>
      <c r="O406" s="38">
        <v>0</v>
      </c>
      <c r="P406" s="38">
        <v>0</v>
      </c>
      <c r="Q406" s="38">
        <v>0</v>
      </c>
      <c r="R406" s="56">
        <f>S406+T406+U406+V406</f>
        <v>45368</v>
      </c>
      <c r="S406" s="38">
        <f>32839+12529</f>
        <v>45368</v>
      </c>
      <c r="T406" s="38">
        <v>0</v>
      </c>
      <c r="U406" s="38">
        <v>0</v>
      </c>
      <c r="V406" s="38">
        <v>0</v>
      </c>
      <c r="W406" s="56">
        <f>X406+Y406+Z406+AA406</f>
        <v>45368</v>
      </c>
      <c r="X406" s="38">
        <f>26539+300+18529</f>
        <v>45368</v>
      </c>
      <c r="Y406" s="38">
        <v>0</v>
      </c>
      <c r="Z406" s="38">
        <v>0</v>
      </c>
      <c r="AA406" s="38">
        <v>0</v>
      </c>
      <c r="AB406" s="56">
        <f>C406+H406+M406+R406+W406</f>
        <v>198701</v>
      </c>
    </row>
    <row r="407" spans="1:30" s="71" customFormat="1" ht="42" customHeight="1" x14ac:dyDescent="0.2">
      <c r="A407" s="350" t="s">
        <v>362</v>
      </c>
      <c r="B407" s="350"/>
      <c r="C407" s="69">
        <f t="shared" ref="C407:AA407" si="10">SUM(C10:C406)</f>
        <v>173012</v>
      </c>
      <c r="D407" s="69">
        <f t="shared" si="10"/>
        <v>173012</v>
      </c>
      <c r="E407" s="69">
        <f t="shared" si="10"/>
        <v>0</v>
      </c>
      <c r="F407" s="69">
        <f t="shared" si="10"/>
        <v>0</v>
      </c>
      <c r="G407" s="69">
        <f t="shared" si="10"/>
        <v>0</v>
      </c>
      <c r="H407" s="69">
        <f t="shared" si="10"/>
        <v>103854</v>
      </c>
      <c r="I407" s="69">
        <f t="shared" si="10"/>
        <v>103854</v>
      </c>
      <c r="J407" s="69">
        <f t="shared" si="10"/>
        <v>0</v>
      </c>
      <c r="K407" s="69">
        <f t="shared" si="10"/>
        <v>0</v>
      </c>
      <c r="L407" s="69">
        <f t="shared" si="10"/>
        <v>0</v>
      </c>
      <c r="M407" s="69">
        <f>SUM(M10:M406)</f>
        <v>96633</v>
      </c>
      <c r="N407" s="69">
        <v>96633</v>
      </c>
      <c r="O407" s="69">
        <f t="shared" si="10"/>
        <v>0</v>
      </c>
      <c r="P407" s="69">
        <f t="shared" si="10"/>
        <v>0</v>
      </c>
      <c r="Q407" s="69">
        <f t="shared" si="10"/>
        <v>0</v>
      </c>
      <c r="R407" s="69">
        <f t="shared" si="10"/>
        <v>95963</v>
      </c>
      <c r="S407" s="69">
        <v>95963</v>
      </c>
      <c r="T407" s="69">
        <f t="shared" si="10"/>
        <v>0</v>
      </c>
      <c r="U407" s="69">
        <f t="shared" si="10"/>
        <v>0</v>
      </c>
      <c r="V407" s="69">
        <f t="shared" si="10"/>
        <v>0</v>
      </c>
      <c r="W407" s="69">
        <f t="shared" si="10"/>
        <v>100991</v>
      </c>
      <c r="X407" s="69">
        <v>100991</v>
      </c>
      <c r="Y407" s="69">
        <f t="shared" si="10"/>
        <v>0</v>
      </c>
      <c r="Z407" s="69">
        <f t="shared" si="10"/>
        <v>0</v>
      </c>
      <c r="AA407" s="69">
        <f t="shared" si="10"/>
        <v>0</v>
      </c>
      <c r="AB407" s="69">
        <f>SUM(AB10:AB406)</f>
        <v>570453</v>
      </c>
      <c r="AC407" s="70"/>
    </row>
    <row r="408" spans="1:30" ht="16.149999999999999" customHeight="1" x14ac:dyDescent="0.2">
      <c r="A408" s="26"/>
      <c r="B408" s="72"/>
    </row>
    <row r="409" spans="1:30" ht="42" customHeight="1" x14ac:dyDescent="0.2">
      <c r="A409" s="26"/>
      <c r="B409" s="72"/>
      <c r="D409" s="19"/>
      <c r="E409" s="19"/>
      <c r="F409" s="19"/>
      <c r="G409" s="19"/>
      <c r="H409" s="73"/>
      <c r="I409" s="19"/>
    </row>
    <row r="410" spans="1:30" ht="42" customHeight="1" x14ac:dyDescent="0.2">
      <c r="A410" s="26"/>
      <c r="B410" s="72"/>
    </row>
    <row r="411" spans="1:30" ht="42" customHeight="1" x14ac:dyDescent="0.2">
      <c r="A411" s="26"/>
      <c r="B411" s="72"/>
    </row>
    <row r="412" spans="1:30" ht="42" customHeight="1" x14ac:dyDescent="0.2">
      <c r="A412" s="26"/>
      <c r="B412" s="72"/>
    </row>
    <row r="413" spans="1:30" ht="42" customHeight="1" x14ac:dyDescent="0.2">
      <c r="A413" s="26"/>
      <c r="B413" s="72"/>
    </row>
    <row r="414" spans="1:30" ht="42" customHeight="1" x14ac:dyDescent="0.2">
      <c r="A414" s="26"/>
      <c r="B414" s="72"/>
    </row>
    <row r="415" spans="1:30" ht="42" customHeight="1" x14ac:dyDescent="0.2">
      <c r="A415" s="26"/>
      <c r="B415" s="72"/>
    </row>
    <row r="416" spans="1:30" ht="42" customHeight="1" x14ac:dyDescent="0.2">
      <c r="A416" s="26"/>
      <c r="B416" s="72"/>
    </row>
    <row r="417" spans="1:2" ht="42" customHeight="1" x14ac:dyDescent="0.2">
      <c r="A417" s="26"/>
      <c r="B417" s="72"/>
    </row>
    <row r="418" spans="1:2" ht="42" customHeight="1" x14ac:dyDescent="0.2">
      <c r="A418" s="26"/>
      <c r="B418" s="72"/>
    </row>
    <row r="419" spans="1:2" ht="42" customHeight="1" x14ac:dyDescent="0.2">
      <c r="A419" s="26"/>
      <c r="B419" s="72"/>
    </row>
    <row r="420" spans="1:2" ht="42" customHeight="1" x14ac:dyDescent="0.2">
      <c r="A420" s="26"/>
      <c r="B420" s="72"/>
    </row>
    <row r="421" spans="1:2" ht="42" customHeight="1" x14ac:dyDescent="0.2">
      <c r="A421" s="26"/>
      <c r="B421" s="72"/>
    </row>
    <row r="422" spans="1:2" ht="42" customHeight="1" x14ac:dyDescent="0.2">
      <c r="A422" s="26"/>
      <c r="B422" s="72"/>
    </row>
    <row r="423" spans="1:2" ht="42" customHeight="1" x14ac:dyDescent="0.2">
      <c r="A423" s="26"/>
      <c r="B423" s="72"/>
    </row>
    <row r="424" spans="1:2" ht="42" customHeight="1" x14ac:dyDescent="0.2">
      <c r="A424" s="26"/>
      <c r="B424" s="72"/>
    </row>
    <row r="425" spans="1:2" ht="42" customHeight="1" x14ac:dyDescent="0.2">
      <c r="A425" s="26"/>
      <c r="B425" s="72"/>
    </row>
    <row r="426" spans="1:2" ht="42" customHeight="1" x14ac:dyDescent="0.2">
      <c r="A426" s="26"/>
      <c r="B426" s="72"/>
    </row>
    <row r="427" spans="1:2" ht="42" customHeight="1" x14ac:dyDescent="0.2">
      <c r="A427" s="26"/>
      <c r="B427" s="72"/>
    </row>
    <row r="428" spans="1:2" ht="42" customHeight="1" x14ac:dyDescent="0.2">
      <c r="A428" s="26"/>
      <c r="B428" s="72"/>
    </row>
    <row r="429" spans="1:2" ht="42" customHeight="1" x14ac:dyDescent="0.2">
      <c r="A429" s="26"/>
      <c r="B429" s="72"/>
    </row>
    <row r="430" spans="1:2" ht="42" customHeight="1" x14ac:dyDescent="0.2">
      <c r="A430" s="26"/>
      <c r="B430" s="72"/>
    </row>
    <row r="431" spans="1:2" ht="42" customHeight="1" x14ac:dyDescent="0.2">
      <c r="A431" s="26"/>
      <c r="B431" s="72"/>
    </row>
    <row r="432" spans="1:2" ht="42" customHeight="1" x14ac:dyDescent="0.2">
      <c r="A432" s="26"/>
      <c r="B432" s="72"/>
    </row>
    <row r="433" spans="1:2" ht="42" customHeight="1" x14ac:dyDescent="0.2">
      <c r="A433" s="26"/>
      <c r="B433" s="72"/>
    </row>
    <row r="434" spans="1:2" ht="42" customHeight="1" x14ac:dyDescent="0.2">
      <c r="A434" s="26"/>
      <c r="B434" s="72"/>
    </row>
    <row r="435" spans="1:2" ht="42" customHeight="1" x14ac:dyDescent="0.2">
      <c r="A435" s="26"/>
      <c r="B435" s="72"/>
    </row>
    <row r="436" spans="1:2" ht="42" customHeight="1" x14ac:dyDescent="0.2">
      <c r="A436" s="26"/>
      <c r="B436" s="72"/>
    </row>
    <row r="437" spans="1:2" ht="42" customHeight="1" x14ac:dyDescent="0.2">
      <c r="A437" s="26"/>
      <c r="B437" s="72"/>
    </row>
    <row r="438" spans="1:2" ht="42" customHeight="1" x14ac:dyDescent="0.2">
      <c r="A438" s="26"/>
      <c r="B438" s="72"/>
    </row>
    <row r="439" spans="1:2" ht="42" customHeight="1" x14ac:dyDescent="0.2">
      <c r="A439" s="26"/>
      <c r="B439" s="72"/>
    </row>
    <row r="440" spans="1:2" ht="42" customHeight="1" x14ac:dyDescent="0.2">
      <c r="A440" s="26"/>
      <c r="B440" s="72"/>
    </row>
    <row r="441" spans="1:2" ht="42" customHeight="1" x14ac:dyDescent="0.2">
      <c r="A441" s="26"/>
      <c r="B441" s="72"/>
    </row>
    <row r="442" spans="1:2" ht="42" customHeight="1" x14ac:dyDescent="0.2">
      <c r="A442" s="26"/>
      <c r="B442" s="72"/>
    </row>
    <row r="443" spans="1:2" ht="42" customHeight="1" x14ac:dyDescent="0.2">
      <c r="A443" s="26"/>
      <c r="B443" s="72"/>
    </row>
    <row r="444" spans="1:2" ht="42" customHeight="1" x14ac:dyDescent="0.2">
      <c r="A444" s="26"/>
      <c r="B444" s="72"/>
    </row>
    <row r="445" spans="1:2" ht="42" customHeight="1" x14ac:dyDescent="0.2">
      <c r="A445" s="26"/>
      <c r="B445" s="72"/>
    </row>
    <row r="446" spans="1:2" ht="42" customHeight="1" x14ac:dyDescent="0.2">
      <c r="A446" s="26"/>
      <c r="B446" s="72"/>
    </row>
    <row r="447" spans="1:2" ht="42" customHeight="1" x14ac:dyDescent="0.2">
      <c r="A447" s="26"/>
      <c r="B447" s="72"/>
    </row>
    <row r="448" spans="1:2" ht="42" customHeight="1" x14ac:dyDescent="0.2">
      <c r="A448" s="26"/>
      <c r="B448" s="72"/>
    </row>
    <row r="449" spans="1:2" ht="42" customHeight="1" x14ac:dyDescent="0.2">
      <c r="A449" s="26"/>
      <c r="B449" s="72"/>
    </row>
    <row r="450" spans="1:2" ht="42" customHeight="1" x14ac:dyDescent="0.2">
      <c r="A450" s="26"/>
      <c r="B450" s="72"/>
    </row>
    <row r="451" spans="1:2" ht="42" customHeight="1" x14ac:dyDescent="0.2">
      <c r="A451" s="26"/>
      <c r="B451" s="72"/>
    </row>
    <row r="452" spans="1:2" ht="42" customHeight="1" x14ac:dyDescent="0.2">
      <c r="A452" s="26"/>
      <c r="B452" s="72"/>
    </row>
    <row r="453" spans="1:2" ht="42" customHeight="1" x14ac:dyDescent="0.2">
      <c r="A453" s="26"/>
      <c r="B453" s="72"/>
    </row>
    <row r="454" spans="1:2" ht="42" customHeight="1" x14ac:dyDescent="0.2">
      <c r="A454" s="26"/>
      <c r="B454" s="72"/>
    </row>
    <row r="455" spans="1:2" ht="42" customHeight="1" x14ac:dyDescent="0.2">
      <c r="A455" s="26"/>
      <c r="B455" s="72"/>
    </row>
    <row r="456" spans="1:2" ht="42" customHeight="1" x14ac:dyDescent="0.2">
      <c r="A456" s="26"/>
      <c r="B456" s="72"/>
    </row>
    <row r="457" spans="1:2" ht="42" customHeight="1" x14ac:dyDescent="0.2">
      <c r="A457" s="26"/>
      <c r="B457" s="72"/>
    </row>
    <row r="458" spans="1:2" ht="42" customHeight="1" x14ac:dyDescent="0.2">
      <c r="A458" s="26"/>
      <c r="B458" s="72"/>
    </row>
    <row r="459" spans="1:2" ht="42" customHeight="1" x14ac:dyDescent="0.2">
      <c r="A459" s="26"/>
      <c r="B459" s="72"/>
    </row>
    <row r="460" spans="1:2" ht="42" customHeight="1" x14ac:dyDescent="0.2">
      <c r="A460" s="26"/>
      <c r="B460" s="72"/>
    </row>
    <row r="461" spans="1:2" ht="42" customHeight="1" x14ac:dyDescent="0.2">
      <c r="A461" s="26"/>
      <c r="B461" s="72"/>
    </row>
    <row r="462" spans="1:2" ht="42" customHeight="1" x14ac:dyDescent="0.2">
      <c r="A462" s="26"/>
      <c r="B462" s="72"/>
    </row>
    <row r="463" spans="1:2" ht="42" customHeight="1" x14ac:dyDescent="0.2">
      <c r="A463" s="26"/>
      <c r="B463" s="72"/>
    </row>
    <row r="464" spans="1:2" ht="42" customHeight="1" x14ac:dyDescent="0.2">
      <c r="A464" s="26"/>
      <c r="B464" s="72"/>
    </row>
    <row r="465" spans="1:2" ht="42" customHeight="1" x14ac:dyDescent="0.2">
      <c r="A465" s="26"/>
      <c r="B465" s="72"/>
    </row>
    <row r="466" spans="1:2" ht="42" customHeight="1" x14ac:dyDescent="0.2">
      <c r="A466" s="26"/>
      <c r="B466" s="72"/>
    </row>
    <row r="467" spans="1:2" ht="42" customHeight="1" x14ac:dyDescent="0.2">
      <c r="A467" s="26"/>
      <c r="B467" s="72"/>
    </row>
    <row r="468" spans="1:2" ht="42" customHeight="1" x14ac:dyDescent="0.2">
      <c r="A468" s="26"/>
      <c r="B468" s="72"/>
    </row>
    <row r="469" spans="1:2" ht="42" customHeight="1" x14ac:dyDescent="0.2">
      <c r="A469" s="26"/>
      <c r="B469" s="72"/>
    </row>
    <row r="470" spans="1:2" ht="42" customHeight="1" x14ac:dyDescent="0.2">
      <c r="A470" s="26"/>
      <c r="B470" s="72"/>
    </row>
    <row r="471" spans="1:2" ht="42" customHeight="1" x14ac:dyDescent="0.2">
      <c r="A471" s="26"/>
      <c r="B471" s="72"/>
    </row>
    <row r="472" spans="1:2" ht="42" customHeight="1" x14ac:dyDescent="0.2">
      <c r="A472" s="26"/>
      <c r="B472" s="72"/>
    </row>
    <row r="473" spans="1:2" ht="42" customHeight="1" x14ac:dyDescent="0.2">
      <c r="A473" s="26"/>
      <c r="B473" s="72"/>
    </row>
    <row r="474" spans="1:2" ht="42" customHeight="1" x14ac:dyDescent="0.2">
      <c r="A474" s="26"/>
      <c r="B474" s="72"/>
    </row>
    <row r="475" spans="1:2" ht="42" customHeight="1" x14ac:dyDescent="0.2">
      <c r="A475" s="26"/>
      <c r="B475" s="72"/>
    </row>
    <row r="476" spans="1:2" ht="42" customHeight="1" x14ac:dyDescent="0.2">
      <c r="A476" s="26"/>
      <c r="B476" s="72"/>
    </row>
    <row r="477" spans="1:2" ht="42" customHeight="1" x14ac:dyDescent="0.2">
      <c r="A477" s="26"/>
      <c r="B477" s="72"/>
    </row>
    <row r="478" spans="1:2" ht="42" customHeight="1" x14ac:dyDescent="0.2">
      <c r="A478" s="26"/>
      <c r="B478" s="72"/>
    </row>
    <row r="479" spans="1:2" ht="42" customHeight="1" x14ac:dyDescent="0.2">
      <c r="A479" s="26"/>
      <c r="B479" s="72"/>
    </row>
    <row r="480" spans="1:2" ht="42" customHeight="1" x14ac:dyDescent="0.2">
      <c r="A480" s="26"/>
      <c r="B480" s="72"/>
    </row>
    <row r="481" spans="1:2" ht="42" customHeight="1" x14ac:dyDescent="0.2">
      <c r="A481" s="26"/>
      <c r="B481" s="72"/>
    </row>
    <row r="482" spans="1:2" ht="42" customHeight="1" x14ac:dyDescent="0.2">
      <c r="A482" s="26"/>
      <c r="B482" s="72"/>
    </row>
    <row r="483" spans="1:2" ht="42" customHeight="1" x14ac:dyDescent="0.2">
      <c r="A483" s="26"/>
      <c r="B483" s="72"/>
    </row>
  </sheetData>
  <mergeCells count="303">
    <mergeCell ref="B405:AB405"/>
    <mergeCell ref="AB370:AB379"/>
    <mergeCell ref="H370:H379"/>
    <mergeCell ref="N370:N379"/>
    <mergeCell ref="X370:X379"/>
    <mergeCell ref="M370:M379"/>
    <mergeCell ref="I370:I379"/>
    <mergeCell ref="A305:A339"/>
    <mergeCell ref="W381:W391"/>
    <mergeCell ref="X381:X391"/>
    <mergeCell ref="AB381:AB391"/>
    <mergeCell ref="A381:A391"/>
    <mergeCell ref="C381:C391"/>
    <mergeCell ref="D381:D391"/>
    <mergeCell ref="H381:H391"/>
    <mergeCell ref="I381:I391"/>
    <mergeCell ref="M381:M391"/>
    <mergeCell ref="N381:N391"/>
    <mergeCell ref="R381:R391"/>
    <mergeCell ref="S381:S391"/>
    <mergeCell ref="W112:W124"/>
    <mergeCell ref="X112:X124"/>
    <mergeCell ref="AB112:AB124"/>
    <mergeCell ref="A131:A143"/>
    <mergeCell ref="W131:W143"/>
    <mergeCell ref="E131:E133"/>
    <mergeCell ref="A112:A130"/>
    <mergeCell ref="C125:C130"/>
    <mergeCell ref="D125:D130"/>
    <mergeCell ref="H125:H130"/>
    <mergeCell ref="I125:I130"/>
    <mergeCell ref="M125:M130"/>
    <mergeCell ref="N125:N130"/>
    <mergeCell ref="R125:R130"/>
    <mergeCell ref="S125:S130"/>
    <mergeCell ref="W125:W130"/>
    <mergeCell ref="X125:X130"/>
    <mergeCell ref="S151:S168"/>
    <mergeCell ref="C112:C124"/>
    <mergeCell ref="D112:D124"/>
    <mergeCell ref="H112:H124"/>
    <mergeCell ref="I112:I124"/>
    <mergeCell ref="M112:M124"/>
    <mergeCell ref="N112:N124"/>
    <mergeCell ref="R112:R124"/>
    <mergeCell ref="S112:S124"/>
    <mergeCell ref="A407:B407"/>
    <mergeCell ref="Q131:Q133"/>
    <mergeCell ref="F131:F133"/>
    <mergeCell ref="G131:G133"/>
    <mergeCell ref="J131:J133"/>
    <mergeCell ref="K131:K133"/>
    <mergeCell ref="R370:R379"/>
    <mergeCell ref="S370:S379"/>
    <mergeCell ref="W370:W379"/>
    <mergeCell ref="C340:C348"/>
    <mergeCell ref="A349:A360"/>
    <mergeCell ref="A370:A379"/>
    <mergeCell ref="C370:C379"/>
    <mergeCell ref="D370:D379"/>
    <mergeCell ref="W340:W348"/>
    <mergeCell ref="A340:A348"/>
    <mergeCell ref="N215:N263"/>
    <mergeCell ref="D340:D348"/>
    <mergeCell ref="H340:H348"/>
    <mergeCell ref="I340:I348"/>
    <mergeCell ref="M340:M348"/>
    <mergeCell ref="N340:N348"/>
    <mergeCell ref="W151:W168"/>
    <mergeCell ref="W169:W214"/>
    <mergeCell ref="A94:A111"/>
    <mergeCell ref="C94:C111"/>
    <mergeCell ref="D94:D111"/>
    <mergeCell ref="H94:H111"/>
    <mergeCell ref="I94:I111"/>
    <mergeCell ref="M94:M111"/>
    <mergeCell ref="N94:N111"/>
    <mergeCell ref="H5:L5"/>
    <mergeCell ref="X26:X28"/>
    <mergeCell ref="S94:S111"/>
    <mergeCell ref="R94:R111"/>
    <mergeCell ref="X94:X111"/>
    <mergeCell ref="W94:W111"/>
    <mergeCell ref="A10:A25"/>
    <mergeCell ref="I10:I25"/>
    <mergeCell ref="M10:M25"/>
    <mergeCell ref="N10:N25"/>
    <mergeCell ref="R10:R25"/>
    <mergeCell ref="A29:A37"/>
    <mergeCell ref="A38:A93"/>
    <mergeCell ref="I29:I37"/>
    <mergeCell ref="C5:G5"/>
    <mergeCell ref="W26:W28"/>
    <mergeCell ref="A8:AB8"/>
    <mergeCell ref="B9:AB9"/>
    <mergeCell ref="A4:A6"/>
    <mergeCell ref="B4:B6"/>
    <mergeCell ref="C4:AA4"/>
    <mergeCell ref="A26:A28"/>
    <mergeCell ref="C26:C28"/>
    <mergeCell ref="D26:D28"/>
    <mergeCell ref="C10:C25"/>
    <mergeCell ref="D10:D25"/>
    <mergeCell ref="H10:H25"/>
    <mergeCell ref="S10:S25"/>
    <mergeCell ref="W10:W25"/>
    <mergeCell ref="W1:AB1"/>
    <mergeCell ref="T131:T133"/>
    <mergeCell ref="U131:U133"/>
    <mergeCell ref="V131:V133"/>
    <mergeCell ref="Y131:Y133"/>
    <mergeCell ref="Z131:Z133"/>
    <mergeCell ref="AA131:AA133"/>
    <mergeCell ref="B3:AB3"/>
    <mergeCell ref="X10:X25"/>
    <mergeCell ref="AB10:AB25"/>
    <mergeCell ref="AB4:AB6"/>
    <mergeCell ref="C29:C37"/>
    <mergeCell ref="D29:D37"/>
    <mergeCell ref="H29:H37"/>
    <mergeCell ref="M29:M37"/>
    <mergeCell ref="N29:N37"/>
    <mergeCell ref="X131:X143"/>
    <mergeCell ref="C131:C143"/>
    <mergeCell ref="D131:D143"/>
    <mergeCell ref="H131:H143"/>
    <mergeCell ref="I131:I143"/>
    <mergeCell ref="M131:M143"/>
    <mergeCell ref="N131:N143"/>
    <mergeCell ref="R131:R143"/>
    <mergeCell ref="A392:A404"/>
    <mergeCell ref="N169:N214"/>
    <mergeCell ref="R169:R214"/>
    <mergeCell ref="S169:S214"/>
    <mergeCell ref="S131:S143"/>
    <mergeCell ref="O131:O133"/>
    <mergeCell ref="P131:P133"/>
    <mergeCell ref="L131:L133"/>
    <mergeCell ref="W2:AB2"/>
    <mergeCell ref="R29:R37"/>
    <mergeCell ref="S29:S37"/>
    <mergeCell ref="W29:W37"/>
    <mergeCell ref="X29:X37"/>
    <mergeCell ref="AB29:AB37"/>
    <mergeCell ref="AB26:AB28"/>
    <mergeCell ref="H26:H28"/>
    <mergeCell ref="I26:I28"/>
    <mergeCell ref="M26:M28"/>
    <mergeCell ref="N26:N28"/>
    <mergeCell ref="R26:R28"/>
    <mergeCell ref="S26:S28"/>
    <mergeCell ref="M5:Q5"/>
    <mergeCell ref="R5:V5"/>
    <mergeCell ref="W5:AA5"/>
    <mergeCell ref="A151:A168"/>
    <mergeCell ref="C151:C168"/>
    <mergeCell ref="D151:D168"/>
    <mergeCell ref="H151:H168"/>
    <mergeCell ref="I151:I168"/>
    <mergeCell ref="M151:M168"/>
    <mergeCell ref="A215:A263"/>
    <mergeCell ref="C215:C263"/>
    <mergeCell ref="D215:D263"/>
    <mergeCell ref="H215:H263"/>
    <mergeCell ref="I215:I263"/>
    <mergeCell ref="M215:M263"/>
    <mergeCell ref="A169:A214"/>
    <mergeCell ref="C169:C214"/>
    <mergeCell ref="D169:D214"/>
    <mergeCell ref="H169:H214"/>
    <mergeCell ref="I169:I214"/>
    <mergeCell ref="M169:M214"/>
    <mergeCell ref="C361:C366"/>
    <mergeCell ref="D361:D366"/>
    <mergeCell ref="H361:H366"/>
    <mergeCell ref="I361:I366"/>
    <mergeCell ref="M361:M366"/>
    <mergeCell ref="N361:N366"/>
    <mergeCell ref="R361:R366"/>
    <mergeCell ref="S361:S366"/>
    <mergeCell ref="A361:A366"/>
    <mergeCell ref="W361:W366"/>
    <mergeCell ref="X361:X366"/>
    <mergeCell ref="AB361:AB366"/>
    <mergeCell ref="AB340:AB348"/>
    <mergeCell ref="X340:X348"/>
    <mergeCell ref="W215:W263"/>
    <mergeCell ref="R340:R348"/>
    <mergeCell ref="S340:S348"/>
    <mergeCell ref="R215:R263"/>
    <mergeCell ref="S215:S263"/>
    <mergeCell ref="W264:W304"/>
    <mergeCell ref="X264:X304"/>
    <mergeCell ref="A264:A304"/>
    <mergeCell ref="C264:C304"/>
    <mergeCell ref="D264:D304"/>
    <mergeCell ref="H264:H304"/>
    <mergeCell ref="I264:I304"/>
    <mergeCell ref="M264:M304"/>
    <mergeCell ref="N264:N304"/>
    <mergeCell ref="R264:R304"/>
    <mergeCell ref="S264:S304"/>
    <mergeCell ref="X349:X355"/>
    <mergeCell ref="AB349:AB355"/>
    <mergeCell ref="C356:C360"/>
    <mergeCell ref="D356:D360"/>
    <mergeCell ref="H356:H360"/>
    <mergeCell ref="I356:I360"/>
    <mergeCell ref="M356:M360"/>
    <mergeCell ref="N356:N360"/>
    <mergeCell ref="R356:R360"/>
    <mergeCell ref="S356:S360"/>
    <mergeCell ref="W356:W360"/>
    <mergeCell ref="X356:X360"/>
    <mergeCell ref="AB356:AB360"/>
    <mergeCell ref="C349:C355"/>
    <mergeCell ref="D349:D355"/>
    <mergeCell ref="H349:H355"/>
    <mergeCell ref="I349:I355"/>
    <mergeCell ref="M349:M355"/>
    <mergeCell ref="N349:N355"/>
    <mergeCell ref="S349:S355"/>
    <mergeCell ref="R349:R355"/>
    <mergeCell ref="W349:W355"/>
    <mergeCell ref="X392:X395"/>
    <mergeCell ref="AB392:AB395"/>
    <mergeCell ref="C396:C404"/>
    <mergeCell ref="D396:D404"/>
    <mergeCell ref="H396:H404"/>
    <mergeCell ref="I396:I404"/>
    <mergeCell ref="M396:M404"/>
    <mergeCell ref="N396:N404"/>
    <mergeCell ref="R396:R404"/>
    <mergeCell ref="S396:S404"/>
    <mergeCell ref="W396:W404"/>
    <mergeCell ref="X396:X404"/>
    <mergeCell ref="AB396:AB404"/>
    <mergeCell ref="C392:C395"/>
    <mergeCell ref="D392:D395"/>
    <mergeCell ref="H392:H395"/>
    <mergeCell ref="I392:I395"/>
    <mergeCell ref="M392:M395"/>
    <mergeCell ref="N392:N395"/>
    <mergeCell ref="R392:R395"/>
    <mergeCell ref="S392:S395"/>
    <mergeCell ref="W392:W395"/>
    <mergeCell ref="C311:C339"/>
    <mergeCell ref="D311:D339"/>
    <mergeCell ref="H311:H339"/>
    <mergeCell ref="I311:I339"/>
    <mergeCell ref="M311:M339"/>
    <mergeCell ref="N311:N339"/>
    <mergeCell ref="R311:R339"/>
    <mergeCell ref="S311:S339"/>
    <mergeCell ref="W311:W339"/>
    <mergeCell ref="AB80:AB93"/>
    <mergeCell ref="N305:N310"/>
    <mergeCell ref="R305:R310"/>
    <mergeCell ref="S305:S310"/>
    <mergeCell ref="W305:W310"/>
    <mergeCell ref="X305:X310"/>
    <mergeCell ref="AB305:AB310"/>
    <mergeCell ref="C305:C310"/>
    <mergeCell ref="D305:D310"/>
    <mergeCell ref="H305:H310"/>
    <mergeCell ref="I305:I310"/>
    <mergeCell ref="M305:M310"/>
    <mergeCell ref="AB264:AB304"/>
    <mergeCell ref="X215:X263"/>
    <mergeCell ref="AB215:AB263"/>
    <mergeCell ref="AB94:AB111"/>
    <mergeCell ref="B150:AB150"/>
    <mergeCell ref="AB131:AB143"/>
    <mergeCell ref="X151:X168"/>
    <mergeCell ref="AB151:AB168"/>
    <mergeCell ref="X169:X214"/>
    <mergeCell ref="AB169:AB214"/>
    <mergeCell ref="N151:N168"/>
    <mergeCell ref="R151:R168"/>
    <mergeCell ref="X311:X339"/>
    <mergeCell ref="AB311:AB339"/>
    <mergeCell ref="AB125:AB130"/>
    <mergeCell ref="C38:C79"/>
    <mergeCell ref="D38:D79"/>
    <mergeCell ref="H38:H79"/>
    <mergeCell ref="I38:I79"/>
    <mergeCell ref="M38:M79"/>
    <mergeCell ref="N38:N79"/>
    <mergeCell ref="R38:R79"/>
    <mergeCell ref="S38:S79"/>
    <mergeCell ref="W38:W79"/>
    <mergeCell ref="X38:X79"/>
    <mergeCell ref="AB38:AB79"/>
    <mergeCell ref="C80:C93"/>
    <mergeCell ref="D80:D93"/>
    <mergeCell ref="H80:H93"/>
    <mergeCell ref="I80:I93"/>
    <mergeCell ref="M80:M93"/>
    <mergeCell ref="N80:N93"/>
    <mergeCell ref="R80:R93"/>
    <mergeCell ref="S80:S93"/>
    <mergeCell ref="W80:W93"/>
    <mergeCell ref="X80:X93"/>
  </mergeCells>
  <printOptions horizontalCentered="1"/>
  <pageMargins left="0.19685039370078741" right="0.19685039370078741" top="0.62992125984251968" bottom="0.59055118110236227" header="0.19685039370078741" footer="0.15748031496062992"/>
  <pageSetup paperSize="8" scale="57" fitToHeight="0" orientation="landscape" r:id="rId1"/>
  <headerFooter alignWithMargins="0"/>
  <rowBreaks count="8" manualBreakCount="8">
    <brk id="37" max="27" man="1"/>
    <brk id="79" max="27" man="1"/>
    <brk id="168" max="27" man="1"/>
    <brk id="214" max="27" man="1"/>
    <brk id="263" max="27" man="1"/>
    <brk id="310" max="27" man="1"/>
    <brk id="355" max="27" man="1"/>
    <brk id="395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558"/>
  <sheetViews>
    <sheetView tabSelected="1" showRuler="0" view="pageBreakPreview" topLeftCell="A290" zoomScale="80" zoomScaleNormal="79" zoomScaleSheetLayoutView="80" zoomScalePageLayoutView="80" workbookViewId="0">
      <selection activeCell="O299" sqref="O299"/>
    </sheetView>
  </sheetViews>
  <sheetFormatPr defaultColWidth="8.7109375" defaultRowHeight="12.75" outlineLevelRow="1" x14ac:dyDescent="0.2"/>
  <cols>
    <col min="1" max="1" width="11" style="181" customWidth="1"/>
    <col min="2" max="2" width="26.28515625" customWidth="1"/>
    <col min="3" max="3" width="10.28515625" style="182" customWidth="1"/>
    <col min="4" max="4" width="13.5703125" style="183" customWidth="1"/>
    <col min="5" max="5" width="7.7109375" style="183" customWidth="1"/>
    <col min="6" max="6" width="13.28515625" style="183" customWidth="1"/>
    <col min="7" max="7" width="9.5703125" style="183" customWidth="1"/>
    <col min="8" max="8" width="11.140625" style="183" customWidth="1"/>
    <col min="9" max="9" width="10.140625" style="183" customWidth="1"/>
    <col min="10" max="10" width="9" style="183" customWidth="1"/>
    <col min="11" max="11" width="11" style="21" customWidth="1"/>
    <col min="12" max="12" width="8.85546875" style="21" customWidth="1"/>
    <col min="13" max="13" width="10.85546875" style="26" customWidth="1"/>
    <col min="14" max="14" width="11" style="26" customWidth="1"/>
    <col min="15" max="15" width="7.5703125" style="187" customWidth="1"/>
    <col min="16" max="16" width="10.85546875" style="188" customWidth="1"/>
    <col min="17" max="17" width="9" style="188" customWidth="1"/>
    <col min="18" max="18" width="10.85546875" style="26" customWidth="1"/>
    <col min="19" max="19" width="10.140625" style="26" customWidth="1"/>
    <col min="20" max="20" width="7.7109375" style="187" customWidth="1"/>
    <col min="21" max="21" width="12.7109375" style="188" customWidth="1"/>
    <col min="22" max="22" width="9.85546875" style="188" customWidth="1"/>
    <col min="23" max="23" width="12.5703125" style="26" customWidth="1"/>
    <col min="24" max="24" width="10.7109375" style="26" customWidth="1"/>
    <col min="25" max="25" width="9.140625" style="187" customWidth="1"/>
    <col min="26" max="26" width="11" style="188" customWidth="1"/>
    <col min="27" max="27" width="9.7109375" style="26" customWidth="1"/>
    <col min="28" max="28" width="10.85546875" style="26" customWidth="1"/>
    <col min="29" max="29" width="10.140625" style="26" customWidth="1"/>
    <col min="30" max="30" width="14.28515625" bestFit="1" customWidth="1"/>
    <col min="31" max="31" width="14.7109375" customWidth="1"/>
    <col min="32" max="32" width="10.85546875" bestFit="1" customWidth="1"/>
  </cols>
  <sheetData>
    <row r="1" spans="1:30" ht="85.15" customHeight="1" x14ac:dyDescent="0.2">
      <c r="A1" s="74"/>
      <c r="B1" s="75"/>
      <c r="C1" s="76"/>
      <c r="D1" s="75"/>
      <c r="E1" s="76"/>
      <c r="F1" s="75"/>
      <c r="G1" s="75"/>
      <c r="H1" s="75"/>
      <c r="I1" s="75"/>
      <c r="J1" s="76"/>
      <c r="K1" s="75"/>
      <c r="L1" s="75"/>
      <c r="M1" s="75"/>
      <c r="N1" s="75"/>
      <c r="O1" s="76"/>
      <c r="P1" s="75"/>
      <c r="Q1" s="75"/>
      <c r="R1" s="75"/>
      <c r="S1" s="75"/>
      <c r="T1" s="76"/>
      <c r="U1" s="75"/>
      <c r="V1" s="75"/>
      <c r="W1" s="75"/>
      <c r="X1" s="75"/>
      <c r="Y1" s="28"/>
      <c r="Z1" s="331" t="s">
        <v>1746</v>
      </c>
      <c r="AA1" s="331"/>
      <c r="AB1" s="331"/>
      <c r="AC1" s="331"/>
    </row>
    <row r="2" spans="1:30" ht="101.25" customHeight="1" x14ac:dyDescent="0.2">
      <c r="A2" s="74"/>
      <c r="B2" s="75"/>
      <c r="C2" s="76"/>
      <c r="D2" s="75"/>
      <c r="E2" s="76"/>
      <c r="F2" s="75"/>
      <c r="G2" s="75"/>
      <c r="H2" s="75"/>
      <c r="I2" s="75"/>
      <c r="J2" s="76"/>
      <c r="K2" s="75"/>
      <c r="L2" s="75"/>
      <c r="M2" s="75"/>
      <c r="N2" s="75"/>
      <c r="O2" s="76"/>
      <c r="P2" s="75"/>
      <c r="Q2" s="75"/>
      <c r="R2" s="75"/>
      <c r="S2" s="75"/>
      <c r="T2" s="76"/>
      <c r="U2" s="75"/>
      <c r="V2" s="75"/>
      <c r="W2" s="75"/>
      <c r="X2" s="75"/>
      <c r="Y2" s="28"/>
      <c r="Z2" s="306" t="s">
        <v>983</v>
      </c>
      <c r="AA2" s="306"/>
      <c r="AB2" s="306"/>
      <c r="AC2" s="306"/>
    </row>
    <row r="3" spans="1:30" ht="40.5" customHeight="1" x14ac:dyDescent="0.3">
      <c r="A3" s="364" t="s">
        <v>708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</row>
    <row r="4" spans="1:30" s="77" customFormat="1" ht="15.6" customHeight="1" x14ac:dyDescent="0.2">
      <c r="A4" s="368" t="s">
        <v>466</v>
      </c>
      <c r="B4" s="361" t="s">
        <v>0</v>
      </c>
      <c r="C4" s="363" t="s">
        <v>509</v>
      </c>
      <c r="D4" s="363" t="s">
        <v>467</v>
      </c>
      <c r="E4" s="366" t="s">
        <v>21</v>
      </c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</row>
    <row r="5" spans="1:30" s="29" customFormat="1" ht="27.4" customHeight="1" x14ac:dyDescent="0.2">
      <c r="A5" s="368"/>
      <c r="B5" s="361"/>
      <c r="C5" s="363"/>
      <c r="D5" s="363"/>
      <c r="E5" s="362" t="s">
        <v>32</v>
      </c>
      <c r="F5" s="362"/>
      <c r="G5" s="362"/>
      <c r="H5" s="362"/>
      <c r="I5" s="362"/>
      <c r="J5" s="360" t="s">
        <v>33</v>
      </c>
      <c r="K5" s="360"/>
      <c r="L5" s="360"/>
      <c r="M5" s="360"/>
      <c r="N5" s="360"/>
      <c r="O5" s="360" t="s">
        <v>34</v>
      </c>
      <c r="P5" s="360"/>
      <c r="Q5" s="360"/>
      <c r="R5" s="360"/>
      <c r="S5" s="360"/>
      <c r="T5" s="360" t="s">
        <v>35</v>
      </c>
      <c r="U5" s="360"/>
      <c r="V5" s="360"/>
      <c r="W5" s="360"/>
      <c r="X5" s="360"/>
      <c r="Y5" s="360" t="s">
        <v>36</v>
      </c>
      <c r="Z5" s="360"/>
      <c r="AA5" s="360"/>
      <c r="AB5" s="360"/>
      <c r="AC5" s="360"/>
    </row>
    <row r="6" spans="1:30" s="29" customFormat="1" ht="64.150000000000006" customHeight="1" x14ac:dyDescent="0.2">
      <c r="A6" s="368"/>
      <c r="B6" s="361"/>
      <c r="C6" s="363"/>
      <c r="D6" s="363"/>
      <c r="E6" s="78" t="s">
        <v>509</v>
      </c>
      <c r="F6" s="9" t="s">
        <v>5</v>
      </c>
      <c r="G6" s="9" t="s">
        <v>468</v>
      </c>
      <c r="H6" s="79" t="s">
        <v>6</v>
      </c>
      <c r="I6" s="80" t="s">
        <v>13</v>
      </c>
      <c r="J6" s="78" t="s">
        <v>509</v>
      </c>
      <c r="K6" s="9" t="s">
        <v>5</v>
      </c>
      <c r="L6" s="9" t="s">
        <v>468</v>
      </c>
      <c r="M6" s="80" t="s">
        <v>6</v>
      </c>
      <c r="N6" s="80" t="s">
        <v>13</v>
      </c>
      <c r="O6" s="78" t="s">
        <v>509</v>
      </c>
      <c r="P6" s="9" t="s">
        <v>5</v>
      </c>
      <c r="Q6" s="9" t="s">
        <v>468</v>
      </c>
      <c r="R6" s="80" t="s">
        <v>6</v>
      </c>
      <c r="S6" s="80" t="s">
        <v>13</v>
      </c>
      <c r="T6" s="78" t="s">
        <v>509</v>
      </c>
      <c r="U6" s="9" t="s">
        <v>5</v>
      </c>
      <c r="V6" s="9" t="s">
        <v>468</v>
      </c>
      <c r="W6" s="80" t="s">
        <v>6</v>
      </c>
      <c r="X6" s="80" t="s">
        <v>13</v>
      </c>
      <c r="Y6" s="78" t="s">
        <v>509</v>
      </c>
      <c r="Z6" s="9" t="s">
        <v>5</v>
      </c>
      <c r="AA6" s="9" t="s">
        <v>468</v>
      </c>
      <c r="AB6" s="80" t="s">
        <v>469</v>
      </c>
      <c r="AC6" s="80" t="s">
        <v>73</v>
      </c>
    </row>
    <row r="7" spans="1:30" ht="22.35" customHeight="1" x14ac:dyDescent="0.2">
      <c r="A7" s="81">
        <v>1</v>
      </c>
      <c r="B7" s="82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3">
        <v>13</v>
      </c>
      <c r="N7" s="83">
        <v>14</v>
      </c>
      <c r="O7" s="83">
        <v>15</v>
      </c>
      <c r="P7" s="83">
        <v>16</v>
      </c>
      <c r="Q7" s="83">
        <v>17</v>
      </c>
      <c r="R7" s="83">
        <v>18</v>
      </c>
      <c r="S7" s="83">
        <v>19</v>
      </c>
      <c r="T7" s="83">
        <v>20</v>
      </c>
      <c r="U7" s="83">
        <v>21</v>
      </c>
      <c r="V7" s="83">
        <v>22</v>
      </c>
      <c r="W7" s="83">
        <v>23</v>
      </c>
      <c r="X7" s="83">
        <v>24</v>
      </c>
      <c r="Y7" s="83">
        <v>25</v>
      </c>
      <c r="Z7" s="83">
        <v>26</v>
      </c>
      <c r="AA7" s="83">
        <v>27</v>
      </c>
      <c r="AB7" s="83">
        <v>28</v>
      </c>
      <c r="AC7" s="83">
        <v>29</v>
      </c>
    </row>
    <row r="8" spans="1:30" s="24" customFormat="1" ht="37.5" customHeight="1" x14ac:dyDescent="0.2">
      <c r="A8" s="339" t="s">
        <v>454</v>
      </c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0"/>
      <c r="AC8" s="341"/>
      <c r="AD8" s="84"/>
    </row>
    <row r="9" spans="1:30" s="24" customFormat="1" ht="42" customHeight="1" x14ac:dyDescent="0.2">
      <c r="A9" s="34" t="s">
        <v>2</v>
      </c>
      <c r="B9" s="342" t="s">
        <v>1067</v>
      </c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85"/>
    </row>
    <row r="10" spans="1:30" ht="21" customHeight="1" x14ac:dyDescent="0.2">
      <c r="A10" s="34" t="s">
        <v>1107</v>
      </c>
      <c r="B10" s="342" t="s">
        <v>1108</v>
      </c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80"/>
    </row>
    <row r="11" spans="1:30" s="21" customFormat="1" ht="91.15" customHeight="1" x14ac:dyDescent="0.2">
      <c r="A11" s="86" t="s">
        <v>1109</v>
      </c>
      <c r="B11" s="87" t="s">
        <v>470</v>
      </c>
      <c r="C11" s="88">
        <f>E11+J11+O11+T11+Y11</f>
        <v>0.57999999999999996</v>
      </c>
      <c r="D11" s="89">
        <f>F11+K11+P11+U11+Z11</f>
        <v>6622</v>
      </c>
      <c r="E11" s="88">
        <f t="shared" ref="E11:AC11" si="0">E12+E13+E14</f>
        <v>0</v>
      </c>
      <c r="F11" s="89">
        <f t="shared" si="0"/>
        <v>0</v>
      </c>
      <c r="G11" s="89">
        <f t="shared" si="0"/>
        <v>0</v>
      </c>
      <c r="H11" s="89">
        <f t="shared" si="0"/>
        <v>0</v>
      </c>
      <c r="I11" s="89">
        <f t="shared" si="0"/>
        <v>0</v>
      </c>
      <c r="J11" s="88">
        <f>J12+J13+J14</f>
        <v>0</v>
      </c>
      <c r="K11" s="89">
        <f t="shared" si="0"/>
        <v>0</v>
      </c>
      <c r="L11" s="89">
        <f t="shared" si="0"/>
        <v>0</v>
      </c>
      <c r="M11" s="89">
        <f t="shared" si="0"/>
        <v>0</v>
      </c>
      <c r="N11" s="89">
        <f>N12+N13+N14</f>
        <v>0</v>
      </c>
      <c r="O11" s="88">
        <f t="shared" si="0"/>
        <v>0.57999999999999996</v>
      </c>
      <c r="P11" s="89">
        <f t="shared" si="0"/>
        <v>6622</v>
      </c>
      <c r="Q11" s="89">
        <f t="shared" si="0"/>
        <v>0</v>
      </c>
      <c r="R11" s="89">
        <f t="shared" si="0"/>
        <v>0</v>
      </c>
      <c r="S11" s="89">
        <f t="shared" si="0"/>
        <v>6622</v>
      </c>
      <c r="T11" s="88">
        <f t="shared" si="0"/>
        <v>0</v>
      </c>
      <c r="U11" s="89">
        <f t="shared" si="0"/>
        <v>0</v>
      </c>
      <c r="V11" s="89">
        <f t="shared" si="0"/>
        <v>0</v>
      </c>
      <c r="W11" s="89">
        <f t="shared" si="0"/>
        <v>0</v>
      </c>
      <c r="X11" s="89">
        <f t="shared" si="0"/>
        <v>0</v>
      </c>
      <c r="Y11" s="88">
        <f t="shared" si="0"/>
        <v>0</v>
      </c>
      <c r="Z11" s="89">
        <f t="shared" si="0"/>
        <v>0</v>
      </c>
      <c r="AA11" s="89">
        <f t="shared" si="0"/>
        <v>0</v>
      </c>
      <c r="AB11" s="89">
        <f t="shared" si="0"/>
        <v>0</v>
      </c>
      <c r="AC11" s="89">
        <f t="shared" si="0"/>
        <v>0</v>
      </c>
    </row>
    <row r="12" spans="1:30" s="21" customFormat="1" ht="85.15" customHeight="1" outlineLevel="1" x14ac:dyDescent="0.2">
      <c r="A12" s="90" t="s">
        <v>1110</v>
      </c>
      <c r="B12" s="91" t="s">
        <v>471</v>
      </c>
      <c r="C12" s="92">
        <f t="shared" ref="C12:C22" si="1">E12+J12+O12+T12+Y12</f>
        <v>0.57999999999999996</v>
      </c>
      <c r="D12" s="93">
        <f t="shared" ref="D12:D38" si="2">F12+K12+P12+U12+Z12</f>
        <v>6622</v>
      </c>
      <c r="E12" s="92">
        <v>0</v>
      </c>
      <c r="F12" s="93">
        <v>0</v>
      </c>
      <c r="G12" s="93">
        <v>0</v>
      </c>
      <c r="H12" s="93">
        <v>0</v>
      </c>
      <c r="I12" s="93">
        <v>0</v>
      </c>
      <c r="J12" s="94">
        <v>0</v>
      </c>
      <c r="K12" s="93">
        <f>SUM(L12:N12)</f>
        <v>0</v>
      </c>
      <c r="L12" s="93">
        <v>0</v>
      </c>
      <c r="M12" s="95">
        <v>0</v>
      </c>
      <c r="N12" s="95">
        <f>7196-7196</f>
        <v>0</v>
      </c>
      <c r="O12" s="94">
        <v>0.57999999999999996</v>
      </c>
      <c r="P12" s="93">
        <f>Q12+R12+S12</f>
        <v>6622</v>
      </c>
      <c r="Q12" s="95">
        <v>0</v>
      </c>
      <c r="R12" s="95">
        <v>0</v>
      </c>
      <c r="S12" s="95">
        <v>6622</v>
      </c>
      <c r="T12" s="94">
        <v>0</v>
      </c>
      <c r="U12" s="93">
        <f>W12+X12+V12</f>
        <v>0</v>
      </c>
      <c r="V12" s="95">
        <v>0</v>
      </c>
      <c r="W12" s="95">
        <v>0</v>
      </c>
      <c r="X12" s="95">
        <v>0</v>
      </c>
      <c r="Y12" s="94">
        <v>0</v>
      </c>
      <c r="Z12" s="93">
        <f>AB12+AC12+AA12</f>
        <v>0</v>
      </c>
      <c r="AA12" s="95">
        <v>0</v>
      </c>
      <c r="AB12" s="95">
        <v>0</v>
      </c>
      <c r="AC12" s="95">
        <v>0</v>
      </c>
    </row>
    <row r="13" spans="1:30" s="21" customFormat="1" ht="101.45" customHeight="1" outlineLevel="1" x14ac:dyDescent="0.2">
      <c r="A13" s="90" t="s">
        <v>1111</v>
      </c>
      <c r="B13" s="91" t="s">
        <v>472</v>
      </c>
      <c r="C13" s="92">
        <f t="shared" si="1"/>
        <v>0</v>
      </c>
      <c r="D13" s="93">
        <f t="shared" si="2"/>
        <v>0</v>
      </c>
      <c r="E13" s="92">
        <v>0</v>
      </c>
      <c r="F13" s="93">
        <f>H13+I13</f>
        <v>0</v>
      </c>
      <c r="G13" s="93">
        <v>0</v>
      </c>
      <c r="H13" s="93">
        <v>0</v>
      </c>
      <c r="I13" s="93">
        <v>0</v>
      </c>
      <c r="J13" s="94">
        <v>0</v>
      </c>
      <c r="K13" s="93">
        <f>SUM(L13:N13)</f>
        <v>0</v>
      </c>
      <c r="L13" s="93">
        <v>0</v>
      </c>
      <c r="M13" s="95">
        <v>0</v>
      </c>
      <c r="N13" s="95">
        <v>0</v>
      </c>
      <c r="O13" s="94">
        <v>0</v>
      </c>
      <c r="P13" s="93">
        <f>R13+S13</f>
        <v>0</v>
      </c>
      <c r="Q13" s="95">
        <v>0</v>
      </c>
      <c r="R13" s="95">
        <v>0</v>
      </c>
      <c r="S13" s="95">
        <v>0</v>
      </c>
      <c r="T13" s="94">
        <v>0</v>
      </c>
      <c r="U13" s="93">
        <f>W13+X13</f>
        <v>0</v>
      </c>
      <c r="V13" s="95">
        <v>0</v>
      </c>
      <c r="W13" s="95">
        <v>0</v>
      </c>
      <c r="X13" s="95">
        <v>0</v>
      </c>
      <c r="Y13" s="94">
        <v>0</v>
      </c>
      <c r="Z13" s="93">
        <f>AB13+AC13</f>
        <v>0</v>
      </c>
      <c r="AA13" s="95">
        <v>0</v>
      </c>
      <c r="AB13" s="95">
        <v>0</v>
      </c>
      <c r="AC13" s="95">
        <v>0</v>
      </c>
    </row>
    <row r="14" spans="1:30" s="21" customFormat="1" ht="99.6" customHeight="1" outlineLevel="1" x14ac:dyDescent="0.2">
      <c r="A14" s="90" t="s">
        <v>1112</v>
      </c>
      <c r="B14" s="91" t="s">
        <v>473</v>
      </c>
      <c r="C14" s="92">
        <f t="shared" si="1"/>
        <v>0</v>
      </c>
      <c r="D14" s="93">
        <f t="shared" si="2"/>
        <v>0</v>
      </c>
      <c r="E14" s="92">
        <v>0</v>
      </c>
      <c r="F14" s="93">
        <v>0</v>
      </c>
      <c r="G14" s="93">
        <v>0</v>
      </c>
      <c r="H14" s="93">
        <v>0</v>
      </c>
      <c r="I14" s="93">
        <v>0</v>
      </c>
      <c r="J14" s="94">
        <v>0</v>
      </c>
      <c r="K14" s="93">
        <f>SUM(L14:N14)</f>
        <v>0</v>
      </c>
      <c r="L14" s="93">
        <v>0</v>
      </c>
      <c r="M14" s="95">
        <v>0</v>
      </c>
      <c r="N14" s="95">
        <v>0</v>
      </c>
      <c r="O14" s="94">
        <v>0</v>
      </c>
      <c r="P14" s="93">
        <f>R14+S14</f>
        <v>0</v>
      </c>
      <c r="Q14" s="95">
        <v>0</v>
      </c>
      <c r="R14" s="95">
        <v>0</v>
      </c>
      <c r="S14" s="95">
        <v>0</v>
      </c>
      <c r="T14" s="94">
        <v>0</v>
      </c>
      <c r="U14" s="93">
        <f>W14+X14</f>
        <v>0</v>
      </c>
      <c r="V14" s="95">
        <v>0</v>
      </c>
      <c r="W14" s="95">
        <v>0</v>
      </c>
      <c r="X14" s="95">
        <v>0</v>
      </c>
      <c r="Y14" s="94">
        <v>0</v>
      </c>
      <c r="Z14" s="93">
        <f>AB14+AC14</f>
        <v>0</v>
      </c>
      <c r="AA14" s="95">
        <v>0</v>
      </c>
      <c r="AB14" s="95">
        <v>0</v>
      </c>
      <c r="AC14" s="95">
        <v>0</v>
      </c>
    </row>
    <row r="15" spans="1:30" s="21" customFormat="1" ht="53.25" customHeight="1" x14ac:dyDescent="0.2">
      <c r="A15" s="86" t="s">
        <v>1113</v>
      </c>
      <c r="B15" s="87" t="s">
        <v>583</v>
      </c>
      <c r="C15" s="88">
        <f>E15+J15+O15+T15+Y15</f>
        <v>0</v>
      </c>
      <c r="D15" s="89">
        <f>F15+K15+P15+U15+Z15</f>
        <v>0</v>
      </c>
      <c r="E15" s="88">
        <f>E16+E17+E18</f>
        <v>0</v>
      </c>
      <c r="F15" s="89">
        <f t="shared" ref="F15:AC15" si="3">F16+F17+F18</f>
        <v>0</v>
      </c>
      <c r="G15" s="89">
        <f t="shared" si="3"/>
        <v>0</v>
      </c>
      <c r="H15" s="89">
        <f t="shared" si="3"/>
        <v>0</v>
      </c>
      <c r="I15" s="89">
        <f t="shared" si="3"/>
        <v>0</v>
      </c>
      <c r="J15" s="88">
        <f t="shared" si="3"/>
        <v>0</v>
      </c>
      <c r="K15" s="89">
        <f>K16+K17+K18</f>
        <v>0</v>
      </c>
      <c r="L15" s="89">
        <f t="shared" si="3"/>
        <v>0</v>
      </c>
      <c r="M15" s="89">
        <f t="shared" si="3"/>
        <v>0</v>
      </c>
      <c r="N15" s="89">
        <f>N16+N17+N18</f>
        <v>0</v>
      </c>
      <c r="O15" s="88">
        <f>O16+O17+O18</f>
        <v>0</v>
      </c>
      <c r="P15" s="89">
        <f t="shared" si="3"/>
        <v>0</v>
      </c>
      <c r="Q15" s="89">
        <f t="shared" si="3"/>
        <v>0</v>
      </c>
      <c r="R15" s="89">
        <f t="shared" si="3"/>
        <v>0</v>
      </c>
      <c r="S15" s="89">
        <f t="shared" si="3"/>
        <v>0</v>
      </c>
      <c r="T15" s="88">
        <f t="shared" si="3"/>
        <v>0</v>
      </c>
      <c r="U15" s="89">
        <f t="shared" si="3"/>
        <v>0</v>
      </c>
      <c r="V15" s="89">
        <f t="shared" si="3"/>
        <v>0</v>
      </c>
      <c r="W15" s="89">
        <f t="shared" si="3"/>
        <v>0</v>
      </c>
      <c r="X15" s="89">
        <f t="shared" si="3"/>
        <v>0</v>
      </c>
      <c r="Y15" s="88">
        <f t="shared" si="3"/>
        <v>0</v>
      </c>
      <c r="Z15" s="89">
        <f t="shared" si="3"/>
        <v>0</v>
      </c>
      <c r="AA15" s="89">
        <f t="shared" si="3"/>
        <v>0</v>
      </c>
      <c r="AB15" s="89">
        <f t="shared" si="3"/>
        <v>0</v>
      </c>
      <c r="AC15" s="89">
        <f t="shared" si="3"/>
        <v>0</v>
      </c>
    </row>
    <row r="16" spans="1:30" s="21" customFormat="1" ht="52.15" customHeight="1" outlineLevel="1" x14ac:dyDescent="0.2">
      <c r="A16" s="90" t="s">
        <v>1114</v>
      </c>
      <c r="B16" s="91" t="s">
        <v>583</v>
      </c>
      <c r="C16" s="92">
        <f t="shared" si="1"/>
        <v>0</v>
      </c>
      <c r="D16" s="93">
        <f>F16+K16+P16+U16+Z16</f>
        <v>0</v>
      </c>
      <c r="E16" s="92">
        <v>0</v>
      </c>
      <c r="F16" s="93">
        <v>0</v>
      </c>
      <c r="G16" s="93">
        <v>0</v>
      </c>
      <c r="H16" s="93">
        <v>0</v>
      </c>
      <c r="I16" s="93">
        <v>0</v>
      </c>
      <c r="J16" s="94">
        <v>0</v>
      </c>
      <c r="K16" s="93">
        <v>0</v>
      </c>
      <c r="L16" s="93">
        <v>0</v>
      </c>
      <c r="M16" s="95">
        <v>0</v>
      </c>
      <c r="N16" s="95">
        <v>0</v>
      </c>
      <c r="O16" s="94">
        <v>0</v>
      </c>
      <c r="P16" s="95">
        <f>Q16+R16+S16</f>
        <v>0</v>
      </c>
      <c r="Q16" s="95">
        <v>0</v>
      </c>
      <c r="R16" s="95">
        <v>0</v>
      </c>
      <c r="S16" s="95">
        <v>0</v>
      </c>
      <c r="T16" s="94">
        <v>0</v>
      </c>
      <c r="U16" s="95">
        <v>0</v>
      </c>
      <c r="V16" s="95">
        <v>0</v>
      </c>
      <c r="W16" s="95">
        <v>0</v>
      </c>
      <c r="X16" s="95">
        <v>0</v>
      </c>
      <c r="Y16" s="94">
        <v>0</v>
      </c>
      <c r="Z16" s="95">
        <v>0</v>
      </c>
      <c r="AA16" s="95">
        <v>0</v>
      </c>
      <c r="AB16" s="95">
        <v>0</v>
      </c>
      <c r="AC16" s="95">
        <v>0</v>
      </c>
    </row>
    <row r="17" spans="1:29" s="21" customFormat="1" ht="76.150000000000006" customHeight="1" outlineLevel="1" x14ac:dyDescent="0.2">
      <c r="A17" s="90" t="s">
        <v>1115</v>
      </c>
      <c r="B17" s="91" t="s">
        <v>584</v>
      </c>
      <c r="C17" s="92">
        <f t="shared" si="1"/>
        <v>0</v>
      </c>
      <c r="D17" s="93">
        <f>F17+K17+P17+U17+Z17</f>
        <v>0</v>
      </c>
      <c r="E17" s="92">
        <v>0</v>
      </c>
      <c r="F17" s="93">
        <v>0</v>
      </c>
      <c r="G17" s="93">
        <v>0</v>
      </c>
      <c r="H17" s="93">
        <v>0</v>
      </c>
      <c r="I17" s="93">
        <v>0</v>
      </c>
      <c r="J17" s="94">
        <v>0</v>
      </c>
      <c r="K17" s="93">
        <f>SUM(L17:N17)</f>
        <v>0</v>
      </c>
      <c r="L17" s="93">
        <v>0</v>
      </c>
      <c r="M17" s="95">
        <v>0</v>
      </c>
      <c r="N17" s="95">
        <v>0</v>
      </c>
      <c r="O17" s="94">
        <v>0</v>
      </c>
      <c r="P17" s="95">
        <v>0</v>
      </c>
      <c r="Q17" s="95">
        <v>0</v>
      </c>
      <c r="R17" s="95">
        <v>0</v>
      </c>
      <c r="S17" s="95">
        <v>0</v>
      </c>
      <c r="T17" s="94">
        <v>0</v>
      </c>
      <c r="U17" s="95">
        <v>0</v>
      </c>
      <c r="V17" s="95">
        <v>0</v>
      </c>
      <c r="W17" s="95">
        <v>0</v>
      </c>
      <c r="X17" s="95">
        <v>0</v>
      </c>
      <c r="Y17" s="94">
        <v>0</v>
      </c>
      <c r="Z17" s="95">
        <v>0</v>
      </c>
      <c r="AA17" s="95">
        <v>0</v>
      </c>
      <c r="AB17" s="95">
        <v>0</v>
      </c>
      <c r="AC17" s="95">
        <v>0</v>
      </c>
    </row>
    <row r="18" spans="1:29" s="21" customFormat="1" ht="76.150000000000006" customHeight="1" outlineLevel="1" x14ac:dyDescent="0.2">
      <c r="A18" s="90" t="s">
        <v>1116</v>
      </c>
      <c r="B18" s="91" t="s">
        <v>585</v>
      </c>
      <c r="C18" s="92">
        <f t="shared" si="1"/>
        <v>0</v>
      </c>
      <c r="D18" s="93">
        <f>F18+K18+P18+U18+Z18</f>
        <v>0</v>
      </c>
      <c r="E18" s="92">
        <f>H18+L18+Q18+V18</f>
        <v>0</v>
      </c>
      <c r="F18" s="93">
        <v>0</v>
      </c>
      <c r="G18" s="93">
        <v>0</v>
      </c>
      <c r="H18" s="93">
        <v>0</v>
      </c>
      <c r="I18" s="93">
        <v>0</v>
      </c>
      <c r="J18" s="94">
        <v>0</v>
      </c>
      <c r="K18" s="93">
        <f>SUM(L18:N18)</f>
        <v>0</v>
      </c>
      <c r="L18" s="93">
        <v>0</v>
      </c>
      <c r="M18" s="95">
        <v>0</v>
      </c>
      <c r="N18" s="95">
        <v>0</v>
      </c>
      <c r="O18" s="94">
        <v>0</v>
      </c>
      <c r="P18" s="95">
        <v>0</v>
      </c>
      <c r="Q18" s="95">
        <v>0</v>
      </c>
      <c r="R18" s="95">
        <v>0</v>
      </c>
      <c r="S18" s="95">
        <v>0</v>
      </c>
      <c r="T18" s="94">
        <v>0</v>
      </c>
      <c r="U18" s="95">
        <v>0</v>
      </c>
      <c r="V18" s="95">
        <v>0</v>
      </c>
      <c r="W18" s="95">
        <v>0</v>
      </c>
      <c r="X18" s="95">
        <v>0</v>
      </c>
      <c r="Y18" s="94">
        <v>0</v>
      </c>
      <c r="Z18" s="95">
        <v>0</v>
      </c>
      <c r="AA18" s="95">
        <v>0</v>
      </c>
      <c r="AB18" s="95">
        <v>0</v>
      </c>
      <c r="AC18" s="95">
        <v>0</v>
      </c>
    </row>
    <row r="19" spans="1:29" s="21" customFormat="1" ht="73.900000000000006" customHeight="1" x14ac:dyDescent="0.2">
      <c r="A19" s="86" t="s">
        <v>1117</v>
      </c>
      <c r="B19" s="87" t="s">
        <v>38</v>
      </c>
      <c r="C19" s="88">
        <f t="shared" si="1"/>
        <v>4.2</v>
      </c>
      <c r="D19" s="89">
        <f>F19+K19+P19+U19+Z19</f>
        <v>22095</v>
      </c>
      <c r="E19" s="88">
        <f>E20+E21+E22</f>
        <v>0</v>
      </c>
      <c r="F19" s="89">
        <f t="shared" ref="F19:Y19" si="4">F20+F21+F22</f>
        <v>0</v>
      </c>
      <c r="G19" s="89">
        <f t="shared" si="4"/>
        <v>0</v>
      </c>
      <c r="H19" s="89">
        <f t="shared" si="4"/>
        <v>0</v>
      </c>
      <c r="I19" s="89">
        <f t="shared" si="4"/>
        <v>0</v>
      </c>
      <c r="J19" s="86">
        <f t="shared" si="4"/>
        <v>0</v>
      </c>
      <c r="K19" s="89">
        <f t="shared" si="4"/>
        <v>0</v>
      </c>
      <c r="L19" s="89">
        <f t="shared" si="4"/>
        <v>0</v>
      </c>
      <c r="M19" s="89">
        <f t="shared" si="4"/>
        <v>0</v>
      </c>
      <c r="N19" s="89">
        <f t="shared" si="4"/>
        <v>0</v>
      </c>
      <c r="O19" s="88">
        <f>O20+O21+O22</f>
        <v>0</v>
      </c>
      <c r="P19" s="89">
        <f t="shared" si="4"/>
        <v>8576</v>
      </c>
      <c r="Q19" s="89">
        <f t="shared" si="4"/>
        <v>0</v>
      </c>
      <c r="R19" s="89">
        <f t="shared" si="4"/>
        <v>0</v>
      </c>
      <c r="S19" s="89">
        <f t="shared" si="4"/>
        <v>8576</v>
      </c>
      <c r="T19" s="88">
        <f t="shared" si="4"/>
        <v>4.2</v>
      </c>
      <c r="U19" s="89">
        <f>U20+U21+U22</f>
        <v>13519</v>
      </c>
      <c r="V19" s="89">
        <f>V20+V21+V22</f>
        <v>0</v>
      </c>
      <c r="W19" s="89">
        <f>W20+W21+W22</f>
        <v>0</v>
      </c>
      <c r="X19" s="89">
        <f>X20+X21+X22</f>
        <v>13519</v>
      </c>
      <c r="Y19" s="88">
        <f t="shared" si="4"/>
        <v>0</v>
      </c>
      <c r="Z19" s="89">
        <f>Z20+Z21+Z22</f>
        <v>0</v>
      </c>
      <c r="AA19" s="89">
        <f>AA20+AA21+AA22</f>
        <v>0</v>
      </c>
      <c r="AB19" s="89">
        <f>AB20+AB21+AB22</f>
        <v>0</v>
      </c>
      <c r="AC19" s="89">
        <f>AC20+AC21+AC22</f>
        <v>0</v>
      </c>
    </row>
    <row r="20" spans="1:29" ht="69" customHeight="1" outlineLevel="1" x14ac:dyDescent="0.2">
      <c r="A20" s="90" t="s">
        <v>1118</v>
      </c>
      <c r="B20" s="91" t="s">
        <v>84</v>
      </c>
      <c r="C20" s="92">
        <f t="shared" si="1"/>
        <v>4.2</v>
      </c>
      <c r="D20" s="93">
        <f>F20+K20+P20+U20+Z20</f>
        <v>22095</v>
      </c>
      <c r="E20" s="92">
        <v>0</v>
      </c>
      <c r="F20" s="93">
        <v>0</v>
      </c>
      <c r="G20" s="93">
        <v>0</v>
      </c>
      <c r="H20" s="93">
        <v>0</v>
      </c>
      <c r="I20" s="93">
        <v>0</v>
      </c>
      <c r="J20" s="92">
        <f>1.1-1.1</f>
        <v>0</v>
      </c>
      <c r="K20" s="93">
        <f t="shared" ref="K20:K38" si="5">SUM(L20:N20)</f>
        <v>0</v>
      </c>
      <c r="L20" s="93">
        <v>0</v>
      </c>
      <c r="M20" s="95">
        <f>100000-100000</f>
        <v>0</v>
      </c>
      <c r="N20" s="95">
        <f>6157-6157</f>
        <v>0</v>
      </c>
      <c r="O20" s="94">
        <v>0</v>
      </c>
      <c r="P20" s="95">
        <f>Q20+R20+S20</f>
        <v>8576</v>
      </c>
      <c r="Q20" s="95">
        <v>0</v>
      </c>
      <c r="R20" s="95">
        <v>0</v>
      </c>
      <c r="S20" s="95">
        <v>8576</v>
      </c>
      <c r="T20" s="94">
        <v>4.2</v>
      </c>
      <c r="U20" s="96">
        <f>W20+X20</f>
        <v>13519</v>
      </c>
      <c r="V20" s="96">
        <v>0</v>
      </c>
      <c r="W20" s="96">
        <v>0</v>
      </c>
      <c r="X20" s="96">
        <v>13519</v>
      </c>
      <c r="Y20" s="78">
        <v>0</v>
      </c>
      <c r="Z20" s="95">
        <f>AB20+AC20</f>
        <v>0</v>
      </c>
      <c r="AA20" s="95">
        <v>0</v>
      </c>
      <c r="AB20" s="95">
        <v>0</v>
      </c>
      <c r="AC20" s="95">
        <v>0</v>
      </c>
    </row>
    <row r="21" spans="1:29" ht="84.6" customHeight="1" outlineLevel="1" x14ac:dyDescent="0.2">
      <c r="A21" s="90" t="s">
        <v>1119</v>
      </c>
      <c r="B21" s="91" t="s">
        <v>980</v>
      </c>
      <c r="C21" s="92">
        <f t="shared" si="1"/>
        <v>0</v>
      </c>
      <c r="D21" s="93">
        <f t="shared" si="2"/>
        <v>0</v>
      </c>
      <c r="E21" s="92">
        <v>0</v>
      </c>
      <c r="F21" s="93">
        <v>0</v>
      </c>
      <c r="G21" s="93">
        <v>0</v>
      </c>
      <c r="H21" s="93">
        <v>0</v>
      </c>
      <c r="I21" s="93">
        <v>0</v>
      </c>
      <c r="J21" s="92">
        <v>0</v>
      </c>
      <c r="K21" s="93">
        <v>0</v>
      </c>
      <c r="L21" s="93">
        <v>0</v>
      </c>
      <c r="M21" s="95">
        <v>0</v>
      </c>
      <c r="N21" s="95">
        <v>0</v>
      </c>
      <c r="O21" s="94">
        <v>0</v>
      </c>
      <c r="P21" s="95">
        <v>0</v>
      </c>
      <c r="Q21" s="95">
        <v>0</v>
      </c>
      <c r="R21" s="95">
        <v>0</v>
      </c>
      <c r="S21" s="95">
        <v>0</v>
      </c>
      <c r="T21" s="94">
        <v>0</v>
      </c>
      <c r="U21" s="96">
        <f t="shared" ref="U21:U22" si="6">W21+X21</f>
        <v>0</v>
      </c>
      <c r="V21" s="96">
        <v>0</v>
      </c>
      <c r="W21" s="96">
        <v>0</v>
      </c>
      <c r="X21" s="96">
        <v>0</v>
      </c>
      <c r="Y21" s="78">
        <v>0</v>
      </c>
      <c r="Z21" s="95">
        <f>-AA21+AB21+AC21</f>
        <v>0</v>
      </c>
      <c r="AA21" s="95">
        <v>0</v>
      </c>
      <c r="AB21" s="95">
        <v>0</v>
      </c>
      <c r="AC21" s="95">
        <f>3150-3150</f>
        <v>0</v>
      </c>
    </row>
    <row r="22" spans="1:29" ht="89.45" customHeight="1" outlineLevel="1" x14ac:dyDescent="0.2">
      <c r="A22" s="90" t="s">
        <v>1120</v>
      </c>
      <c r="B22" s="91" t="s">
        <v>85</v>
      </c>
      <c r="C22" s="92">
        <f t="shared" si="1"/>
        <v>0</v>
      </c>
      <c r="D22" s="93">
        <f t="shared" si="2"/>
        <v>0</v>
      </c>
      <c r="E22" s="92">
        <v>0</v>
      </c>
      <c r="F22" s="93">
        <v>0</v>
      </c>
      <c r="G22" s="93">
        <v>0</v>
      </c>
      <c r="H22" s="93">
        <v>0</v>
      </c>
      <c r="I22" s="93">
        <v>0</v>
      </c>
      <c r="J22" s="92">
        <v>0</v>
      </c>
      <c r="K22" s="93">
        <v>0</v>
      </c>
      <c r="L22" s="93">
        <v>0</v>
      </c>
      <c r="M22" s="95">
        <v>0</v>
      </c>
      <c r="N22" s="95">
        <v>0</v>
      </c>
      <c r="O22" s="94">
        <f>P22+Q22+R22+S22</f>
        <v>0</v>
      </c>
      <c r="P22" s="95">
        <v>0</v>
      </c>
      <c r="Q22" s="95">
        <v>0</v>
      </c>
      <c r="R22" s="95">
        <v>0</v>
      </c>
      <c r="S22" s="95">
        <v>0</v>
      </c>
      <c r="T22" s="94">
        <v>0</v>
      </c>
      <c r="U22" s="96">
        <f t="shared" si="6"/>
        <v>0</v>
      </c>
      <c r="V22" s="96">
        <v>0</v>
      </c>
      <c r="W22" s="96">
        <v>0</v>
      </c>
      <c r="X22" s="96">
        <v>0</v>
      </c>
      <c r="Y22" s="78">
        <v>0</v>
      </c>
      <c r="Z22" s="95">
        <f>AA22+AB22+AC22</f>
        <v>0</v>
      </c>
      <c r="AA22" s="95">
        <v>0</v>
      </c>
      <c r="AB22" s="95">
        <v>0</v>
      </c>
      <c r="AC22" s="95">
        <f>1100-1100</f>
        <v>0</v>
      </c>
    </row>
    <row r="23" spans="1:29" s="21" customFormat="1" ht="90" customHeight="1" x14ac:dyDescent="0.2">
      <c r="A23" s="86" t="s">
        <v>1121</v>
      </c>
      <c r="B23" s="97" t="s">
        <v>39</v>
      </c>
      <c r="C23" s="88">
        <f>E23+J23+O23++T23+Y23</f>
        <v>0.9</v>
      </c>
      <c r="D23" s="89">
        <f t="shared" si="2"/>
        <v>509</v>
      </c>
      <c r="E23" s="88">
        <f t="shared" ref="E23:N23" si="7">E24+E25+E26</f>
        <v>0</v>
      </c>
      <c r="F23" s="89">
        <f t="shared" si="7"/>
        <v>0</v>
      </c>
      <c r="G23" s="89">
        <f t="shared" si="7"/>
        <v>0</v>
      </c>
      <c r="H23" s="89">
        <f t="shared" si="7"/>
        <v>0</v>
      </c>
      <c r="I23" s="89">
        <f t="shared" si="7"/>
        <v>0</v>
      </c>
      <c r="J23" s="88">
        <f t="shared" si="7"/>
        <v>0</v>
      </c>
      <c r="K23" s="89">
        <f t="shared" si="7"/>
        <v>0</v>
      </c>
      <c r="L23" s="89">
        <f t="shared" si="7"/>
        <v>0</v>
      </c>
      <c r="M23" s="89">
        <f t="shared" si="7"/>
        <v>0</v>
      </c>
      <c r="N23" s="89">
        <f t="shared" si="7"/>
        <v>0</v>
      </c>
      <c r="O23" s="88">
        <f>O24+O25+O26</f>
        <v>0.9</v>
      </c>
      <c r="P23" s="89">
        <f t="shared" ref="P23:AC23" si="8">P24+P25+P26</f>
        <v>509</v>
      </c>
      <c r="Q23" s="89">
        <f t="shared" si="8"/>
        <v>0</v>
      </c>
      <c r="R23" s="89">
        <f t="shared" si="8"/>
        <v>0</v>
      </c>
      <c r="S23" s="89">
        <f t="shared" si="8"/>
        <v>509</v>
      </c>
      <c r="T23" s="88">
        <f t="shared" si="8"/>
        <v>0</v>
      </c>
      <c r="U23" s="89">
        <f t="shared" si="8"/>
        <v>0</v>
      </c>
      <c r="V23" s="89">
        <f t="shared" si="8"/>
        <v>0</v>
      </c>
      <c r="W23" s="89">
        <f t="shared" si="8"/>
        <v>0</v>
      </c>
      <c r="X23" s="89">
        <f t="shared" si="8"/>
        <v>0</v>
      </c>
      <c r="Y23" s="88">
        <f t="shared" si="8"/>
        <v>0</v>
      </c>
      <c r="Z23" s="89">
        <f t="shared" si="8"/>
        <v>0</v>
      </c>
      <c r="AA23" s="89">
        <f t="shared" si="8"/>
        <v>0</v>
      </c>
      <c r="AB23" s="89">
        <f t="shared" si="8"/>
        <v>0</v>
      </c>
      <c r="AC23" s="89">
        <f t="shared" si="8"/>
        <v>0</v>
      </c>
    </row>
    <row r="24" spans="1:29" ht="75.599999999999994" customHeight="1" outlineLevel="1" x14ac:dyDescent="0.2">
      <c r="A24" s="90" t="s">
        <v>1122</v>
      </c>
      <c r="B24" s="98" t="s">
        <v>39</v>
      </c>
      <c r="C24" s="92">
        <f>E24+J24+O24+T24+Y24</f>
        <v>0.9</v>
      </c>
      <c r="D24" s="93">
        <f t="shared" si="2"/>
        <v>509</v>
      </c>
      <c r="E24" s="92">
        <v>0</v>
      </c>
      <c r="F24" s="93">
        <v>0</v>
      </c>
      <c r="G24" s="93">
        <v>0</v>
      </c>
      <c r="H24" s="93">
        <v>0</v>
      </c>
      <c r="I24" s="93">
        <v>0</v>
      </c>
      <c r="J24" s="92">
        <v>0</v>
      </c>
      <c r="K24" s="93">
        <f>L24+M24+N24</f>
        <v>0</v>
      </c>
      <c r="L24" s="93">
        <v>0</v>
      </c>
      <c r="M24" s="95">
        <f>ROUND(7389.22*0.959,1)-7086.3</f>
        <v>0</v>
      </c>
      <c r="N24" s="95">
        <f>474-474</f>
        <v>0</v>
      </c>
      <c r="O24" s="94">
        <v>0.9</v>
      </c>
      <c r="P24" s="95">
        <f>Q24+R24+S24</f>
        <v>509</v>
      </c>
      <c r="Q24" s="95">
        <v>0</v>
      </c>
      <c r="R24" s="95">
        <v>0</v>
      </c>
      <c r="S24" s="95">
        <v>509</v>
      </c>
      <c r="T24" s="94">
        <v>0</v>
      </c>
      <c r="U24" s="96">
        <v>0</v>
      </c>
      <c r="V24" s="96">
        <v>0</v>
      </c>
      <c r="W24" s="96">
        <v>0</v>
      </c>
      <c r="X24" s="96">
        <v>0</v>
      </c>
      <c r="Y24" s="78">
        <v>0</v>
      </c>
      <c r="Z24" s="95">
        <v>0</v>
      </c>
      <c r="AA24" s="95">
        <v>0</v>
      </c>
      <c r="AB24" s="95">
        <v>0</v>
      </c>
      <c r="AC24" s="95">
        <v>0</v>
      </c>
    </row>
    <row r="25" spans="1:29" ht="89.25" customHeight="1" outlineLevel="1" x14ac:dyDescent="0.2">
      <c r="A25" s="90" t="s">
        <v>1123</v>
      </c>
      <c r="B25" s="98" t="s">
        <v>40</v>
      </c>
      <c r="C25" s="92">
        <f>E25+J25+O25+T25+Y25</f>
        <v>0</v>
      </c>
      <c r="D25" s="93">
        <f t="shared" si="2"/>
        <v>0</v>
      </c>
      <c r="E25" s="92">
        <v>0</v>
      </c>
      <c r="F25" s="93">
        <v>0</v>
      </c>
      <c r="G25" s="93">
        <v>0</v>
      </c>
      <c r="H25" s="93">
        <v>0</v>
      </c>
      <c r="I25" s="93">
        <v>0</v>
      </c>
      <c r="J25" s="92">
        <v>0</v>
      </c>
      <c r="K25" s="93">
        <f t="shared" ref="K25:K26" si="9">L25+M25+N25</f>
        <v>0</v>
      </c>
      <c r="L25" s="93">
        <v>0</v>
      </c>
      <c r="M25" s="95">
        <v>0</v>
      </c>
      <c r="N25" s="95">
        <f>175-53-122</f>
        <v>0</v>
      </c>
      <c r="O25" s="94">
        <v>0</v>
      </c>
      <c r="P25" s="95">
        <f>S25</f>
        <v>0</v>
      </c>
      <c r="Q25" s="95">
        <v>0</v>
      </c>
      <c r="R25" s="95">
        <v>0</v>
      </c>
      <c r="S25" s="95">
        <v>0</v>
      </c>
      <c r="T25" s="94">
        <v>0</v>
      </c>
      <c r="U25" s="96">
        <f t="shared" ref="U25:U26" si="10">V25+W25+X25</f>
        <v>0</v>
      </c>
      <c r="V25" s="96">
        <v>0</v>
      </c>
      <c r="W25" s="96">
        <v>0</v>
      </c>
      <c r="X25" s="96">
        <v>0</v>
      </c>
      <c r="Y25" s="78">
        <v>0</v>
      </c>
      <c r="Z25" s="95">
        <v>0</v>
      </c>
      <c r="AA25" s="95">
        <v>0</v>
      </c>
      <c r="AB25" s="95">
        <v>0</v>
      </c>
      <c r="AC25" s="95">
        <v>0</v>
      </c>
    </row>
    <row r="26" spans="1:29" ht="85.5" customHeight="1" outlineLevel="1" x14ac:dyDescent="0.2">
      <c r="A26" s="90" t="s">
        <v>1124</v>
      </c>
      <c r="B26" s="98" t="s">
        <v>86</v>
      </c>
      <c r="C26" s="92">
        <f>E26+J26+O26+T26+Y26</f>
        <v>0</v>
      </c>
      <c r="D26" s="93">
        <f t="shared" si="2"/>
        <v>0</v>
      </c>
      <c r="E26" s="92">
        <v>0</v>
      </c>
      <c r="F26" s="93">
        <v>0</v>
      </c>
      <c r="G26" s="93">
        <v>0</v>
      </c>
      <c r="H26" s="93">
        <v>0</v>
      </c>
      <c r="I26" s="93">
        <v>0</v>
      </c>
      <c r="J26" s="92">
        <v>0</v>
      </c>
      <c r="K26" s="93">
        <f t="shared" si="9"/>
        <v>0</v>
      </c>
      <c r="L26" s="93">
        <v>0</v>
      </c>
      <c r="M26" s="95">
        <v>0</v>
      </c>
      <c r="N26" s="95">
        <f>16-16</f>
        <v>0</v>
      </c>
      <c r="O26" s="94">
        <v>0</v>
      </c>
      <c r="P26" s="95">
        <f>S26</f>
        <v>0</v>
      </c>
      <c r="Q26" s="95">
        <v>0</v>
      </c>
      <c r="R26" s="95">
        <v>0</v>
      </c>
      <c r="S26" s="95">
        <v>0</v>
      </c>
      <c r="T26" s="94">
        <v>0</v>
      </c>
      <c r="U26" s="96">
        <f t="shared" si="10"/>
        <v>0</v>
      </c>
      <c r="V26" s="96">
        <v>0</v>
      </c>
      <c r="W26" s="96">
        <v>0</v>
      </c>
      <c r="X26" s="96">
        <v>0</v>
      </c>
      <c r="Y26" s="78">
        <v>0</v>
      </c>
      <c r="Z26" s="95">
        <v>0</v>
      </c>
      <c r="AA26" s="95">
        <v>0</v>
      </c>
      <c r="AB26" s="95">
        <v>0</v>
      </c>
      <c r="AC26" s="95">
        <v>0</v>
      </c>
    </row>
    <row r="27" spans="1:29" ht="83.45" customHeight="1" x14ac:dyDescent="0.2">
      <c r="A27" s="86" t="s">
        <v>1125</v>
      </c>
      <c r="B27" s="97" t="s">
        <v>87</v>
      </c>
      <c r="C27" s="88">
        <f>C28+C29+C30</f>
        <v>0</v>
      </c>
      <c r="D27" s="89">
        <f t="shared" ref="D27:K27" si="11">D28+D29+D30</f>
        <v>0</v>
      </c>
      <c r="E27" s="88">
        <f t="shared" si="11"/>
        <v>0</v>
      </c>
      <c r="F27" s="89">
        <f t="shared" si="11"/>
        <v>0</v>
      </c>
      <c r="G27" s="89">
        <f t="shared" si="11"/>
        <v>0</v>
      </c>
      <c r="H27" s="89">
        <f t="shared" si="11"/>
        <v>0</v>
      </c>
      <c r="I27" s="89">
        <f t="shared" si="11"/>
        <v>0</v>
      </c>
      <c r="J27" s="88">
        <f t="shared" si="11"/>
        <v>0</v>
      </c>
      <c r="K27" s="89">
        <f t="shared" si="11"/>
        <v>0</v>
      </c>
      <c r="L27" s="89">
        <f>L28+L29+L30</f>
        <v>0</v>
      </c>
      <c r="M27" s="89">
        <f>M28+M29+M30</f>
        <v>0</v>
      </c>
      <c r="N27" s="89">
        <v>0</v>
      </c>
      <c r="O27" s="88">
        <f t="shared" ref="O27:AA27" si="12">O28+O29+O30</f>
        <v>0</v>
      </c>
      <c r="P27" s="89">
        <f t="shared" si="12"/>
        <v>0</v>
      </c>
      <c r="Q27" s="89">
        <f t="shared" si="12"/>
        <v>0</v>
      </c>
      <c r="R27" s="89">
        <f t="shared" si="12"/>
        <v>0</v>
      </c>
      <c r="S27" s="89">
        <f t="shared" si="12"/>
        <v>0</v>
      </c>
      <c r="T27" s="88">
        <f t="shared" si="12"/>
        <v>0</v>
      </c>
      <c r="U27" s="89">
        <f>U28+U29+U30</f>
        <v>0</v>
      </c>
      <c r="V27" s="89">
        <f t="shared" si="12"/>
        <v>0</v>
      </c>
      <c r="W27" s="89">
        <f>W28+W29+W30</f>
        <v>0</v>
      </c>
      <c r="X27" s="89">
        <f>X28+X29+X30</f>
        <v>0</v>
      </c>
      <c r="Y27" s="88">
        <f t="shared" si="12"/>
        <v>0</v>
      </c>
      <c r="Z27" s="89">
        <f>Z28+Z29+Z30</f>
        <v>0</v>
      </c>
      <c r="AA27" s="89">
        <f t="shared" si="12"/>
        <v>0</v>
      </c>
      <c r="AB27" s="89">
        <f>AB28+AB29+AB30</f>
        <v>0</v>
      </c>
      <c r="AC27" s="89">
        <f>AC28+AC29+AC30</f>
        <v>0</v>
      </c>
    </row>
    <row r="28" spans="1:29" ht="81" customHeight="1" outlineLevel="1" x14ac:dyDescent="0.2">
      <c r="A28" s="90" t="s">
        <v>1126</v>
      </c>
      <c r="B28" s="98" t="s">
        <v>87</v>
      </c>
      <c r="C28" s="92">
        <f t="shared" ref="C28:C34" si="13">E28+J28+O28+T28+Y28</f>
        <v>0</v>
      </c>
      <c r="D28" s="93">
        <f t="shared" si="2"/>
        <v>0</v>
      </c>
      <c r="E28" s="92">
        <v>0</v>
      </c>
      <c r="F28" s="93">
        <v>0</v>
      </c>
      <c r="G28" s="93">
        <v>0</v>
      </c>
      <c r="H28" s="93">
        <v>0</v>
      </c>
      <c r="I28" s="93">
        <v>0</v>
      </c>
      <c r="J28" s="92">
        <v>0</v>
      </c>
      <c r="K28" s="93">
        <f t="shared" si="5"/>
        <v>0</v>
      </c>
      <c r="L28" s="93">
        <v>0</v>
      </c>
      <c r="M28" s="93">
        <f>ROUND(27438.82*0.959,1)-26313.8</f>
        <v>0</v>
      </c>
      <c r="N28" s="93">
        <v>0</v>
      </c>
      <c r="O28" s="92">
        <v>0</v>
      </c>
      <c r="P28" s="93">
        <v>0</v>
      </c>
      <c r="Q28" s="93">
        <v>0</v>
      </c>
      <c r="R28" s="95">
        <v>0</v>
      </c>
      <c r="S28" s="95">
        <v>0</v>
      </c>
      <c r="T28" s="94">
        <v>0</v>
      </c>
      <c r="U28" s="93">
        <f>V28+W28+X28</f>
        <v>0</v>
      </c>
      <c r="V28" s="93">
        <v>0</v>
      </c>
      <c r="W28" s="95">
        <v>0</v>
      </c>
      <c r="X28" s="95">
        <v>0</v>
      </c>
      <c r="Y28" s="94">
        <v>0</v>
      </c>
      <c r="Z28" s="93">
        <f>AA28+AB28+AC28</f>
        <v>0</v>
      </c>
      <c r="AA28" s="95">
        <v>0</v>
      </c>
      <c r="AB28" s="95">
        <v>0</v>
      </c>
      <c r="AC28" s="95">
        <v>0</v>
      </c>
    </row>
    <row r="29" spans="1:29" ht="105.6" customHeight="1" outlineLevel="1" x14ac:dyDescent="0.2">
      <c r="A29" s="90" t="s">
        <v>1127</v>
      </c>
      <c r="B29" s="98" t="s">
        <v>88</v>
      </c>
      <c r="C29" s="92">
        <f t="shared" si="13"/>
        <v>0</v>
      </c>
      <c r="D29" s="93">
        <f t="shared" si="2"/>
        <v>0</v>
      </c>
      <c r="E29" s="92">
        <v>0</v>
      </c>
      <c r="F29" s="93">
        <v>0</v>
      </c>
      <c r="G29" s="93">
        <v>0</v>
      </c>
      <c r="H29" s="93">
        <v>0</v>
      </c>
      <c r="I29" s="93">
        <v>0</v>
      </c>
      <c r="J29" s="92">
        <v>0</v>
      </c>
      <c r="K29" s="93">
        <f t="shared" si="5"/>
        <v>0</v>
      </c>
      <c r="L29" s="93">
        <v>0</v>
      </c>
      <c r="M29" s="93">
        <v>0</v>
      </c>
      <c r="N29" s="93">
        <v>0</v>
      </c>
      <c r="O29" s="92">
        <v>0</v>
      </c>
      <c r="P29" s="93">
        <f>S29</f>
        <v>0</v>
      </c>
      <c r="Q29" s="93">
        <v>0</v>
      </c>
      <c r="R29" s="95">
        <v>0</v>
      </c>
      <c r="S29" s="95">
        <v>0</v>
      </c>
      <c r="T29" s="94">
        <v>0</v>
      </c>
      <c r="U29" s="93">
        <f t="shared" ref="U29:U30" si="14">V29+W29+X29</f>
        <v>0</v>
      </c>
      <c r="V29" s="93">
        <v>0</v>
      </c>
      <c r="W29" s="95">
        <v>0</v>
      </c>
      <c r="X29" s="95">
        <v>0</v>
      </c>
      <c r="Y29" s="94">
        <v>0</v>
      </c>
      <c r="Z29" s="93">
        <f>AA29+AB29+AC29</f>
        <v>0</v>
      </c>
      <c r="AA29" s="95">
        <v>0</v>
      </c>
      <c r="AB29" s="95">
        <v>0</v>
      </c>
      <c r="AC29" s="95">
        <v>0</v>
      </c>
    </row>
    <row r="30" spans="1:29" ht="105.6" customHeight="1" outlineLevel="1" x14ac:dyDescent="0.2">
      <c r="A30" s="90" t="s">
        <v>1128</v>
      </c>
      <c r="B30" s="98" t="s">
        <v>409</v>
      </c>
      <c r="C30" s="92">
        <v>0</v>
      </c>
      <c r="D30" s="93">
        <f t="shared" si="2"/>
        <v>0</v>
      </c>
      <c r="E30" s="92">
        <v>0</v>
      </c>
      <c r="F30" s="93">
        <v>0</v>
      </c>
      <c r="G30" s="93">
        <v>0</v>
      </c>
      <c r="H30" s="93">
        <v>0</v>
      </c>
      <c r="I30" s="93">
        <v>0</v>
      </c>
      <c r="J30" s="92">
        <v>0</v>
      </c>
      <c r="K30" s="93">
        <v>0</v>
      </c>
      <c r="L30" s="93">
        <v>0</v>
      </c>
      <c r="M30" s="93">
        <v>0</v>
      </c>
      <c r="N30" s="93">
        <v>0</v>
      </c>
      <c r="O30" s="92">
        <v>0</v>
      </c>
      <c r="P30" s="93">
        <f>S30</f>
        <v>0</v>
      </c>
      <c r="Q30" s="93">
        <v>0</v>
      </c>
      <c r="R30" s="95">
        <v>0</v>
      </c>
      <c r="S30" s="95">
        <v>0</v>
      </c>
      <c r="T30" s="94">
        <v>0</v>
      </c>
      <c r="U30" s="93">
        <f t="shared" si="14"/>
        <v>0</v>
      </c>
      <c r="V30" s="93">
        <v>0</v>
      </c>
      <c r="W30" s="95">
        <v>0</v>
      </c>
      <c r="X30" s="95">
        <v>0</v>
      </c>
      <c r="Y30" s="94">
        <v>0</v>
      </c>
      <c r="Z30" s="93">
        <f>AA30+AB30+AC30</f>
        <v>0</v>
      </c>
      <c r="AA30" s="95">
        <v>0</v>
      </c>
      <c r="AB30" s="95">
        <v>0</v>
      </c>
      <c r="AC30" s="95">
        <v>0</v>
      </c>
    </row>
    <row r="31" spans="1:29" ht="64.150000000000006" customHeight="1" x14ac:dyDescent="0.2">
      <c r="A31" s="86" t="s">
        <v>1129</v>
      </c>
      <c r="B31" s="97" t="s">
        <v>42</v>
      </c>
      <c r="C31" s="88">
        <f t="shared" si="13"/>
        <v>0</v>
      </c>
      <c r="D31" s="89">
        <f t="shared" si="2"/>
        <v>0</v>
      </c>
      <c r="E31" s="88">
        <f>E32+E33+E34</f>
        <v>0</v>
      </c>
      <c r="F31" s="89">
        <f>F32+F33+F34</f>
        <v>0</v>
      </c>
      <c r="G31" s="89">
        <f t="shared" ref="G31:N31" si="15">G32+G33+G34</f>
        <v>0</v>
      </c>
      <c r="H31" s="89">
        <f t="shared" si="15"/>
        <v>0</v>
      </c>
      <c r="I31" s="89">
        <f t="shared" si="15"/>
        <v>0</v>
      </c>
      <c r="J31" s="88">
        <f t="shared" si="15"/>
        <v>0</v>
      </c>
      <c r="K31" s="89">
        <f t="shared" si="5"/>
        <v>0</v>
      </c>
      <c r="L31" s="89">
        <f>L32+L33+L34</f>
        <v>0</v>
      </c>
      <c r="M31" s="89">
        <f t="shared" si="15"/>
        <v>0</v>
      </c>
      <c r="N31" s="89">
        <f t="shared" si="15"/>
        <v>0</v>
      </c>
      <c r="O31" s="88">
        <v>0</v>
      </c>
      <c r="P31" s="89">
        <f t="shared" ref="P31:AA31" si="16">P32+P33+P34</f>
        <v>0</v>
      </c>
      <c r="Q31" s="89">
        <f t="shared" si="16"/>
        <v>0</v>
      </c>
      <c r="R31" s="89">
        <f t="shared" si="16"/>
        <v>0</v>
      </c>
      <c r="S31" s="89">
        <f t="shared" si="16"/>
        <v>0</v>
      </c>
      <c r="T31" s="88">
        <f t="shared" si="16"/>
        <v>0</v>
      </c>
      <c r="U31" s="89">
        <f>U32+U33+U34</f>
        <v>0</v>
      </c>
      <c r="V31" s="89">
        <f t="shared" si="16"/>
        <v>0</v>
      </c>
      <c r="W31" s="89">
        <v>0</v>
      </c>
      <c r="X31" s="89">
        <v>0</v>
      </c>
      <c r="Y31" s="88">
        <f t="shared" si="16"/>
        <v>0</v>
      </c>
      <c r="Z31" s="89">
        <f>Z32+Z33+Z34</f>
        <v>0</v>
      </c>
      <c r="AA31" s="89">
        <f t="shared" si="16"/>
        <v>0</v>
      </c>
      <c r="AB31" s="89">
        <f>AB32+AB33+AB34</f>
        <v>0</v>
      </c>
      <c r="AC31" s="89">
        <f>AC32+AC33+AC34</f>
        <v>0</v>
      </c>
    </row>
    <row r="32" spans="1:29" ht="63.75" customHeight="1" outlineLevel="1" x14ac:dyDescent="0.2">
      <c r="A32" s="90" t="s">
        <v>1130</v>
      </c>
      <c r="B32" s="98" t="s">
        <v>42</v>
      </c>
      <c r="C32" s="92">
        <f t="shared" si="13"/>
        <v>0</v>
      </c>
      <c r="D32" s="93">
        <f t="shared" si="2"/>
        <v>0</v>
      </c>
      <c r="E32" s="92">
        <v>0</v>
      </c>
      <c r="F32" s="93">
        <v>0</v>
      </c>
      <c r="G32" s="93">
        <v>0</v>
      </c>
      <c r="H32" s="93">
        <v>0</v>
      </c>
      <c r="I32" s="93">
        <v>0</v>
      </c>
      <c r="J32" s="92">
        <v>0</v>
      </c>
      <c r="K32" s="93">
        <f t="shared" si="5"/>
        <v>0</v>
      </c>
      <c r="L32" s="93">
        <v>0</v>
      </c>
      <c r="M32" s="93">
        <v>0</v>
      </c>
      <c r="N32" s="95">
        <v>0</v>
      </c>
      <c r="O32" s="92">
        <v>0</v>
      </c>
      <c r="P32" s="93">
        <v>0</v>
      </c>
      <c r="Q32" s="93">
        <v>0</v>
      </c>
      <c r="R32" s="95">
        <v>0</v>
      </c>
      <c r="S32" s="95">
        <v>0</v>
      </c>
      <c r="T32" s="94">
        <v>0</v>
      </c>
      <c r="U32" s="93">
        <v>0</v>
      </c>
      <c r="V32" s="93">
        <v>0</v>
      </c>
      <c r="W32" s="93">
        <v>0</v>
      </c>
      <c r="X32" s="93">
        <v>0</v>
      </c>
      <c r="Y32" s="94">
        <v>0</v>
      </c>
      <c r="Z32" s="93">
        <f>AA32+AB32+AC32</f>
        <v>0</v>
      </c>
      <c r="AA32" s="95">
        <v>0</v>
      </c>
      <c r="AB32" s="95">
        <v>0</v>
      </c>
      <c r="AC32" s="95">
        <v>0</v>
      </c>
    </row>
    <row r="33" spans="1:29" ht="87.75" customHeight="1" outlineLevel="1" x14ac:dyDescent="0.2">
      <c r="A33" s="90" t="s">
        <v>1131</v>
      </c>
      <c r="B33" s="98" t="s">
        <v>43</v>
      </c>
      <c r="C33" s="92">
        <f t="shared" si="13"/>
        <v>0</v>
      </c>
      <c r="D33" s="93">
        <f t="shared" si="2"/>
        <v>0</v>
      </c>
      <c r="E33" s="92">
        <v>0</v>
      </c>
      <c r="F33" s="93">
        <v>0</v>
      </c>
      <c r="G33" s="93">
        <v>0</v>
      </c>
      <c r="H33" s="93">
        <v>0</v>
      </c>
      <c r="I33" s="93">
        <v>0</v>
      </c>
      <c r="J33" s="92">
        <v>0</v>
      </c>
      <c r="K33" s="93">
        <f t="shared" si="5"/>
        <v>0</v>
      </c>
      <c r="L33" s="93">
        <v>0</v>
      </c>
      <c r="M33" s="93">
        <v>0</v>
      </c>
      <c r="N33" s="95">
        <v>0</v>
      </c>
      <c r="O33" s="92">
        <v>0</v>
      </c>
      <c r="P33" s="93">
        <f>Q33+R33+S33</f>
        <v>0</v>
      </c>
      <c r="Q33" s="93">
        <v>0</v>
      </c>
      <c r="R33" s="95">
        <v>0</v>
      </c>
      <c r="S33" s="95">
        <v>0</v>
      </c>
      <c r="T33" s="94">
        <v>0</v>
      </c>
      <c r="U33" s="93">
        <v>0</v>
      </c>
      <c r="V33" s="93">
        <v>0</v>
      </c>
      <c r="W33" s="93">
        <v>0</v>
      </c>
      <c r="X33" s="93">
        <v>0</v>
      </c>
      <c r="Y33" s="94">
        <v>0</v>
      </c>
      <c r="Z33" s="93">
        <f t="shared" ref="Z33:Z34" si="17">AA33+AB33+AC33</f>
        <v>0</v>
      </c>
      <c r="AA33" s="95">
        <v>0</v>
      </c>
      <c r="AB33" s="95">
        <v>0</v>
      </c>
      <c r="AC33" s="95">
        <v>0</v>
      </c>
    </row>
    <row r="34" spans="1:29" ht="86.25" customHeight="1" outlineLevel="1" x14ac:dyDescent="0.2">
      <c r="A34" s="90" t="s">
        <v>1132</v>
      </c>
      <c r="B34" s="98" t="s">
        <v>44</v>
      </c>
      <c r="C34" s="92">
        <f t="shared" si="13"/>
        <v>0</v>
      </c>
      <c r="D34" s="93">
        <f t="shared" si="2"/>
        <v>0</v>
      </c>
      <c r="E34" s="92">
        <v>0</v>
      </c>
      <c r="F34" s="93">
        <v>0</v>
      </c>
      <c r="G34" s="93">
        <v>0</v>
      </c>
      <c r="H34" s="93">
        <v>0</v>
      </c>
      <c r="I34" s="93">
        <v>0</v>
      </c>
      <c r="J34" s="92">
        <v>0</v>
      </c>
      <c r="K34" s="93">
        <f t="shared" si="5"/>
        <v>0</v>
      </c>
      <c r="L34" s="93">
        <v>0</v>
      </c>
      <c r="M34" s="93">
        <v>0</v>
      </c>
      <c r="N34" s="95">
        <v>0</v>
      </c>
      <c r="O34" s="92">
        <v>0</v>
      </c>
      <c r="P34" s="93">
        <f>Q34+R34+S34</f>
        <v>0</v>
      </c>
      <c r="Q34" s="93">
        <v>0</v>
      </c>
      <c r="R34" s="95">
        <v>0</v>
      </c>
      <c r="S34" s="95">
        <v>0</v>
      </c>
      <c r="T34" s="94">
        <v>0</v>
      </c>
      <c r="U34" s="93">
        <v>0</v>
      </c>
      <c r="V34" s="93">
        <v>0</v>
      </c>
      <c r="W34" s="93">
        <v>0</v>
      </c>
      <c r="X34" s="93">
        <v>0</v>
      </c>
      <c r="Y34" s="94">
        <v>0</v>
      </c>
      <c r="Z34" s="93">
        <f t="shared" si="17"/>
        <v>0</v>
      </c>
      <c r="AA34" s="95">
        <v>0</v>
      </c>
      <c r="AB34" s="95">
        <v>0</v>
      </c>
      <c r="AC34" s="95">
        <v>0</v>
      </c>
    </row>
    <row r="35" spans="1:29" ht="51" customHeight="1" x14ac:dyDescent="0.2">
      <c r="A35" s="86" t="s">
        <v>1133</v>
      </c>
      <c r="B35" s="97" t="s">
        <v>79</v>
      </c>
      <c r="C35" s="88">
        <f>E35+J35+O35+T35+Y35</f>
        <v>0</v>
      </c>
      <c r="D35" s="89">
        <f t="shared" si="2"/>
        <v>0</v>
      </c>
      <c r="E35" s="88">
        <f>E36+E37+E38</f>
        <v>0</v>
      </c>
      <c r="F35" s="89">
        <f t="shared" ref="F35:AC35" si="18">F36+F37+F38</f>
        <v>0</v>
      </c>
      <c r="G35" s="89">
        <f t="shared" si="18"/>
        <v>0</v>
      </c>
      <c r="H35" s="89">
        <f t="shared" si="18"/>
        <v>0</v>
      </c>
      <c r="I35" s="89">
        <f t="shared" si="18"/>
        <v>0</v>
      </c>
      <c r="J35" s="88">
        <f t="shared" si="18"/>
        <v>0</v>
      </c>
      <c r="K35" s="89">
        <f t="shared" si="5"/>
        <v>0</v>
      </c>
      <c r="L35" s="89">
        <f t="shared" si="18"/>
        <v>0</v>
      </c>
      <c r="M35" s="89">
        <f t="shared" si="18"/>
        <v>0</v>
      </c>
      <c r="N35" s="89">
        <f t="shared" si="18"/>
        <v>0</v>
      </c>
      <c r="O35" s="88">
        <f t="shared" si="18"/>
        <v>0</v>
      </c>
      <c r="P35" s="89">
        <f t="shared" si="18"/>
        <v>0</v>
      </c>
      <c r="Q35" s="89">
        <f t="shared" si="18"/>
        <v>0</v>
      </c>
      <c r="R35" s="89">
        <f t="shared" si="18"/>
        <v>0</v>
      </c>
      <c r="S35" s="89">
        <f t="shared" si="18"/>
        <v>0</v>
      </c>
      <c r="T35" s="88">
        <f t="shared" si="18"/>
        <v>0</v>
      </c>
      <c r="U35" s="89">
        <f t="shared" si="18"/>
        <v>0</v>
      </c>
      <c r="V35" s="89">
        <f t="shared" si="18"/>
        <v>0</v>
      </c>
      <c r="W35" s="89">
        <f t="shared" si="18"/>
        <v>0</v>
      </c>
      <c r="X35" s="89">
        <f t="shared" si="18"/>
        <v>0</v>
      </c>
      <c r="Y35" s="88">
        <f t="shared" si="18"/>
        <v>0</v>
      </c>
      <c r="Z35" s="89">
        <f>Z36+Z37+Z38</f>
        <v>0</v>
      </c>
      <c r="AA35" s="89">
        <f t="shared" si="18"/>
        <v>0</v>
      </c>
      <c r="AB35" s="89">
        <f t="shared" si="18"/>
        <v>0</v>
      </c>
      <c r="AC35" s="89">
        <f t="shared" si="18"/>
        <v>0</v>
      </c>
    </row>
    <row r="36" spans="1:29" ht="45.6" customHeight="1" outlineLevel="1" x14ac:dyDescent="0.2">
      <c r="A36" s="90" t="s">
        <v>1134</v>
      </c>
      <c r="B36" s="98" t="s">
        <v>79</v>
      </c>
      <c r="C36" s="92">
        <f>E36+J36+O36+T36+Y36</f>
        <v>0</v>
      </c>
      <c r="D36" s="93">
        <f t="shared" si="2"/>
        <v>0</v>
      </c>
      <c r="E36" s="92">
        <v>0</v>
      </c>
      <c r="F36" s="93">
        <v>0</v>
      </c>
      <c r="G36" s="93">
        <v>0</v>
      </c>
      <c r="H36" s="93">
        <v>0</v>
      </c>
      <c r="I36" s="93">
        <v>0</v>
      </c>
      <c r="J36" s="92">
        <v>0</v>
      </c>
      <c r="K36" s="93">
        <f t="shared" si="5"/>
        <v>0</v>
      </c>
      <c r="L36" s="93">
        <v>0</v>
      </c>
      <c r="M36" s="93">
        <v>0</v>
      </c>
      <c r="N36" s="93">
        <v>0</v>
      </c>
      <c r="O36" s="92">
        <v>0</v>
      </c>
      <c r="P36" s="93">
        <v>0</v>
      </c>
      <c r="Q36" s="93">
        <v>0</v>
      </c>
      <c r="R36" s="95">
        <v>0</v>
      </c>
      <c r="S36" s="95">
        <v>0</v>
      </c>
      <c r="T36" s="94">
        <v>0</v>
      </c>
      <c r="U36" s="93">
        <v>0</v>
      </c>
      <c r="V36" s="93">
        <v>0</v>
      </c>
      <c r="W36" s="95">
        <v>0</v>
      </c>
      <c r="X36" s="95">
        <v>0</v>
      </c>
      <c r="Y36" s="94">
        <v>0</v>
      </c>
      <c r="Z36" s="93">
        <f>AA36+AB36+AC36</f>
        <v>0</v>
      </c>
      <c r="AA36" s="95">
        <v>0</v>
      </c>
      <c r="AB36" s="95">
        <v>0</v>
      </c>
      <c r="AC36" s="95">
        <v>0</v>
      </c>
    </row>
    <row r="37" spans="1:29" ht="69" customHeight="1" outlineLevel="1" x14ac:dyDescent="0.2">
      <c r="A37" s="90" t="s">
        <v>1135</v>
      </c>
      <c r="B37" s="98" t="s">
        <v>80</v>
      </c>
      <c r="C37" s="92">
        <f>E37+J37+O37+T37+Y37</f>
        <v>0</v>
      </c>
      <c r="D37" s="93">
        <f t="shared" si="2"/>
        <v>0</v>
      </c>
      <c r="E37" s="92">
        <v>0</v>
      </c>
      <c r="F37" s="93">
        <v>0</v>
      </c>
      <c r="G37" s="93">
        <v>0</v>
      </c>
      <c r="H37" s="93">
        <v>0</v>
      </c>
      <c r="I37" s="93">
        <v>0</v>
      </c>
      <c r="J37" s="92">
        <v>0</v>
      </c>
      <c r="K37" s="93">
        <f t="shared" si="5"/>
        <v>0</v>
      </c>
      <c r="L37" s="93">
        <v>0</v>
      </c>
      <c r="M37" s="93">
        <v>0</v>
      </c>
      <c r="N37" s="93">
        <v>0</v>
      </c>
      <c r="O37" s="92">
        <v>0</v>
      </c>
      <c r="P37" s="93">
        <v>0</v>
      </c>
      <c r="Q37" s="93">
        <v>0</v>
      </c>
      <c r="R37" s="95">
        <v>0</v>
      </c>
      <c r="S37" s="95">
        <v>0</v>
      </c>
      <c r="T37" s="94">
        <v>0</v>
      </c>
      <c r="U37" s="93">
        <v>0</v>
      </c>
      <c r="V37" s="93">
        <v>0</v>
      </c>
      <c r="W37" s="95">
        <v>0</v>
      </c>
      <c r="X37" s="95">
        <v>0</v>
      </c>
      <c r="Y37" s="94">
        <v>0</v>
      </c>
      <c r="Z37" s="93">
        <f>AA37+AB37+AC37</f>
        <v>0</v>
      </c>
      <c r="AA37" s="95">
        <v>0</v>
      </c>
      <c r="AB37" s="95">
        <v>0</v>
      </c>
      <c r="AC37" s="95">
        <v>0</v>
      </c>
    </row>
    <row r="38" spans="1:29" ht="66.599999999999994" customHeight="1" outlineLevel="1" x14ac:dyDescent="0.2">
      <c r="A38" s="90" t="s">
        <v>1136</v>
      </c>
      <c r="B38" s="98" t="s">
        <v>81</v>
      </c>
      <c r="C38" s="92">
        <f>E38+J38+O38+T38+Y38</f>
        <v>0</v>
      </c>
      <c r="D38" s="93">
        <f t="shared" si="2"/>
        <v>0</v>
      </c>
      <c r="E38" s="92">
        <v>0</v>
      </c>
      <c r="F38" s="93">
        <v>0</v>
      </c>
      <c r="G38" s="93">
        <v>0</v>
      </c>
      <c r="H38" s="93">
        <v>0</v>
      </c>
      <c r="I38" s="93">
        <v>0</v>
      </c>
      <c r="J38" s="92">
        <v>0</v>
      </c>
      <c r="K38" s="93">
        <f t="shared" si="5"/>
        <v>0</v>
      </c>
      <c r="L38" s="93">
        <v>0</v>
      </c>
      <c r="M38" s="93">
        <v>0</v>
      </c>
      <c r="N38" s="93">
        <v>0</v>
      </c>
      <c r="O38" s="92">
        <v>0</v>
      </c>
      <c r="P38" s="93">
        <v>0</v>
      </c>
      <c r="Q38" s="93">
        <v>0</v>
      </c>
      <c r="R38" s="95">
        <v>0</v>
      </c>
      <c r="S38" s="95">
        <v>0</v>
      </c>
      <c r="T38" s="94">
        <v>0</v>
      </c>
      <c r="U38" s="93">
        <v>0</v>
      </c>
      <c r="V38" s="93">
        <v>0</v>
      </c>
      <c r="W38" s="95">
        <v>0</v>
      </c>
      <c r="X38" s="95">
        <v>0</v>
      </c>
      <c r="Y38" s="94">
        <v>0</v>
      </c>
      <c r="Z38" s="93">
        <f>AA38+AB38+AC38</f>
        <v>0</v>
      </c>
      <c r="AA38" s="95">
        <v>0</v>
      </c>
      <c r="AB38" s="95">
        <v>0</v>
      </c>
      <c r="AC38" s="95">
        <v>0</v>
      </c>
    </row>
    <row r="39" spans="1:29" s="21" customFormat="1" ht="39" customHeight="1" outlineLevel="1" x14ac:dyDescent="0.2">
      <c r="A39" s="86" t="s">
        <v>1137</v>
      </c>
      <c r="B39" s="97" t="s">
        <v>573</v>
      </c>
      <c r="C39" s="88">
        <f>C40</f>
        <v>0.96</v>
      </c>
      <c r="D39" s="89">
        <f>D40</f>
        <v>137444</v>
      </c>
      <c r="E39" s="88">
        <f>E40</f>
        <v>0.96</v>
      </c>
      <c r="F39" s="89">
        <f t="shared" ref="F39:AC39" si="19">F40</f>
        <v>87629</v>
      </c>
      <c r="G39" s="89">
        <f>G40</f>
        <v>0</v>
      </c>
      <c r="H39" s="89">
        <f>H40</f>
        <v>83058</v>
      </c>
      <c r="I39" s="89">
        <f t="shared" si="19"/>
        <v>4571</v>
      </c>
      <c r="J39" s="88">
        <f t="shared" si="19"/>
        <v>9.9999999999999811E-3</v>
      </c>
      <c r="K39" s="89">
        <f t="shared" si="19"/>
        <v>291</v>
      </c>
      <c r="L39" s="89">
        <f t="shared" si="19"/>
        <v>0</v>
      </c>
      <c r="M39" s="89">
        <f t="shared" si="19"/>
        <v>0</v>
      </c>
      <c r="N39" s="89">
        <f>N40</f>
        <v>291</v>
      </c>
      <c r="O39" s="88">
        <f t="shared" si="19"/>
        <v>0.21</v>
      </c>
      <c r="P39" s="89">
        <f t="shared" si="19"/>
        <v>49524</v>
      </c>
      <c r="Q39" s="89">
        <f t="shared" si="19"/>
        <v>0</v>
      </c>
      <c r="R39" s="89">
        <f t="shared" si="19"/>
        <v>47048</v>
      </c>
      <c r="S39" s="89">
        <f t="shared" si="19"/>
        <v>2476</v>
      </c>
      <c r="T39" s="88">
        <f t="shared" si="19"/>
        <v>0</v>
      </c>
      <c r="U39" s="89">
        <f t="shared" si="19"/>
        <v>0</v>
      </c>
      <c r="V39" s="89">
        <f t="shared" si="19"/>
        <v>0</v>
      </c>
      <c r="W39" s="89">
        <f t="shared" si="19"/>
        <v>0</v>
      </c>
      <c r="X39" s="89">
        <f t="shared" si="19"/>
        <v>0</v>
      </c>
      <c r="Y39" s="88">
        <f t="shared" si="19"/>
        <v>0</v>
      </c>
      <c r="Z39" s="89">
        <f t="shared" si="19"/>
        <v>0</v>
      </c>
      <c r="AA39" s="89">
        <f t="shared" si="19"/>
        <v>0</v>
      </c>
      <c r="AB39" s="89">
        <f t="shared" si="19"/>
        <v>0</v>
      </c>
      <c r="AC39" s="89">
        <f t="shared" si="19"/>
        <v>0</v>
      </c>
    </row>
    <row r="40" spans="1:29" ht="31.5" customHeight="1" outlineLevel="1" x14ac:dyDescent="0.2">
      <c r="A40" s="90" t="s">
        <v>1138</v>
      </c>
      <c r="B40" s="98" t="s">
        <v>573</v>
      </c>
      <c r="C40" s="92">
        <f>E40</f>
        <v>0.96</v>
      </c>
      <c r="D40" s="93">
        <f>F40+K40+P40+U40+Z40</f>
        <v>137444</v>
      </c>
      <c r="E40" s="92">
        <v>0.96</v>
      </c>
      <c r="F40" s="93">
        <f>G40+H40+I40</f>
        <v>87629</v>
      </c>
      <c r="G40" s="93">
        <v>0</v>
      </c>
      <c r="H40" s="93">
        <v>83058</v>
      </c>
      <c r="I40" s="93">
        <v>4571</v>
      </c>
      <c r="J40" s="92">
        <f>0.21-0.2</f>
        <v>9.9999999999999811E-3</v>
      </c>
      <c r="K40" s="93">
        <f t="shared" ref="K40:K45" si="20">L40+M40+N40</f>
        <v>291</v>
      </c>
      <c r="L40" s="93">
        <v>0</v>
      </c>
      <c r="M40" s="93">
        <f>47204-41693-5511</f>
        <v>0</v>
      </c>
      <c r="N40" s="93">
        <f>2485-2194</f>
        <v>291</v>
      </c>
      <c r="O40" s="92">
        <v>0.21</v>
      </c>
      <c r="P40" s="93">
        <f>Q40+R40+S40</f>
        <v>49524</v>
      </c>
      <c r="Q40" s="93">
        <v>0</v>
      </c>
      <c r="R40" s="95">
        <v>47048</v>
      </c>
      <c r="S40" s="95">
        <v>2476</v>
      </c>
      <c r="T40" s="94">
        <v>0</v>
      </c>
      <c r="U40" s="93">
        <v>0</v>
      </c>
      <c r="V40" s="93">
        <v>0</v>
      </c>
      <c r="W40" s="95">
        <v>0</v>
      </c>
      <c r="X40" s="95">
        <v>0</v>
      </c>
      <c r="Y40" s="94">
        <v>0</v>
      </c>
      <c r="Z40" s="93">
        <v>0</v>
      </c>
      <c r="AA40" s="95">
        <v>0</v>
      </c>
      <c r="AB40" s="95">
        <v>0</v>
      </c>
      <c r="AC40" s="95">
        <v>0</v>
      </c>
    </row>
    <row r="41" spans="1:29" s="21" customFormat="1" ht="71.25" customHeight="1" outlineLevel="1" x14ac:dyDescent="0.2">
      <c r="A41" s="86" t="s">
        <v>1139</v>
      </c>
      <c r="B41" s="97" t="s">
        <v>574</v>
      </c>
      <c r="C41" s="88">
        <f>C42</f>
        <v>1.5</v>
      </c>
      <c r="D41" s="89">
        <f>D42</f>
        <v>174852</v>
      </c>
      <c r="E41" s="88">
        <f t="shared" ref="E41:J41" si="21">E42</f>
        <v>1.5</v>
      </c>
      <c r="F41" s="89">
        <f>F42</f>
        <v>167820</v>
      </c>
      <c r="G41" s="89">
        <f t="shared" si="21"/>
        <v>126793</v>
      </c>
      <c r="H41" s="89">
        <f t="shared" si="21"/>
        <v>38250</v>
      </c>
      <c r="I41" s="89">
        <f t="shared" si="21"/>
        <v>2777</v>
      </c>
      <c r="J41" s="88">
        <f t="shared" si="21"/>
        <v>0</v>
      </c>
      <c r="K41" s="89">
        <f t="shared" si="20"/>
        <v>7032</v>
      </c>
      <c r="L41" s="89">
        <f t="shared" ref="L41:AC41" si="22">L42</f>
        <v>0</v>
      </c>
      <c r="M41" s="89">
        <f t="shared" si="22"/>
        <v>0</v>
      </c>
      <c r="N41" s="89">
        <f t="shared" si="22"/>
        <v>7032</v>
      </c>
      <c r="O41" s="88">
        <f t="shared" si="22"/>
        <v>0</v>
      </c>
      <c r="P41" s="89">
        <f t="shared" si="22"/>
        <v>0</v>
      </c>
      <c r="Q41" s="89">
        <f t="shared" si="22"/>
        <v>0</v>
      </c>
      <c r="R41" s="89">
        <f t="shared" si="22"/>
        <v>0</v>
      </c>
      <c r="S41" s="89">
        <f t="shared" si="22"/>
        <v>0</v>
      </c>
      <c r="T41" s="88">
        <f t="shared" si="22"/>
        <v>0</v>
      </c>
      <c r="U41" s="89">
        <f t="shared" si="22"/>
        <v>0</v>
      </c>
      <c r="V41" s="89">
        <f t="shared" si="22"/>
        <v>0</v>
      </c>
      <c r="W41" s="89">
        <f t="shared" si="22"/>
        <v>0</v>
      </c>
      <c r="X41" s="89">
        <f t="shared" si="22"/>
        <v>0</v>
      </c>
      <c r="Y41" s="88">
        <f t="shared" si="22"/>
        <v>0</v>
      </c>
      <c r="Z41" s="89">
        <f t="shared" si="22"/>
        <v>0</v>
      </c>
      <c r="AA41" s="89">
        <f t="shared" si="22"/>
        <v>0</v>
      </c>
      <c r="AB41" s="89">
        <f t="shared" si="22"/>
        <v>0</v>
      </c>
      <c r="AC41" s="89">
        <f t="shared" si="22"/>
        <v>0</v>
      </c>
    </row>
    <row r="42" spans="1:29" ht="63" customHeight="1" outlineLevel="1" x14ac:dyDescent="0.2">
      <c r="A42" s="90" t="s">
        <v>1140</v>
      </c>
      <c r="B42" s="98" t="s">
        <v>574</v>
      </c>
      <c r="C42" s="92">
        <f>E42</f>
        <v>1.5</v>
      </c>
      <c r="D42" s="93">
        <f>F42+K42+P42+U42+Z42</f>
        <v>174852</v>
      </c>
      <c r="E42" s="92">
        <v>1.5</v>
      </c>
      <c r="F42" s="93">
        <f>G42+H42+I42</f>
        <v>167820</v>
      </c>
      <c r="G42" s="93">
        <v>126793</v>
      </c>
      <c r="H42" s="93">
        <v>38250</v>
      </c>
      <c r="I42" s="93">
        <v>2777</v>
      </c>
      <c r="J42" s="92">
        <v>0</v>
      </c>
      <c r="K42" s="93">
        <f t="shared" si="20"/>
        <v>7032</v>
      </c>
      <c r="L42" s="93">
        <f>L52+L53+L54</f>
        <v>0</v>
      </c>
      <c r="M42" s="93">
        <v>0</v>
      </c>
      <c r="N42" s="93">
        <f>7002+30</f>
        <v>7032</v>
      </c>
      <c r="O42" s="92">
        <v>0</v>
      </c>
      <c r="P42" s="93">
        <v>0</v>
      </c>
      <c r="Q42" s="93">
        <f>Q52+Q53+Q54</f>
        <v>0</v>
      </c>
      <c r="R42" s="95">
        <v>0</v>
      </c>
      <c r="S42" s="95">
        <v>0</v>
      </c>
      <c r="T42" s="94">
        <v>0</v>
      </c>
      <c r="U42" s="93">
        <v>0</v>
      </c>
      <c r="V42" s="93">
        <f>V52+V53+V54</f>
        <v>0</v>
      </c>
      <c r="W42" s="95">
        <v>0</v>
      </c>
      <c r="X42" s="95">
        <v>0</v>
      </c>
      <c r="Y42" s="94">
        <v>0</v>
      </c>
      <c r="Z42" s="93">
        <v>0</v>
      </c>
      <c r="AA42" s="95">
        <f>AA52+AA53+AA54</f>
        <v>0</v>
      </c>
      <c r="AB42" s="95">
        <v>0</v>
      </c>
      <c r="AC42" s="95">
        <v>0</v>
      </c>
    </row>
    <row r="43" spans="1:29" s="21" customFormat="1" ht="43.15" customHeight="1" outlineLevel="1" x14ac:dyDescent="0.2">
      <c r="A43" s="86" t="s">
        <v>1141</v>
      </c>
      <c r="B43" s="97" t="s">
        <v>718</v>
      </c>
      <c r="C43" s="88">
        <f>E43</f>
        <v>0</v>
      </c>
      <c r="D43" s="89">
        <f t="shared" ref="D43:D48" si="23">F43+K43+P43+U43+Z43</f>
        <v>0</v>
      </c>
      <c r="E43" s="88">
        <v>0</v>
      </c>
      <c r="F43" s="89">
        <f>G43+H43+I43</f>
        <v>0</v>
      </c>
      <c r="G43" s="89">
        <v>0</v>
      </c>
      <c r="H43" s="89">
        <v>0</v>
      </c>
      <c r="I43" s="89">
        <v>0</v>
      </c>
      <c r="J43" s="88">
        <v>0</v>
      </c>
      <c r="K43" s="89">
        <f t="shared" si="20"/>
        <v>0</v>
      </c>
      <c r="L43" s="89">
        <f>L53+L54+L55</f>
        <v>0</v>
      </c>
      <c r="M43" s="89">
        <v>0</v>
      </c>
      <c r="N43" s="89">
        <v>0</v>
      </c>
      <c r="O43" s="88">
        <v>0</v>
      </c>
      <c r="P43" s="89">
        <f>Q43+R43+S43</f>
        <v>0</v>
      </c>
      <c r="Q43" s="89">
        <f>Q53+Q54+Q55</f>
        <v>0</v>
      </c>
      <c r="R43" s="99">
        <v>0</v>
      </c>
      <c r="S43" s="99">
        <f>5000-5000</f>
        <v>0</v>
      </c>
      <c r="T43" s="100">
        <v>0</v>
      </c>
      <c r="U43" s="89">
        <f>V43+W43+X43</f>
        <v>0</v>
      </c>
      <c r="V43" s="89">
        <f>V53+V54+V55</f>
        <v>0</v>
      </c>
      <c r="W43" s="99">
        <v>0</v>
      </c>
      <c r="X43" s="99">
        <f>5000-5000</f>
        <v>0</v>
      </c>
      <c r="Y43" s="100">
        <v>0</v>
      </c>
      <c r="Z43" s="89">
        <v>0</v>
      </c>
      <c r="AA43" s="99">
        <f>AA53+AA54+AA55</f>
        <v>0</v>
      </c>
      <c r="AB43" s="99">
        <v>0</v>
      </c>
      <c r="AC43" s="99">
        <v>0</v>
      </c>
    </row>
    <row r="44" spans="1:29" s="21" customFormat="1" ht="132" customHeight="1" outlineLevel="1" x14ac:dyDescent="0.2">
      <c r="A44" s="86" t="s">
        <v>1142</v>
      </c>
      <c r="B44" s="97" t="s">
        <v>613</v>
      </c>
      <c r="C44" s="88">
        <f>E44+J44</f>
        <v>0</v>
      </c>
      <c r="D44" s="89">
        <f t="shared" si="23"/>
        <v>0</v>
      </c>
      <c r="E44" s="88">
        <v>0</v>
      </c>
      <c r="F44" s="89">
        <f>G44+H44+I44</f>
        <v>0</v>
      </c>
      <c r="G44" s="89">
        <v>0</v>
      </c>
      <c r="H44" s="89">
        <v>0</v>
      </c>
      <c r="I44" s="89">
        <v>0</v>
      </c>
      <c r="J44" s="88">
        <v>0</v>
      </c>
      <c r="K44" s="89">
        <f t="shared" si="20"/>
        <v>0</v>
      </c>
      <c r="L44" s="89">
        <v>0</v>
      </c>
      <c r="M44" s="89">
        <v>0</v>
      </c>
      <c r="N44" s="89">
        <v>0</v>
      </c>
      <c r="O44" s="88">
        <v>0</v>
      </c>
      <c r="P44" s="89">
        <f>Q44+R44+S44</f>
        <v>0</v>
      </c>
      <c r="Q44" s="89">
        <v>0</v>
      </c>
      <c r="R44" s="99">
        <v>0</v>
      </c>
      <c r="S44" s="99">
        <v>0</v>
      </c>
      <c r="T44" s="100">
        <v>0</v>
      </c>
      <c r="U44" s="89">
        <v>0</v>
      </c>
      <c r="V44" s="89">
        <v>0</v>
      </c>
      <c r="W44" s="99">
        <v>0</v>
      </c>
      <c r="X44" s="99">
        <v>0</v>
      </c>
      <c r="Y44" s="100">
        <v>0</v>
      </c>
      <c r="Z44" s="89">
        <v>0</v>
      </c>
      <c r="AA44" s="99">
        <v>0</v>
      </c>
      <c r="AB44" s="99">
        <v>0</v>
      </c>
      <c r="AC44" s="99">
        <v>0</v>
      </c>
    </row>
    <row r="45" spans="1:29" s="21" customFormat="1" ht="130.5" customHeight="1" outlineLevel="1" x14ac:dyDescent="0.2">
      <c r="A45" s="86" t="s">
        <v>1143</v>
      </c>
      <c r="B45" s="97" t="s">
        <v>614</v>
      </c>
      <c r="C45" s="88">
        <f>E45+J45</f>
        <v>0</v>
      </c>
      <c r="D45" s="89">
        <f t="shared" si="23"/>
        <v>0</v>
      </c>
      <c r="E45" s="88">
        <v>0</v>
      </c>
      <c r="F45" s="89">
        <f>G45+H45+I45</f>
        <v>0</v>
      </c>
      <c r="G45" s="89">
        <v>0</v>
      </c>
      <c r="H45" s="89">
        <v>0</v>
      </c>
      <c r="I45" s="89">
        <v>0</v>
      </c>
      <c r="J45" s="88">
        <v>0</v>
      </c>
      <c r="K45" s="89">
        <f t="shared" si="20"/>
        <v>0</v>
      </c>
      <c r="L45" s="89">
        <v>0</v>
      </c>
      <c r="M45" s="89">
        <v>0</v>
      </c>
      <c r="N45" s="89">
        <v>0</v>
      </c>
      <c r="O45" s="88">
        <v>0</v>
      </c>
      <c r="P45" s="89">
        <f>Q45+R45+S45</f>
        <v>0</v>
      </c>
      <c r="Q45" s="89">
        <v>0</v>
      </c>
      <c r="R45" s="99">
        <v>0</v>
      </c>
      <c r="S45" s="99">
        <v>0</v>
      </c>
      <c r="T45" s="100">
        <v>0</v>
      </c>
      <c r="U45" s="89">
        <v>0</v>
      </c>
      <c r="V45" s="89">
        <v>0</v>
      </c>
      <c r="W45" s="99">
        <v>0</v>
      </c>
      <c r="X45" s="99">
        <v>0</v>
      </c>
      <c r="Y45" s="100">
        <v>0</v>
      </c>
      <c r="Z45" s="89">
        <v>0</v>
      </c>
      <c r="AA45" s="99">
        <v>0</v>
      </c>
      <c r="AB45" s="99">
        <v>0</v>
      </c>
      <c r="AC45" s="99">
        <v>0</v>
      </c>
    </row>
    <row r="46" spans="1:29" s="21" customFormat="1" ht="57.6" customHeight="1" outlineLevel="1" x14ac:dyDescent="0.2">
      <c r="A46" s="86" t="s">
        <v>1144</v>
      </c>
      <c r="B46" s="97" t="s">
        <v>682</v>
      </c>
      <c r="C46" s="88">
        <f>E46+J46</f>
        <v>0.6</v>
      </c>
      <c r="D46" s="89">
        <f t="shared" si="23"/>
        <v>67025</v>
      </c>
      <c r="E46" s="86">
        <f>E47+E48</f>
        <v>0.6</v>
      </c>
      <c r="F46" s="89">
        <f>F47+F48</f>
        <v>66016</v>
      </c>
      <c r="G46" s="89">
        <f t="shared" ref="G46" si="24">G47+G48</f>
        <v>0</v>
      </c>
      <c r="H46" s="89">
        <f>H47+H48</f>
        <v>60962</v>
      </c>
      <c r="I46" s="89">
        <f>I47+I48</f>
        <v>5054</v>
      </c>
      <c r="J46" s="89">
        <f t="shared" ref="J46:AC46" si="25">J47+J48</f>
        <v>0</v>
      </c>
      <c r="K46" s="89">
        <f>K47+K48+K49</f>
        <v>1009</v>
      </c>
      <c r="L46" s="89">
        <f t="shared" ref="L46:N46" si="26">L47+L48+L49</f>
        <v>0</v>
      </c>
      <c r="M46" s="89">
        <f t="shared" si="26"/>
        <v>0</v>
      </c>
      <c r="N46" s="89">
        <f t="shared" si="26"/>
        <v>1009</v>
      </c>
      <c r="O46" s="89">
        <f t="shared" si="25"/>
        <v>0</v>
      </c>
      <c r="P46" s="89">
        <f t="shared" si="25"/>
        <v>0</v>
      </c>
      <c r="Q46" s="89">
        <f t="shared" si="25"/>
        <v>0</v>
      </c>
      <c r="R46" s="89">
        <f t="shared" si="25"/>
        <v>0</v>
      </c>
      <c r="S46" s="89">
        <f t="shared" si="25"/>
        <v>0</v>
      </c>
      <c r="T46" s="89">
        <f t="shared" si="25"/>
        <v>0</v>
      </c>
      <c r="U46" s="89">
        <f t="shared" si="25"/>
        <v>0</v>
      </c>
      <c r="V46" s="89">
        <f t="shared" si="25"/>
        <v>0</v>
      </c>
      <c r="W46" s="89">
        <f t="shared" si="25"/>
        <v>0</v>
      </c>
      <c r="X46" s="89">
        <f t="shared" si="25"/>
        <v>0</v>
      </c>
      <c r="Y46" s="89">
        <f t="shared" si="25"/>
        <v>0</v>
      </c>
      <c r="Z46" s="89">
        <f>Z47+Z48</f>
        <v>0</v>
      </c>
      <c r="AA46" s="89">
        <f t="shared" si="25"/>
        <v>0</v>
      </c>
      <c r="AB46" s="89">
        <f t="shared" si="25"/>
        <v>0</v>
      </c>
      <c r="AC46" s="89">
        <f t="shared" si="25"/>
        <v>0</v>
      </c>
    </row>
    <row r="47" spans="1:29" ht="54" customHeight="1" outlineLevel="1" x14ac:dyDescent="0.2">
      <c r="A47" s="90" t="s">
        <v>1145</v>
      </c>
      <c r="B47" s="98" t="s">
        <v>682</v>
      </c>
      <c r="C47" s="92">
        <f>E47</f>
        <v>0.6</v>
      </c>
      <c r="D47" s="93">
        <f t="shared" si="23"/>
        <v>64036</v>
      </c>
      <c r="E47" s="92">
        <v>0.6</v>
      </c>
      <c r="F47" s="93">
        <f>G47+H47+I47</f>
        <v>64036</v>
      </c>
      <c r="G47" s="93">
        <v>0</v>
      </c>
      <c r="H47" s="93">
        <v>60962</v>
      </c>
      <c r="I47" s="93">
        <v>3074</v>
      </c>
      <c r="J47" s="92">
        <v>0</v>
      </c>
      <c r="K47" s="93">
        <v>0</v>
      </c>
      <c r="L47" s="93">
        <v>0</v>
      </c>
      <c r="M47" s="93">
        <v>0</v>
      </c>
      <c r="N47" s="93">
        <v>0</v>
      </c>
      <c r="O47" s="92">
        <v>0</v>
      </c>
      <c r="P47" s="93">
        <v>0</v>
      </c>
      <c r="Q47" s="93">
        <v>0</v>
      </c>
      <c r="R47" s="95">
        <v>0</v>
      </c>
      <c r="S47" s="95">
        <v>0</v>
      </c>
      <c r="T47" s="94">
        <v>0</v>
      </c>
      <c r="U47" s="93">
        <v>0</v>
      </c>
      <c r="V47" s="93">
        <v>0</v>
      </c>
      <c r="W47" s="95">
        <v>0</v>
      </c>
      <c r="X47" s="95">
        <v>0</v>
      </c>
      <c r="Y47" s="94">
        <v>0</v>
      </c>
      <c r="Z47" s="93">
        <v>0</v>
      </c>
      <c r="AA47" s="95">
        <v>0</v>
      </c>
      <c r="AB47" s="95">
        <v>0</v>
      </c>
      <c r="AC47" s="95">
        <v>0</v>
      </c>
    </row>
    <row r="48" spans="1:29" ht="79.150000000000006" customHeight="1" outlineLevel="1" x14ac:dyDescent="0.2">
      <c r="A48" s="90" t="s">
        <v>1146</v>
      </c>
      <c r="B48" s="98" t="s">
        <v>715</v>
      </c>
      <c r="C48" s="92">
        <f>E48</f>
        <v>0</v>
      </c>
      <c r="D48" s="93">
        <f t="shared" si="23"/>
        <v>1980</v>
      </c>
      <c r="E48" s="92">
        <v>0</v>
      </c>
      <c r="F48" s="93">
        <f>G48+H48+I48</f>
        <v>1980</v>
      </c>
      <c r="G48" s="93">
        <v>0</v>
      </c>
      <c r="H48" s="93">
        <v>0</v>
      </c>
      <c r="I48" s="93">
        <v>1980</v>
      </c>
      <c r="J48" s="92">
        <v>0</v>
      </c>
      <c r="K48" s="93">
        <v>0</v>
      </c>
      <c r="L48" s="93">
        <v>0</v>
      </c>
      <c r="M48" s="93">
        <v>0</v>
      </c>
      <c r="N48" s="93">
        <v>0</v>
      </c>
      <c r="O48" s="92">
        <v>0</v>
      </c>
      <c r="P48" s="93">
        <v>0</v>
      </c>
      <c r="Q48" s="93">
        <v>0</v>
      </c>
      <c r="R48" s="95">
        <v>0</v>
      </c>
      <c r="S48" s="95">
        <v>0</v>
      </c>
      <c r="T48" s="94">
        <v>0</v>
      </c>
      <c r="U48" s="93">
        <v>0</v>
      </c>
      <c r="V48" s="93">
        <v>0</v>
      </c>
      <c r="W48" s="95">
        <v>0</v>
      </c>
      <c r="X48" s="95">
        <v>0</v>
      </c>
      <c r="Y48" s="94">
        <v>0</v>
      </c>
      <c r="Z48" s="93">
        <v>0</v>
      </c>
      <c r="AA48" s="95">
        <v>0</v>
      </c>
      <c r="AB48" s="95">
        <v>0</v>
      </c>
      <c r="AC48" s="95">
        <v>0</v>
      </c>
    </row>
    <row r="49" spans="1:30" ht="88.5" customHeight="1" outlineLevel="1" x14ac:dyDescent="0.2">
      <c r="A49" s="90" t="s">
        <v>1147</v>
      </c>
      <c r="B49" s="98" t="s">
        <v>979</v>
      </c>
      <c r="C49" s="92">
        <f>E49</f>
        <v>0</v>
      </c>
      <c r="D49" s="93">
        <f t="shared" ref="D49" si="27">F49+K49+P49+U49+Z49</f>
        <v>1009</v>
      </c>
      <c r="E49" s="92">
        <v>0</v>
      </c>
      <c r="F49" s="93">
        <f>G49+H49+I49</f>
        <v>0</v>
      </c>
      <c r="G49" s="93">
        <v>0</v>
      </c>
      <c r="H49" s="93">
        <v>0</v>
      </c>
      <c r="I49" s="93">
        <v>0</v>
      </c>
      <c r="J49" s="92">
        <v>0</v>
      </c>
      <c r="K49" s="93">
        <f>L49+M49+N49</f>
        <v>1009</v>
      </c>
      <c r="L49" s="93">
        <v>0</v>
      </c>
      <c r="M49" s="93">
        <v>0</v>
      </c>
      <c r="N49" s="93">
        <v>1009</v>
      </c>
      <c r="O49" s="92">
        <v>0</v>
      </c>
      <c r="P49" s="93">
        <v>0</v>
      </c>
      <c r="Q49" s="93">
        <v>0</v>
      </c>
      <c r="R49" s="95">
        <v>0</v>
      </c>
      <c r="S49" s="95">
        <v>0</v>
      </c>
      <c r="T49" s="94">
        <v>0</v>
      </c>
      <c r="U49" s="93">
        <v>0</v>
      </c>
      <c r="V49" s="93">
        <v>0</v>
      </c>
      <c r="W49" s="95">
        <v>0</v>
      </c>
      <c r="X49" s="95">
        <v>0</v>
      </c>
      <c r="Y49" s="94">
        <v>0</v>
      </c>
      <c r="Z49" s="93">
        <v>0</v>
      </c>
      <c r="AA49" s="95">
        <v>0</v>
      </c>
      <c r="AB49" s="95">
        <v>0</v>
      </c>
      <c r="AC49" s="95">
        <v>0</v>
      </c>
    </row>
    <row r="50" spans="1:30" s="105" customFormat="1" ht="40.5" customHeight="1" x14ac:dyDescent="0.2">
      <c r="A50" s="101"/>
      <c r="B50" s="102" t="s">
        <v>1148</v>
      </c>
      <c r="C50" s="103">
        <f t="shared" ref="C50:AA50" si="28">C11+C19+C23+C27+C31+C35+C39+C41+C15+C43+C44+C45+C46</f>
        <v>8.74</v>
      </c>
      <c r="D50" s="104">
        <f>D11+D19+D23+D27+D31+D35+D39+D41+D15+D43+D44+D45+D46</f>
        <v>408547</v>
      </c>
      <c r="E50" s="103">
        <f t="shared" si="28"/>
        <v>3.06</v>
      </c>
      <c r="F50" s="104">
        <f t="shared" si="28"/>
        <v>321465</v>
      </c>
      <c r="G50" s="104">
        <f t="shared" si="28"/>
        <v>126793</v>
      </c>
      <c r="H50" s="104">
        <f t="shared" si="28"/>
        <v>182270</v>
      </c>
      <c r="I50" s="104">
        <f t="shared" si="28"/>
        <v>12402</v>
      </c>
      <c r="J50" s="103">
        <f t="shared" si="28"/>
        <v>9.9999999999999811E-3</v>
      </c>
      <c r="K50" s="104">
        <f>K11+K19+K23+K27+K31+K35+K39+K41+K15+K43+K44+K45+K46</f>
        <v>8332</v>
      </c>
      <c r="L50" s="104">
        <f t="shared" ref="L50:M50" si="29">L11+L19+L23+L27+L31+L35+L39+L41+L15+L43+L44+L45+L46</f>
        <v>0</v>
      </c>
      <c r="M50" s="104">
        <f t="shared" si="29"/>
        <v>0</v>
      </c>
      <c r="N50" s="104">
        <f>N11+N19+N23+N27+N31+N35+N39+N41+N15+N43+N44+N45+N46</f>
        <v>8332</v>
      </c>
      <c r="O50" s="103">
        <f t="shared" si="28"/>
        <v>1.69</v>
      </c>
      <c r="P50" s="104">
        <f t="shared" si="28"/>
        <v>65231</v>
      </c>
      <c r="Q50" s="104">
        <f t="shared" si="28"/>
        <v>0</v>
      </c>
      <c r="R50" s="104">
        <f t="shared" si="28"/>
        <v>47048</v>
      </c>
      <c r="S50" s="104">
        <f t="shared" si="28"/>
        <v>18183</v>
      </c>
      <c r="T50" s="103">
        <f t="shared" si="28"/>
        <v>4.2</v>
      </c>
      <c r="U50" s="104">
        <f t="shared" si="28"/>
        <v>13519</v>
      </c>
      <c r="V50" s="104">
        <f t="shared" si="28"/>
        <v>0</v>
      </c>
      <c r="W50" s="104">
        <f t="shared" si="28"/>
        <v>0</v>
      </c>
      <c r="X50" s="104">
        <f t="shared" si="28"/>
        <v>13519</v>
      </c>
      <c r="Y50" s="103">
        <f>Y11+Y19+Y23+Y27+Y31+Y35+Y39+Y41+Y15+Y43+Y44+Y45+Y46</f>
        <v>0</v>
      </c>
      <c r="Z50" s="104">
        <f>Z11+Z19+Z23+Z27+Z31+Z35+Z39+Z41+Z15+Z43+Z44+Z45+Z46</f>
        <v>0</v>
      </c>
      <c r="AA50" s="104">
        <f t="shared" si="28"/>
        <v>0</v>
      </c>
      <c r="AB50" s="104">
        <f>AB11+AB19+AB23+AB27+AB31+AB35+AB39+AB41+AB15+AB43+AB44+AB45+AB46</f>
        <v>0</v>
      </c>
      <c r="AC50" s="104">
        <f>AC11+AC19+AC23+AC27+AC31+AC35+AC39+AC41+AC15+AC43+AC44+AC45+AC46</f>
        <v>0</v>
      </c>
      <c r="AD50" s="101"/>
    </row>
    <row r="51" spans="1:30" ht="25.5" customHeight="1" x14ac:dyDescent="0.2">
      <c r="A51" s="106" t="s">
        <v>78</v>
      </c>
      <c r="B51" s="381" t="s">
        <v>1149</v>
      </c>
      <c r="C51" s="382"/>
      <c r="D51" s="382"/>
      <c r="E51" s="382"/>
      <c r="F51" s="382"/>
      <c r="G51" s="382"/>
      <c r="H51" s="382"/>
      <c r="I51" s="382"/>
      <c r="J51" s="382"/>
      <c r="K51" s="382"/>
      <c r="L51" s="382"/>
      <c r="M51" s="382"/>
      <c r="N51" s="382"/>
      <c r="O51" s="382"/>
      <c r="P51" s="382"/>
      <c r="Q51" s="382"/>
      <c r="R51" s="382"/>
      <c r="S51" s="382"/>
      <c r="T51" s="382"/>
      <c r="U51" s="382"/>
      <c r="V51" s="382"/>
      <c r="W51" s="382"/>
      <c r="X51" s="382"/>
      <c r="Y51" s="382"/>
      <c r="Z51" s="382"/>
      <c r="AA51" s="382"/>
      <c r="AB51" s="382"/>
      <c r="AC51" s="383"/>
    </row>
    <row r="52" spans="1:30" s="21" customFormat="1" ht="112.15" customHeight="1" outlineLevel="1" x14ac:dyDescent="0.2">
      <c r="A52" s="86" t="s">
        <v>1150</v>
      </c>
      <c r="B52" s="107" t="s">
        <v>89</v>
      </c>
      <c r="C52" s="88">
        <f>C53+C54+C55</f>
        <v>0</v>
      </c>
      <c r="D52" s="89">
        <f t="shared" ref="D52:R52" si="30">D53+D54+D55</f>
        <v>0</v>
      </c>
      <c r="E52" s="88">
        <f t="shared" si="30"/>
        <v>0</v>
      </c>
      <c r="F52" s="89">
        <f t="shared" si="30"/>
        <v>0</v>
      </c>
      <c r="G52" s="89">
        <f t="shared" si="30"/>
        <v>0</v>
      </c>
      <c r="H52" s="89">
        <f t="shared" si="30"/>
        <v>0</v>
      </c>
      <c r="I52" s="89">
        <f t="shared" si="30"/>
        <v>0</v>
      </c>
      <c r="J52" s="88">
        <f t="shared" si="30"/>
        <v>0</v>
      </c>
      <c r="K52" s="89">
        <f t="shared" si="30"/>
        <v>0</v>
      </c>
      <c r="L52" s="89">
        <f t="shared" si="30"/>
        <v>0</v>
      </c>
      <c r="M52" s="89">
        <f t="shared" si="30"/>
        <v>0</v>
      </c>
      <c r="N52" s="89">
        <f t="shared" si="30"/>
        <v>0</v>
      </c>
      <c r="O52" s="88">
        <f t="shared" si="30"/>
        <v>0</v>
      </c>
      <c r="P52" s="89">
        <f t="shared" si="30"/>
        <v>0</v>
      </c>
      <c r="Q52" s="89">
        <f t="shared" si="30"/>
        <v>0</v>
      </c>
      <c r="R52" s="89">
        <f t="shared" si="30"/>
        <v>0</v>
      </c>
      <c r="S52" s="89">
        <f t="shared" ref="S52:AA52" si="31">S53+S54+S55</f>
        <v>0</v>
      </c>
      <c r="T52" s="88">
        <f t="shared" si="31"/>
        <v>0</v>
      </c>
      <c r="U52" s="89">
        <f>U53+U54+U55</f>
        <v>0</v>
      </c>
      <c r="V52" s="89">
        <f>V53+V54+V55</f>
        <v>0</v>
      </c>
      <c r="W52" s="89">
        <v>0</v>
      </c>
      <c r="X52" s="89">
        <v>0</v>
      </c>
      <c r="Y52" s="88">
        <f t="shared" si="31"/>
        <v>0</v>
      </c>
      <c r="Z52" s="89">
        <f>Z53+Z54+Z55</f>
        <v>0</v>
      </c>
      <c r="AA52" s="89">
        <f t="shared" si="31"/>
        <v>0</v>
      </c>
      <c r="AB52" s="89">
        <f>AB53+AB54+AB55</f>
        <v>0</v>
      </c>
      <c r="AC52" s="89">
        <f>AC53+AC54+AC55</f>
        <v>0</v>
      </c>
    </row>
    <row r="53" spans="1:30" ht="111.6" customHeight="1" outlineLevel="1" x14ac:dyDescent="0.2">
      <c r="A53" s="90" t="s">
        <v>1151</v>
      </c>
      <c r="B53" s="108" t="s">
        <v>89</v>
      </c>
      <c r="C53" s="92">
        <f>E53+J53+O53+T53+Y53</f>
        <v>0</v>
      </c>
      <c r="D53" s="93">
        <f t="shared" ref="D53:D55" si="32">F53+K53+P53+U53+Z53</f>
        <v>0</v>
      </c>
      <c r="E53" s="92">
        <v>0</v>
      </c>
      <c r="F53" s="93">
        <v>0</v>
      </c>
      <c r="G53" s="93">
        <v>0</v>
      </c>
      <c r="H53" s="93">
        <v>0</v>
      </c>
      <c r="I53" s="93">
        <v>0</v>
      </c>
      <c r="J53" s="92">
        <v>0</v>
      </c>
      <c r="K53" s="93">
        <f t="shared" ref="K53:K58" si="33">SUM(L53:N53)</f>
        <v>0</v>
      </c>
      <c r="L53" s="93">
        <v>0</v>
      </c>
      <c r="M53" s="93">
        <f>ROUND(51350*0.959,1)-49244.7</f>
        <v>0</v>
      </c>
      <c r="N53" s="93">
        <v>0</v>
      </c>
      <c r="O53" s="92">
        <v>0</v>
      </c>
      <c r="P53" s="93">
        <v>0</v>
      </c>
      <c r="Q53" s="93">
        <v>0</v>
      </c>
      <c r="R53" s="93">
        <f>P53*0.959</f>
        <v>0</v>
      </c>
      <c r="S53" s="93">
        <f>P53*0.041</f>
        <v>0</v>
      </c>
      <c r="T53" s="92">
        <v>0</v>
      </c>
      <c r="U53" s="93">
        <v>0</v>
      </c>
      <c r="V53" s="93">
        <v>0</v>
      </c>
      <c r="W53" s="93">
        <v>0</v>
      </c>
      <c r="X53" s="93">
        <v>0</v>
      </c>
      <c r="Y53" s="92">
        <v>0</v>
      </c>
      <c r="Z53" s="93">
        <f>AA53+AB53+AC53</f>
        <v>0</v>
      </c>
      <c r="AA53" s="93">
        <v>0</v>
      </c>
      <c r="AB53" s="93">
        <v>0</v>
      </c>
      <c r="AC53" s="93">
        <v>0</v>
      </c>
    </row>
    <row r="54" spans="1:30" ht="138" customHeight="1" outlineLevel="1" x14ac:dyDescent="0.2">
      <c r="A54" s="90" t="s">
        <v>1152</v>
      </c>
      <c r="B54" s="108" t="s">
        <v>41</v>
      </c>
      <c r="C54" s="92">
        <v>0</v>
      </c>
      <c r="D54" s="93">
        <f t="shared" si="32"/>
        <v>0</v>
      </c>
      <c r="E54" s="92">
        <v>0</v>
      </c>
      <c r="F54" s="93">
        <v>0</v>
      </c>
      <c r="G54" s="93">
        <v>0</v>
      </c>
      <c r="H54" s="93">
        <v>0</v>
      </c>
      <c r="I54" s="93">
        <v>0</v>
      </c>
      <c r="J54" s="92">
        <v>0</v>
      </c>
      <c r="K54" s="93">
        <f t="shared" si="33"/>
        <v>0</v>
      </c>
      <c r="L54" s="93">
        <v>0</v>
      </c>
      <c r="M54" s="93">
        <v>0</v>
      </c>
      <c r="N54" s="93">
        <v>0</v>
      </c>
      <c r="O54" s="92">
        <v>0</v>
      </c>
      <c r="P54" s="93">
        <v>0</v>
      </c>
      <c r="Q54" s="93">
        <v>0</v>
      </c>
      <c r="R54" s="93">
        <v>0</v>
      </c>
      <c r="S54" s="93">
        <v>0</v>
      </c>
      <c r="T54" s="92">
        <v>0</v>
      </c>
      <c r="U54" s="93">
        <v>0</v>
      </c>
      <c r="V54" s="93">
        <v>0</v>
      </c>
      <c r="W54" s="93">
        <v>0</v>
      </c>
      <c r="X54" s="93">
        <v>0</v>
      </c>
      <c r="Y54" s="92">
        <v>0</v>
      </c>
      <c r="Z54" s="93">
        <f t="shared" ref="Z54:Z55" si="34">AA54+AB54+AC54</f>
        <v>0</v>
      </c>
      <c r="AA54" s="93">
        <v>0</v>
      </c>
      <c r="AB54" s="93">
        <v>0</v>
      </c>
      <c r="AC54" s="93">
        <v>0</v>
      </c>
    </row>
    <row r="55" spans="1:30" ht="135.6" customHeight="1" outlineLevel="1" x14ac:dyDescent="0.2">
      <c r="A55" s="90" t="s">
        <v>1153</v>
      </c>
      <c r="B55" s="108" t="s">
        <v>410</v>
      </c>
      <c r="C55" s="92">
        <v>0</v>
      </c>
      <c r="D55" s="93">
        <f t="shared" si="32"/>
        <v>0</v>
      </c>
      <c r="E55" s="92">
        <v>0</v>
      </c>
      <c r="F55" s="93">
        <v>0</v>
      </c>
      <c r="G55" s="93">
        <v>0</v>
      </c>
      <c r="H55" s="93">
        <v>0</v>
      </c>
      <c r="I55" s="93">
        <v>0</v>
      </c>
      <c r="J55" s="92">
        <v>0</v>
      </c>
      <c r="K55" s="93">
        <f>N55</f>
        <v>0</v>
      </c>
      <c r="L55" s="93">
        <v>0</v>
      </c>
      <c r="M55" s="93">
        <v>0</v>
      </c>
      <c r="N55" s="93">
        <v>0</v>
      </c>
      <c r="O55" s="92">
        <v>0</v>
      </c>
      <c r="P55" s="93">
        <v>0</v>
      </c>
      <c r="Q55" s="93">
        <v>0</v>
      </c>
      <c r="R55" s="93">
        <v>0</v>
      </c>
      <c r="S55" s="93">
        <v>0</v>
      </c>
      <c r="T55" s="92">
        <v>0</v>
      </c>
      <c r="U55" s="93">
        <v>0</v>
      </c>
      <c r="V55" s="93">
        <v>0</v>
      </c>
      <c r="W55" s="93">
        <v>0</v>
      </c>
      <c r="X55" s="93">
        <v>0</v>
      </c>
      <c r="Y55" s="92">
        <v>0</v>
      </c>
      <c r="Z55" s="93">
        <f t="shared" si="34"/>
        <v>0</v>
      </c>
      <c r="AA55" s="93">
        <v>0</v>
      </c>
      <c r="AB55" s="93">
        <v>0</v>
      </c>
      <c r="AC55" s="93">
        <v>0</v>
      </c>
    </row>
    <row r="56" spans="1:30" s="21" customFormat="1" ht="105" customHeight="1" outlineLevel="1" x14ac:dyDescent="0.2">
      <c r="A56" s="86" t="s">
        <v>1154</v>
      </c>
      <c r="B56" s="107" t="s">
        <v>404</v>
      </c>
      <c r="C56" s="88">
        <f t="shared" ref="C56:AB56" si="35">C57+C58+C59</f>
        <v>0</v>
      </c>
      <c r="D56" s="89">
        <f t="shared" si="35"/>
        <v>0</v>
      </c>
      <c r="E56" s="88">
        <f t="shared" si="35"/>
        <v>0</v>
      </c>
      <c r="F56" s="89">
        <f t="shared" si="35"/>
        <v>0</v>
      </c>
      <c r="G56" s="89">
        <f t="shared" si="35"/>
        <v>0</v>
      </c>
      <c r="H56" s="89">
        <f t="shared" si="35"/>
        <v>0</v>
      </c>
      <c r="I56" s="89">
        <f t="shared" si="35"/>
        <v>0</v>
      </c>
      <c r="J56" s="88">
        <f t="shared" si="35"/>
        <v>0</v>
      </c>
      <c r="K56" s="89">
        <f>K57+K58+K59</f>
        <v>0</v>
      </c>
      <c r="L56" s="89">
        <f t="shared" si="35"/>
        <v>0</v>
      </c>
      <c r="M56" s="89">
        <f t="shared" si="35"/>
        <v>0</v>
      </c>
      <c r="N56" s="89">
        <f>N57+N58+N59</f>
        <v>0</v>
      </c>
      <c r="O56" s="88">
        <f t="shared" si="35"/>
        <v>0</v>
      </c>
      <c r="P56" s="89">
        <f t="shared" si="35"/>
        <v>0</v>
      </c>
      <c r="Q56" s="89">
        <f t="shared" si="35"/>
        <v>0</v>
      </c>
      <c r="R56" s="89">
        <f t="shared" si="35"/>
        <v>0</v>
      </c>
      <c r="S56" s="89">
        <f t="shared" si="35"/>
        <v>0</v>
      </c>
      <c r="T56" s="88">
        <f t="shared" si="35"/>
        <v>0</v>
      </c>
      <c r="U56" s="89">
        <f t="shared" si="35"/>
        <v>0</v>
      </c>
      <c r="V56" s="89">
        <f t="shared" si="35"/>
        <v>0</v>
      </c>
      <c r="W56" s="89">
        <f t="shared" si="35"/>
        <v>0</v>
      </c>
      <c r="X56" s="89">
        <f t="shared" si="35"/>
        <v>0</v>
      </c>
      <c r="Y56" s="88">
        <f t="shared" si="35"/>
        <v>0</v>
      </c>
      <c r="Z56" s="89">
        <f t="shared" si="35"/>
        <v>0</v>
      </c>
      <c r="AA56" s="89">
        <f t="shared" si="35"/>
        <v>0</v>
      </c>
      <c r="AB56" s="89">
        <f t="shared" si="35"/>
        <v>0</v>
      </c>
      <c r="AC56" s="89">
        <f>AC57+AC58+AC59+AC73</f>
        <v>0</v>
      </c>
    </row>
    <row r="57" spans="1:30" ht="92.45" customHeight="1" outlineLevel="1" x14ac:dyDescent="0.2">
      <c r="A57" s="90" t="s">
        <v>1155</v>
      </c>
      <c r="B57" s="108" t="s">
        <v>404</v>
      </c>
      <c r="C57" s="92">
        <f>E57+J57+O57++Y57+T57</f>
        <v>0</v>
      </c>
      <c r="D57" s="95">
        <f>F57+K57+P57+Z57+U57</f>
        <v>0</v>
      </c>
      <c r="E57" s="94">
        <v>0</v>
      </c>
      <c r="F57" s="95">
        <v>0</v>
      </c>
      <c r="G57" s="95">
        <v>0</v>
      </c>
      <c r="H57" s="95">
        <v>0</v>
      </c>
      <c r="I57" s="95">
        <v>0</v>
      </c>
      <c r="J57" s="92">
        <v>0</v>
      </c>
      <c r="K57" s="93">
        <f t="shared" si="33"/>
        <v>0</v>
      </c>
      <c r="L57" s="93">
        <v>0</v>
      </c>
      <c r="M57" s="95">
        <f>ROUND(52500*0.959,1)-50347.5</f>
        <v>0</v>
      </c>
      <c r="N57" s="95">
        <v>0</v>
      </c>
      <c r="O57" s="94">
        <v>0</v>
      </c>
      <c r="P57" s="95">
        <f>R57+S57</f>
        <v>0</v>
      </c>
      <c r="Q57" s="95">
        <v>0</v>
      </c>
      <c r="R57" s="95">
        <v>0</v>
      </c>
      <c r="S57" s="95">
        <v>0</v>
      </c>
      <c r="T57" s="94">
        <v>0</v>
      </c>
      <c r="U57" s="93">
        <v>0</v>
      </c>
      <c r="V57" s="93">
        <v>0</v>
      </c>
      <c r="W57" s="93">
        <v>0</v>
      </c>
      <c r="X57" s="93">
        <v>0</v>
      </c>
      <c r="Y57" s="94">
        <v>0</v>
      </c>
      <c r="Z57" s="95">
        <f>AA57+AB57+AC57</f>
        <v>0</v>
      </c>
      <c r="AA57" s="95">
        <v>0</v>
      </c>
      <c r="AB57" s="95">
        <v>0</v>
      </c>
      <c r="AC57" s="95">
        <v>0</v>
      </c>
    </row>
    <row r="58" spans="1:30" ht="109.9" customHeight="1" outlineLevel="1" x14ac:dyDescent="0.2">
      <c r="A58" s="90" t="s">
        <v>1156</v>
      </c>
      <c r="B58" s="108" t="s">
        <v>407</v>
      </c>
      <c r="C58" s="92">
        <f t="shared" ref="C58:C59" si="36">E58+J58+O58++Y58+T58</f>
        <v>0</v>
      </c>
      <c r="D58" s="95">
        <f t="shared" ref="D58:D59" si="37">F58+K58+P58+Z58+U58</f>
        <v>0</v>
      </c>
      <c r="E58" s="94">
        <v>0</v>
      </c>
      <c r="F58" s="95">
        <v>0</v>
      </c>
      <c r="G58" s="95">
        <v>0</v>
      </c>
      <c r="H58" s="95">
        <v>0</v>
      </c>
      <c r="I58" s="95">
        <v>0</v>
      </c>
      <c r="J58" s="92">
        <v>0</v>
      </c>
      <c r="K58" s="93">
        <f t="shared" si="33"/>
        <v>0</v>
      </c>
      <c r="L58" s="93">
        <v>0</v>
      </c>
      <c r="M58" s="95">
        <v>0</v>
      </c>
      <c r="N58" s="95">
        <v>0</v>
      </c>
      <c r="O58" s="94">
        <v>0</v>
      </c>
      <c r="P58" s="95">
        <f>S58</f>
        <v>0</v>
      </c>
      <c r="Q58" s="95">
        <v>0</v>
      </c>
      <c r="R58" s="95">
        <v>0</v>
      </c>
      <c r="S58" s="95">
        <v>0</v>
      </c>
      <c r="T58" s="94">
        <v>0</v>
      </c>
      <c r="U58" s="93">
        <v>0</v>
      </c>
      <c r="V58" s="93">
        <v>0</v>
      </c>
      <c r="W58" s="93">
        <v>0</v>
      </c>
      <c r="X58" s="93">
        <v>0</v>
      </c>
      <c r="Y58" s="94">
        <v>0</v>
      </c>
      <c r="Z58" s="95">
        <f>AA58+AB58+AC58</f>
        <v>0</v>
      </c>
      <c r="AA58" s="95">
        <v>0</v>
      </c>
      <c r="AB58" s="95">
        <v>0</v>
      </c>
      <c r="AC58" s="95">
        <v>0</v>
      </c>
    </row>
    <row r="59" spans="1:30" ht="108" customHeight="1" outlineLevel="1" x14ac:dyDescent="0.2">
      <c r="A59" s="90" t="s">
        <v>1157</v>
      </c>
      <c r="B59" s="108" t="s">
        <v>408</v>
      </c>
      <c r="C59" s="92">
        <f t="shared" si="36"/>
        <v>0</v>
      </c>
      <c r="D59" s="95">
        <f t="shared" si="37"/>
        <v>0</v>
      </c>
      <c r="E59" s="94">
        <v>0</v>
      </c>
      <c r="F59" s="95">
        <v>0</v>
      </c>
      <c r="G59" s="95">
        <v>0</v>
      </c>
      <c r="H59" s="95">
        <v>0</v>
      </c>
      <c r="I59" s="95">
        <v>0</v>
      </c>
      <c r="J59" s="92">
        <v>0</v>
      </c>
      <c r="K59" s="93">
        <f>N59</f>
        <v>0</v>
      </c>
      <c r="L59" s="93">
        <v>0</v>
      </c>
      <c r="M59" s="95">
        <v>0</v>
      </c>
      <c r="N59" s="95">
        <v>0</v>
      </c>
      <c r="O59" s="94">
        <v>0</v>
      </c>
      <c r="P59" s="95">
        <f>S59</f>
        <v>0</v>
      </c>
      <c r="Q59" s="95">
        <v>0</v>
      </c>
      <c r="R59" s="95">
        <v>0</v>
      </c>
      <c r="S59" s="95">
        <v>0</v>
      </c>
      <c r="T59" s="94">
        <v>0</v>
      </c>
      <c r="U59" s="93">
        <v>0</v>
      </c>
      <c r="V59" s="93">
        <v>0</v>
      </c>
      <c r="W59" s="93">
        <v>0</v>
      </c>
      <c r="X59" s="93">
        <v>0</v>
      </c>
      <c r="Y59" s="94">
        <v>0</v>
      </c>
      <c r="Z59" s="95">
        <f>AA59+AB59+AC59</f>
        <v>0</v>
      </c>
      <c r="AA59" s="95">
        <v>0</v>
      </c>
      <c r="AB59" s="95">
        <v>0</v>
      </c>
      <c r="AC59" s="95">
        <v>0</v>
      </c>
    </row>
    <row r="60" spans="1:30" s="21" customFormat="1" ht="122.25" customHeight="1" outlineLevel="1" x14ac:dyDescent="0.2">
      <c r="A60" s="86" t="s">
        <v>1158</v>
      </c>
      <c r="B60" s="107" t="s">
        <v>405</v>
      </c>
      <c r="C60" s="88">
        <f>E60+J60+O60+Y60+T60</f>
        <v>0</v>
      </c>
      <c r="D60" s="89">
        <f>F60+K60+P60+Z60+U60</f>
        <v>0</v>
      </c>
      <c r="E60" s="88">
        <f t="shared" ref="E60:X60" si="38">E61+E62+E63</f>
        <v>0</v>
      </c>
      <c r="F60" s="89">
        <f>F61+F62+F63</f>
        <v>0</v>
      </c>
      <c r="G60" s="89">
        <f t="shared" si="38"/>
        <v>0</v>
      </c>
      <c r="H60" s="89">
        <f t="shared" si="38"/>
        <v>0</v>
      </c>
      <c r="I60" s="89">
        <f t="shared" si="38"/>
        <v>0</v>
      </c>
      <c r="J60" s="88">
        <f t="shared" si="38"/>
        <v>0</v>
      </c>
      <c r="K60" s="89">
        <f>K61+K62+K63</f>
        <v>0</v>
      </c>
      <c r="L60" s="89">
        <f t="shared" si="38"/>
        <v>0</v>
      </c>
      <c r="M60" s="89">
        <f t="shared" si="38"/>
        <v>0</v>
      </c>
      <c r="N60" s="89">
        <f t="shared" si="38"/>
        <v>0</v>
      </c>
      <c r="O60" s="88">
        <f t="shared" si="38"/>
        <v>0</v>
      </c>
      <c r="P60" s="89">
        <f t="shared" si="38"/>
        <v>0</v>
      </c>
      <c r="Q60" s="89">
        <f t="shared" si="38"/>
        <v>0</v>
      </c>
      <c r="R60" s="89">
        <f t="shared" si="38"/>
        <v>0</v>
      </c>
      <c r="S60" s="89">
        <f t="shared" si="38"/>
        <v>0</v>
      </c>
      <c r="T60" s="88">
        <f t="shared" si="38"/>
        <v>0</v>
      </c>
      <c r="U60" s="89">
        <f t="shared" si="38"/>
        <v>0</v>
      </c>
      <c r="V60" s="89">
        <f t="shared" si="38"/>
        <v>0</v>
      </c>
      <c r="W60" s="89">
        <f t="shared" si="38"/>
        <v>0</v>
      </c>
      <c r="X60" s="89">
        <f t="shared" si="38"/>
        <v>0</v>
      </c>
      <c r="Y60" s="88">
        <f>Y61+Y62+Y63</f>
        <v>0</v>
      </c>
      <c r="Z60" s="89">
        <f>Z61+Z62+Z63</f>
        <v>0</v>
      </c>
      <c r="AA60" s="89">
        <f>AA61+AA62+AA63</f>
        <v>0</v>
      </c>
      <c r="AB60" s="89">
        <f>AB61+AB62+AB63</f>
        <v>0</v>
      </c>
      <c r="AC60" s="89">
        <f>AC61+AC62+AC63</f>
        <v>0</v>
      </c>
    </row>
    <row r="61" spans="1:30" ht="108" customHeight="1" outlineLevel="1" x14ac:dyDescent="0.2">
      <c r="A61" s="90" t="s">
        <v>1159</v>
      </c>
      <c r="B61" s="108" t="s">
        <v>405</v>
      </c>
      <c r="C61" s="92">
        <f t="shared" ref="C61:C63" si="39">E61+J61+O61+Y61+T61</f>
        <v>0</v>
      </c>
      <c r="D61" s="93">
        <f t="shared" ref="D61:D62" si="40">F61+K61+P61+Z61+U61</f>
        <v>0</v>
      </c>
      <c r="E61" s="94">
        <v>0</v>
      </c>
      <c r="F61" s="95">
        <v>0</v>
      </c>
      <c r="G61" s="95">
        <v>0</v>
      </c>
      <c r="H61" s="95">
        <v>0</v>
      </c>
      <c r="I61" s="95">
        <v>0</v>
      </c>
      <c r="J61" s="92">
        <v>0</v>
      </c>
      <c r="K61" s="93">
        <v>0</v>
      </c>
      <c r="L61" s="93">
        <v>0</v>
      </c>
      <c r="M61" s="95">
        <v>0</v>
      </c>
      <c r="N61" s="95">
        <v>0</v>
      </c>
      <c r="O61" s="94">
        <v>0</v>
      </c>
      <c r="P61" s="95">
        <v>0</v>
      </c>
      <c r="Q61" s="95">
        <v>0</v>
      </c>
      <c r="R61" s="95">
        <v>0</v>
      </c>
      <c r="S61" s="95">
        <v>0</v>
      </c>
      <c r="T61" s="93">
        <v>0</v>
      </c>
      <c r="U61" s="93">
        <v>0</v>
      </c>
      <c r="V61" s="93">
        <v>0</v>
      </c>
      <c r="W61" s="93">
        <v>0</v>
      </c>
      <c r="X61" s="93">
        <v>0</v>
      </c>
      <c r="Y61" s="94">
        <v>0</v>
      </c>
      <c r="Z61" s="95">
        <f>AA61+AB61+AC61</f>
        <v>0</v>
      </c>
      <c r="AA61" s="95">
        <v>0</v>
      </c>
      <c r="AB61" s="95">
        <v>0</v>
      </c>
      <c r="AC61" s="95">
        <v>0</v>
      </c>
    </row>
    <row r="62" spans="1:30" ht="129.75" customHeight="1" outlineLevel="1" x14ac:dyDescent="0.2">
      <c r="A62" s="90" t="s">
        <v>1160</v>
      </c>
      <c r="B62" s="108" t="s">
        <v>474</v>
      </c>
      <c r="C62" s="92">
        <f t="shared" si="39"/>
        <v>0</v>
      </c>
      <c r="D62" s="93">
        <f t="shared" si="40"/>
        <v>0</v>
      </c>
      <c r="E62" s="94">
        <v>0</v>
      </c>
      <c r="F62" s="95">
        <v>0</v>
      </c>
      <c r="G62" s="95">
        <v>0</v>
      </c>
      <c r="H62" s="95">
        <v>0</v>
      </c>
      <c r="I62" s="95">
        <v>0</v>
      </c>
      <c r="J62" s="92">
        <v>0</v>
      </c>
      <c r="K62" s="93">
        <v>0</v>
      </c>
      <c r="L62" s="93">
        <v>0</v>
      </c>
      <c r="M62" s="95">
        <v>0</v>
      </c>
      <c r="N62" s="95">
        <v>0</v>
      </c>
      <c r="O62" s="94">
        <v>0</v>
      </c>
      <c r="P62" s="95">
        <f>S62</f>
        <v>0</v>
      </c>
      <c r="Q62" s="95">
        <v>0</v>
      </c>
      <c r="R62" s="95">
        <v>0</v>
      </c>
      <c r="S62" s="95">
        <v>0</v>
      </c>
      <c r="T62" s="93">
        <v>0</v>
      </c>
      <c r="U62" s="93">
        <v>0</v>
      </c>
      <c r="V62" s="93">
        <v>0</v>
      </c>
      <c r="W62" s="93">
        <v>0</v>
      </c>
      <c r="X62" s="93">
        <v>0</v>
      </c>
      <c r="Y62" s="94">
        <v>0</v>
      </c>
      <c r="Z62" s="95">
        <f t="shared" ref="Z62:Z63" si="41">AA62+AB62+AC62</f>
        <v>0</v>
      </c>
      <c r="AA62" s="95">
        <v>0</v>
      </c>
      <c r="AB62" s="95">
        <v>0</v>
      </c>
      <c r="AC62" s="95">
        <v>0</v>
      </c>
    </row>
    <row r="63" spans="1:30" ht="128.25" customHeight="1" outlineLevel="1" x14ac:dyDescent="0.2">
      <c r="A63" s="90" t="s">
        <v>1161</v>
      </c>
      <c r="B63" s="108" t="s">
        <v>475</v>
      </c>
      <c r="C63" s="92">
        <f t="shared" si="39"/>
        <v>0</v>
      </c>
      <c r="D63" s="93">
        <f>F63+K63+P63+Z63+U63</f>
        <v>0</v>
      </c>
      <c r="E63" s="94">
        <v>0</v>
      </c>
      <c r="F63" s="95">
        <v>0</v>
      </c>
      <c r="G63" s="95">
        <v>0</v>
      </c>
      <c r="H63" s="95">
        <v>0</v>
      </c>
      <c r="I63" s="95">
        <v>0</v>
      </c>
      <c r="J63" s="92">
        <v>0</v>
      </c>
      <c r="K63" s="93">
        <v>0</v>
      </c>
      <c r="L63" s="93">
        <v>0</v>
      </c>
      <c r="M63" s="95">
        <v>0</v>
      </c>
      <c r="N63" s="95">
        <v>0</v>
      </c>
      <c r="O63" s="94">
        <v>0</v>
      </c>
      <c r="P63" s="95">
        <f>S63</f>
        <v>0</v>
      </c>
      <c r="Q63" s="95">
        <v>0</v>
      </c>
      <c r="R63" s="95">
        <v>0</v>
      </c>
      <c r="S63" s="95">
        <v>0</v>
      </c>
      <c r="T63" s="93">
        <v>0</v>
      </c>
      <c r="U63" s="93">
        <v>0</v>
      </c>
      <c r="V63" s="93">
        <v>0</v>
      </c>
      <c r="W63" s="93">
        <v>0</v>
      </c>
      <c r="X63" s="93">
        <v>0</v>
      </c>
      <c r="Y63" s="94">
        <v>0</v>
      </c>
      <c r="Z63" s="95">
        <f t="shared" si="41"/>
        <v>0</v>
      </c>
      <c r="AA63" s="95">
        <v>0</v>
      </c>
      <c r="AB63" s="95">
        <v>0</v>
      </c>
      <c r="AC63" s="95">
        <v>0</v>
      </c>
    </row>
    <row r="64" spans="1:30" s="21" customFormat="1" ht="79.5" customHeight="1" outlineLevel="1" x14ac:dyDescent="0.2">
      <c r="A64" s="86" t="s">
        <v>1162</v>
      </c>
      <c r="B64" s="107" t="s">
        <v>716</v>
      </c>
      <c r="C64" s="88">
        <f t="shared" ref="C64:D66" si="42">E64+J64+O64+T64+Y64</f>
        <v>2</v>
      </c>
      <c r="D64" s="89">
        <f t="shared" si="42"/>
        <v>72940</v>
      </c>
      <c r="E64" s="100">
        <v>1</v>
      </c>
      <c r="F64" s="99">
        <f>G64+H64+I64</f>
        <v>66560</v>
      </c>
      <c r="G64" s="99">
        <f>G65+G66</f>
        <v>0</v>
      </c>
      <c r="H64" s="99">
        <f t="shared" ref="H64:I64" si="43">H65+H66</f>
        <v>62060</v>
      </c>
      <c r="I64" s="99">
        <f t="shared" si="43"/>
        <v>4500</v>
      </c>
      <c r="J64" s="88">
        <v>0</v>
      </c>
      <c r="K64" s="89">
        <f>K65+K66</f>
        <v>0</v>
      </c>
      <c r="L64" s="89">
        <f t="shared" ref="L64:N64" si="44">L65+L66</f>
        <v>0</v>
      </c>
      <c r="M64" s="89">
        <f t="shared" si="44"/>
        <v>0</v>
      </c>
      <c r="N64" s="89">
        <f t="shared" si="44"/>
        <v>0</v>
      </c>
      <c r="O64" s="100">
        <f>O65+O66</f>
        <v>1</v>
      </c>
      <c r="P64" s="99">
        <f>S64</f>
        <v>6380</v>
      </c>
      <c r="Q64" s="99">
        <v>0</v>
      </c>
      <c r="R64" s="99">
        <v>0</v>
      </c>
      <c r="S64" s="99">
        <f>S65</f>
        <v>6380</v>
      </c>
      <c r="T64" s="100">
        <v>0</v>
      </c>
      <c r="U64" s="99">
        <f t="shared" ref="U64" si="45">V64+W64+X64</f>
        <v>0</v>
      </c>
      <c r="V64" s="99">
        <v>0</v>
      </c>
      <c r="W64" s="99">
        <v>0</v>
      </c>
      <c r="X64" s="99">
        <v>0</v>
      </c>
      <c r="Y64" s="100">
        <v>0</v>
      </c>
      <c r="Z64" s="99">
        <v>0</v>
      </c>
      <c r="AA64" s="99">
        <v>0</v>
      </c>
      <c r="AB64" s="99">
        <v>0</v>
      </c>
      <c r="AC64" s="99">
        <v>0</v>
      </c>
    </row>
    <row r="65" spans="1:30" ht="79.5" customHeight="1" outlineLevel="1" x14ac:dyDescent="0.2">
      <c r="A65" s="90" t="s">
        <v>1163</v>
      </c>
      <c r="B65" s="108" t="s">
        <v>716</v>
      </c>
      <c r="C65" s="92">
        <f t="shared" si="42"/>
        <v>2</v>
      </c>
      <c r="D65" s="93">
        <f t="shared" si="42"/>
        <v>71569</v>
      </c>
      <c r="E65" s="94">
        <v>1</v>
      </c>
      <c r="F65" s="95">
        <f>G65+H65+I65</f>
        <v>65189</v>
      </c>
      <c r="G65" s="95">
        <v>0</v>
      </c>
      <c r="H65" s="95">
        <f>62060</f>
        <v>62060</v>
      </c>
      <c r="I65" s="95">
        <v>3129</v>
      </c>
      <c r="J65" s="92">
        <v>0</v>
      </c>
      <c r="K65" s="93">
        <f>L65+M65+N65</f>
        <v>0</v>
      </c>
      <c r="L65" s="93">
        <v>0</v>
      </c>
      <c r="M65" s="95">
        <f>61000-33953-27047</f>
        <v>0</v>
      </c>
      <c r="N65" s="95">
        <f>3756-2091-1665</f>
        <v>0</v>
      </c>
      <c r="O65" s="94">
        <v>1</v>
      </c>
      <c r="P65" s="95">
        <f>S65</f>
        <v>6380</v>
      </c>
      <c r="Q65" s="95">
        <v>0</v>
      </c>
      <c r="R65" s="95">
        <v>0</v>
      </c>
      <c r="S65" s="95">
        <v>6380</v>
      </c>
      <c r="T65" s="94">
        <v>0</v>
      </c>
      <c r="U65" s="95">
        <f t="shared" ref="U65" si="46">V65+W65+X65</f>
        <v>0</v>
      </c>
      <c r="V65" s="95">
        <v>0</v>
      </c>
      <c r="W65" s="95">
        <v>0</v>
      </c>
      <c r="X65" s="95">
        <v>0</v>
      </c>
      <c r="Y65" s="94">
        <v>0</v>
      </c>
      <c r="Z65" s="95">
        <v>0</v>
      </c>
      <c r="AA65" s="95">
        <v>0</v>
      </c>
      <c r="AB65" s="95">
        <v>0</v>
      </c>
      <c r="AC65" s="95">
        <v>0</v>
      </c>
    </row>
    <row r="66" spans="1:30" ht="93" customHeight="1" outlineLevel="1" x14ac:dyDescent="0.2">
      <c r="A66" s="90" t="s">
        <v>1164</v>
      </c>
      <c r="B66" s="108" t="s">
        <v>803</v>
      </c>
      <c r="C66" s="92">
        <f t="shared" si="42"/>
        <v>0</v>
      </c>
      <c r="D66" s="93">
        <f t="shared" si="42"/>
        <v>1371</v>
      </c>
      <c r="E66" s="94">
        <v>0</v>
      </c>
      <c r="F66" s="95">
        <f>G66+H66+I66</f>
        <v>1371</v>
      </c>
      <c r="G66" s="95">
        <v>0</v>
      </c>
      <c r="H66" s="95">
        <v>0</v>
      </c>
      <c r="I66" s="95">
        <v>1371</v>
      </c>
      <c r="J66" s="92">
        <v>0</v>
      </c>
      <c r="K66" s="93">
        <v>0</v>
      </c>
      <c r="L66" s="93">
        <v>0</v>
      </c>
      <c r="M66" s="95">
        <v>0</v>
      </c>
      <c r="N66" s="95">
        <v>0</v>
      </c>
      <c r="O66" s="94">
        <v>0</v>
      </c>
      <c r="P66" s="95">
        <v>0</v>
      </c>
      <c r="Q66" s="95">
        <v>0</v>
      </c>
      <c r="R66" s="95">
        <v>0</v>
      </c>
      <c r="S66" s="95">
        <v>0</v>
      </c>
      <c r="T66" s="94">
        <v>0</v>
      </c>
      <c r="U66" s="95">
        <v>0</v>
      </c>
      <c r="V66" s="95">
        <v>0</v>
      </c>
      <c r="W66" s="95">
        <v>0</v>
      </c>
      <c r="X66" s="95">
        <v>0</v>
      </c>
      <c r="Y66" s="94">
        <v>0</v>
      </c>
      <c r="Z66" s="95">
        <v>0</v>
      </c>
      <c r="AA66" s="95">
        <v>0</v>
      </c>
      <c r="AB66" s="95">
        <v>0</v>
      </c>
      <c r="AC66" s="95">
        <v>0</v>
      </c>
    </row>
    <row r="67" spans="1:30" s="21" customFormat="1" ht="106.5" customHeight="1" outlineLevel="1" x14ac:dyDescent="0.2">
      <c r="A67" s="86" t="s">
        <v>1165</v>
      </c>
      <c r="B67" s="107" t="s">
        <v>853</v>
      </c>
      <c r="C67" s="88">
        <f t="shared" ref="C67" si="47">E67+J67+O67+T67+Y67</f>
        <v>0.99299999999999999</v>
      </c>
      <c r="D67" s="89">
        <f t="shared" ref="D67" si="48">F67+K67+P67+U67+Z67</f>
        <v>10244</v>
      </c>
      <c r="E67" s="100">
        <v>0</v>
      </c>
      <c r="F67" s="99">
        <f>G67+H67+I67</f>
        <v>0</v>
      </c>
      <c r="G67" s="99">
        <v>0</v>
      </c>
      <c r="H67" s="99">
        <v>0</v>
      </c>
      <c r="I67" s="99">
        <v>0</v>
      </c>
      <c r="J67" s="88">
        <f>0.45-0.42</f>
        <v>3.0000000000000027E-2</v>
      </c>
      <c r="K67" s="89">
        <f>L67+M67+N67</f>
        <v>2196</v>
      </c>
      <c r="L67" s="89">
        <v>0</v>
      </c>
      <c r="M67" s="99">
        <f>35662-35662</f>
        <v>0</v>
      </c>
      <c r="N67" s="99">
        <v>2196</v>
      </c>
      <c r="O67" s="100">
        <v>0.96299999999999997</v>
      </c>
      <c r="P67" s="99">
        <f>Q67+R67+S67</f>
        <v>8048</v>
      </c>
      <c r="Q67" s="99">
        <v>0</v>
      </c>
      <c r="R67" s="99">
        <v>0</v>
      </c>
      <c r="S67" s="99">
        <v>8048</v>
      </c>
      <c r="T67" s="100">
        <v>0</v>
      </c>
      <c r="U67" s="99">
        <v>0</v>
      </c>
      <c r="V67" s="99">
        <v>0</v>
      </c>
      <c r="W67" s="99">
        <v>0</v>
      </c>
      <c r="X67" s="99">
        <v>0</v>
      </c>
      <c r="Y67" s="100">
        <v>0</v>
      </c>
      <c r="Z67" s="99">
        <v>0</v>
      </c>
      <c r="AA67" s="99">
        <v>0</v>
      </c>
      <c r="AB67" s="99">
        <v>0</v>
      </c>
      <c r="AC67" s="99">
        <v>0</v>
      </c>
    </row>
    <row r="68" spans="1:30" s="112" customFormat="1" ht="42" customHeight="1" x14ac:dyDescent="0.2">
      <c r="A68" s="109"/>
      <c r="B68" s="110" t="s">
        <v>1166</v>
      </c>
      <c r="C68" s="103">
        <f t="shared" ref="C68:S68" si="49">C52+C56+C60+C64+C67</f>
        <v>2.9929999999999999</v>
      </c>
      <c r="D68" s="104">
        <f t="shared" si="49"/>
        <v>83184</v>
      </c>
      <c r="E68" s="103">
        <f t="shared" si="49"/>
        <v>1</v>
      </c>
      <c r="F68" s="104">
        <f t="shared" si="49"/>
        <v>66560</v>
      </c>
      <c r="G68" s="104">
        <f t="shared" si="49"/>
        <v>0</v>
      </c>
      <c r="H68" s="104">
        <f t="shared" si="49"/>
        <v>62060</v>
      </c>
      <c r="I68" s="104">
        <f t="shared" si="49"/>
        <v>4500</v>
      </c>
      <c r="J68" s="103">
        <f t="shared" si="49"/>
        <v>3.0000000000000027E-2</v>
      </c>
      <c r="K68" s="104">
        <f t="shared" si="49"/>
        <v>2196</v>
      </c>
      <c r="L68" s="104">
        <f t="shared" si="49"/>
        <v>0</v>
      </c>
      <c r="M68" s="104">
        <f t="shared" si="49"/>
        <v>0</v>
      </c>
      <c r="N68" s="104">
        <f t="shared" si="49"/>
        <v>2196</v>
      </c>
      <c r="O68" s="103">
        <f t="shared" si="49"/>
        <v>1.9630000000000001</v>
      </c>
      <c r="P68" s="104">
        <f t="shared" si="49"/>
        <v>14428</v>
      </c>
      <c r="Q68" s="104">
        <f t="shared" si="49"/>
        <v>0</v>
      </c>
      <c r="R68" s="104">
        <f t="shared" si="49"/>
        <v>0</v>
      </c>
      <c r="S68" s="104">
        <f t="shared" si="49"/>
        <v>14428</v>
      </c>
      <c r="T68" s="103">
        <f>T52+Y56+Y60+T64+T67</f>
        <v>0</v>
      </c>
      <c r="U68" s="104">
        <f>U52+U56+U60+U64+U67</f>
        <v>0</v>
      </c>
      <c r="V68" s="104">
        <f>V52+AA56+AA60+V64+V67</f>
        <v>0</v>
      </c>
      <c r="W68" s="104">
        <f t="shared" ref="W68:AC68" si="50">W52+W56+W60+W64+W67</f>
        <v>0</v>
      </c>
      <c r="X68" s="104">
        <f t="shared" si="50"/>
        <v>0</v>
      </c>
      <c r="Y68" s="103">
        <f t="shared" si="50"/>
        <v>0</v>
      </c>
      <c r="Z68" s="104">
        <f t="shared" si="50"/>
        <v>0</v>
      </c>
      <c r="AA68" s="104">
        <f t="shared" si="50"/>
        <v>0</v>
      </c>
      <c r="AB68" s="104">
        <f t="shared" si="50"/>
        <v>0</v>
      </c>
      <c r="AC68" s="104">
        <f t="shared" si="50"/>
        <v>0</v>
      </c>
      <c r="AD68" s="111"/>
    </row>
    <row r="69" spans="1:30" s="114" customFormat="1" ht="29.45" customHeight="1" x14ac:dyDescent="0.2">
      <c r="A69" s="113" t="s">
        <v>411</v>
      </c>
      <c r="B69" s="372" t="s">
        <v>1167</v>
      </c>
      <c r="C69" s="373"/>
      <c r="D69" s="373"/>
      <c r="E69" s="373"/>
      <c r="F69" s="373"/>
      <c r="G69" s="373"/>
      <c r="H69" s="373"/>
      <c r="I69" s="373"/>
      <c r="J69" s="373"/>
      <c r="K69" s="373"/>
      <c r="L69" s="373"/>
      <c r="M69" s="373"/>
      <c r="N69" s="373"/>
      <c r="O69" s="373"/>
      <c r="P69" s="373"/>
      <c r="Q69" s="373"/>
      <c r="R69" s="373"/>
      <c r="S69" s="373"/>
      <c r="T69" s="373"/>
      <c r="U69" s="373"/>
      <c r="V69" s="373"/>
      <c r="W69" s="373"/>
      <c r="X69" s="373"/>
      <c r="Y69" s="373"/>
      <c r="Z69" s="373"/>
      <c r="AA69" s="373"/>
      <c r="AB69" s="373"/>
      <c r="AC69" s="374"/>
    </row>
    <row r="70" spans="1:30" s="114" customFormat="1" ht="163.5" customHeight="1" outlineLevel="1" x14ac:dyDescent="0.2">
      <c r="A70" s="115" t="s">
        <v>1168</v>
      </c>
      <c r="B70" s="116" t="s">
        <v>402</v>
      </c>
      <c r="C70" s="117">
        <v>0</v>
      </c>
      <c r="D70" s="118">
        <f t="shared" ref="D70:D77" si="51">F70+K70+P70+U70+Z70</f>
        <v>15947</v>
      </c>
      <c r="E70" s="92">
        <v>0</v>
      </c>
      <c r="F70" s="93">
        <f>I70</f>
        <v>5316</v>
      </c>
      <c r="G70" s="93">
        <v>0</v>
      </c>
      <c r="H70" s="93">
        <v>0</v>
      </c>
      <c r="I70" s="93">
        <f>5960-644</f>
        <v>5316</v>
      </c>
      <c r="J70" s="117">
        <v>0</v>
      </c>
      <c r="K70" s="118">
        <f t="shared" ref="K70:K75" si="52">L70+M70+N70</f>
        <v>5316</v>
      </c>
      <c r="L70" s="118">
        <v>0</v>
      </c>
      <c r="M70" s="119">
        <v>0</v>
      </c>
      <c r="N70" s="118">
        <v>5316</v>
      </c>
      <c r="O70" s="117">
        <v>0</v>
      </c>
      <c r="P70" s="118">
        <f>Q70+R70+S70</f>
        <v>5315</v>
      </c>
      <c r="Q70" s="118">
        <v>0</v>
      </c>
      <c r="R70" s="119">
        <v>0</v>
      </c>
      <c r="S70" s="118">
        <v>5315</v>
      </c>
      <c r="T70" s="120">
        <v>0</v>
      </c>
      <c r="U70" s="119">
        <v>0</v>
      </c>
      <c r="V70" s="119">
        <v>0</v>
      </c>
      <c r="W70" s="119">
        <v>0</v>
      </c>
      <c r="X70" s="119">
        <v>0</v>
      </c>
      <c r="Y70" s="120">
        <v>0</v>
      </c>
      <c r="Z70" s="119">
        <v>0</v>
      </c>
      <c r="AA70" s="119">
        <v>0</v>
      </c>
      <c r="AB70" s="119">
        <v>0</v>
      </c>
      <c r="AC70" s="119">
        <v>0</v>
      </c>
      <c r="AD70" s="121"/>
    </row>
    <row r="71" spans="1:30" s="114" customFormat="1" ht="133.5" customHeight="1" outlineLevel="1" x14ac:dyDescent="0.2">
      <c r="A71" s="115" t="s">
        <v>1169</v>
      </c>
      <c r="B71" s="116" t="s">
        <v>406</v>
      </c>
      <c r="C71" s="117">
        <v>0</v>
      </c>
      <c r="D71" s="118">
        <f t="shared" si="51"/>
        <v>9370</v>
      </c>
      <c r="E71" s="92">
        <v>0</v>
      </c>
      <c r="F71" s="93">
        <f>I71</f>
        <v>4685</v>
      </c>
      <c r="G71" s="93">
        <v>0</v>
      </c>
      <c r="H71" s="93">
        <v>0</v>
      </c>
      <c r="I71" s="93">
        <v>4685</v>
      </c>
      <c r="J71" s="117">
        <v>0</v>
      </c>
      <c r="K71" s="118">
        <f t="shared" si="52"/>
        <v>0</v>
      </c>
      <c r="L71" s="118">
        <v>0</v>
      </c>
      <c r="M71" s="119">
        <v>0</v>
      </c>
      <c r="N71" s="118">
        <v>0</v>
      </c>
      <c r="O71" s="117">
        <v>0</v>
      </c>
      <c r="P71" s="118">
        <f>Q71+R71+S71</f>
        <v>4685</v>
      </c>
      <c r="Q71" s="118">
        <v>0</v>
      </c>
      <c r="R71" s="119">
        <v>0</v>
      </c>
      <c r="S71" s="118">
        <v>4685</v>
      </c>
      <c r="T71" s="120">
        <v>0</v>
      </c>
      <c r="U71" s="119">
        <v>0</v>
      </c>
      <c r="V71" s="119">
        <v>0</v>
      </c>
      <c r="W71" s="119">
        <v>0</v>
      </c>
      <c r="X71" s="119">
        <v>0</v>
      </c>
      <c r="Y71" s="120">
        <v>0</v>
      </c>
      <c r="Z71" s="119">
        <v>0</v>
      </c>
      <c r="AA71" s="119">
        <v>0</v>
      </c>
      <c r="AB71" s="119">
        <v>0</v>
      </c>
      <c r="AC71" s="119">
        <v>0</v>
      </c>
      <c r="AD71" s="121"/>
    </row>
    <row r="72" spans="1:30" s="114" customFormat="1" ht="93" customHeight="1" outlineLevel="1" x14ac:dyDescent="0.2">
      <c r="A72" s="115" t="s">
        <v>1170</v>
      </c>
      <c r="B72" s="116" t="s">
        <v>1687</v>
      </c>
      <c r="C72" s="117">
        <v>1</v>
      </c>
      <c r="D72" s="118">
        <f t="shared" ref="D72" si="53">F72+K72+P72+U72+Z72</f>
        <v>324</v>
      </c>
      <c r="E72" s="92">
        <v>1</v>
      </c>
      <c r="F72" s="93">
        <f>I72</f>
        <v>0</v>
      </c>
      <c r="G72" s="93">
        <v>0</v>
      </c>
      <c r="H72" s="93">
        <v>0</v>
      </c>
      <c r="I72" s="93">
        <v>0</v>
      </c>
      <c r="J72" s="117">
        <v>0</v>
      </c>
      <c r="K72" s="118">
        <f t="shared" si="52"/>
        <v>0</v>
      </c>
      <c r="L72" s="118">
        <v>0</v>
      </c>
      <c r="M72" s="119">
        <v>0</v>
      </c>
      <c r="N72" s="118">
        <v>0</v>
      </c>
      <c r="O72" s="117">
        <v>0</v>
      </c>
      <c r="P72" s="118">
        <f>Q72+R72+S72</f>
        <v>324</v>
      </c>
      <c r="Q72" s="118">
        <v>0</v>
      </c>
      <c r="R72" s="119">
        <v>0</v>
      </c>
      <c r="S72" s="118">
        <v>324</v>
      </c>
      <c r="T72" s="120">
        <v>0</v>
      </c>
      <c r="U72" s="119">
        <v>0</v>
      </c>
      <c r="V72" s="119">
        <v>0</v>
      </c>
      <c r="W72" s="119">
        <v>0</v>
      </c>
      <c r="X72" s="119">
        <v>0</v>
      </c>
      <c r="Y72" s="120">
        <v>0</v>
      </c>
      <c r="Z72" s="119">
        <v>0</v>
      </c>
      <c r="AA72" s="119">
        <v>0</v>
      </c>
      <c r="AB72" s="119">
        <v>0</v>
      </c>
      <c r="AC72" s="119">
        <v>0</v>
      </c>
      <c r="AD72" s="121"/>
    </row>
    <row r="73" spans="1:30" ht="121.5" customHeight="1" outlineLevel="1" x14ac:dyDescent="0.2">
      <c r="A73" s="115" t="s">
        <v>1171</v>
      </c>
      <c r="B73" s="108" t="s">
        <v>989</v>
      </c>
      <c r="C73" s="92">
        <f>E73+J73+O73++Y73+T73</f>
        <v>0</v>
      </c>
      <c r="D73" s="118">
        <f t="shared" si="51"/>
        <v>53</v>
      </c>
      <c r="E73" s="94">
        <v>0</v>
      </c>
      <c r="F73" s="95">
        <v>0</v>
      </c>
      <c r="G73" s="95">
        <v>0</v>
      </c>
      <c r="H73" s="95">
        <v>0</v>
      </c>
      <c r="I73" s="95">
        <v>0</v>
      </c>
      <c r="J73" s="92">
        <v>0</v>
      </c>
      <c r="K73" s="118">
        <f t="shared" si="52"/>
        <v>53</v>
      </c>
      <c r="L73" s="93">
        <v>0</v>
      </c>
      <c r="M73" s="95">
        <v>0</v>
      </c>
      <c r="N73" s="95">
        <v>53</v>
      </c>
      <c r="O73" s="94">
        <v>0</v>
      </c>
      <c r="P73" s="95">
        <f>S73</f>
        <v>0</v>
      </c>
      <c r="Q73" s="95">
        <v>0</v>
      </c>
      <c r="R73" s="95">
        <v>0</v>
      </c>
      <c r="S73" s="95">
        <v>0</v>
      </c>
      <c r="T73" s="94">
        <v>0</v>
      </c>
      <c r="U73" s="93">
        <v>0</v>
      </c>
      <c r="V73" s="93">
        <v>0</v>
      </c>
      <c r="W73" s="93">
        <v>0</v>
      </c>
      <c r="X73" s="93">
        <v>0</v>
      </c>
      <c r="Y73" s="94">
        <v>0</v>
      </c>
      <c r="Z73" s="95">
        <f>AA73+AB73+AC73</f>
        <v>0</v>
      </c>
      <c r="AA73" s="95">
        <v>0</v>
      </c>
      <c r="AB73" s="95">
        <v>0</v>
      </c>
      <c r="AC73" s="95">
        <v>0</v>
      </c>
    </row>
    <row r="74" spans="1:30" s="114" customFormat="1" ht="85.15" customHeight="1" outlineLevel="1" x14ac:dyDescent="0.2">
      <c r="A74" s="115" t="s">
        <v>1172</v>
      </c>
      <c r="B74" s="122" t="s">
        <v>476</v>
      </c>
      <c r="C74" s="117">
        <v>0</v>
      </c>
      <c r="D74" s="118">
        <f t="shared" si="51"/>
        <v>5956</v>
      </c>
      <c r="E74" s="92">
        <v>0</v>
      </c>
      <c r="F74" s="93">
        <f>I74</f>
        <v>0</v>
      </c>
      <c r="G74" s="93">
        <v>0</v>
      </c>
      <c r="H74" s="93">
        <v>0</v>
      </c>
      <c r="I74" s="93">
        <v>0</v>
      </c>
      <c r="J74" s="117">
        <v>0</v>
      </c>
      <c r="K74" s="118">
        <f t="shared" si="52"/>
        <v>0</v>
      </c>
      <c r="L74" s="118">
        <v>0</v>
      </c>
      <c r="M74" s="119">
        <v>0</v>
      </c>
      <c r="N74" s="118">
        <v>0</v>
      </c>
      <c r="O74" s="117">
        <v>0</v>
      </c>
      <c r="P74" s="118">
        <f>S74</f>
        <v>0</v>
      </c>
      <c r="Q74" s="118">
        <v>0</v>
      </c>
      <c r="R74" s="119">
        <v>0</v>
      </c>
      <c r="S74" s="118">
        <f>4887-4887</f>
        <v>0</v>
      </c>
      <c r="T74" s="120">
        <v>0</v>
      </c>
      <c r="U74" s="119">
        <f t="shared" ref="U74:U77" si="54">V74+W74+X74</f>
        <v>5956</v>
      </c>
      <c r="V74" s="119">
        <v>0</v>
      </c>
      <c r="W74" s="119">
        <v>0</v>
      </c>
      <c r="X74" s="119">
        <f>4887+1069</f>
        <v>5956</v>
      </c>
      <c r="Y74" s="120">
        <v>0</v>
      </c>
      <c r="Z74" s="119">
        <f>AA74+AB74+AC74</f>
        <v>0</v>
      </c>
      <c r="AA74" s="119">
        <v>0</v>
      </c>
      <c r="AB74" s="119">
        <v>0</v>
      </c>
      <c r="AC74" s="119">
        <v>0</v>
      </c>
      <c r="AD74" s="121"/>
    </row>
    <row r="75" spans="1:30" s="114" customFormat="1" ht="87" customHeight="1" outlineLevel="1" x14ac:dyDescent="0.2">
      <c r="A75" s="115" t="s">
        <v>1173</v>
      </c>
      <c r="B75" s="122" t="s">
        <v>477</v>
      </c>
      <c r="C75" s="117">
        <v>0</v>
      </c>
      <c r="D75" s="118">
        <f t="shared" si="51"/>
        <v>0</v>
      </c>
      <c r="E75" s="92">
        <v>0</v>
      </c>
      <c r="F75" s="93">
        <v>0</v>
      </c>
      <c r="G75" s="93">
        <v>0</v>
      </c>
      <c r="H75" s="93">
        <v>0</v>
      </c>
      <c r="I75" s="93">
        <v>0</v>
      </c>
      <c r="J75" s="117">
        <v>0</v>
      </c>
      <c r="K75" s="118">
        <f t="shared" si="52"/>
        <v>0</v>
      </c>
      <c r="L75" s="118">
        <v>0</v>
      </c>
      <c r="M75" s="119">
        <v>0</v>
      </c>
      <c r="N75" s="118">
        <v>0</v>
      </c>
      <c r="O75" s="117">
        <v>0</v>
      </c>
      <c r="P75" s="118">
        <v>0</v>
      </c>
      <c r="Q75" s="118">
        <v>0</v>
      </c>
      <c r="R75" s="119">
        <v>0</v>
      </c>
      <c r="S75" s="118">
        <v>0</v>
      </c>
      <c r="T75" s="120">
        <v>0</v>
      </c>
      <c r="U75" s="119">
        <v>0</v>
      </c>
      <c r="V75" s="119">
        <v>0</v>
      </c>
      <c r="W75" s="119">
        <v>0</v>
      </c>
      <c r="X75" s="119">
        <v>0</v>
      </c>
      <c r="Y75" s="120">
        <v>0</v>
      </c>
      <c r="Z75" s="119">
        <f>AA75+AB75+AC75</f>
        <v>0</v>
      </c>
      <c r="AA75" s="119">
        <v>0</v>
      </c>
      <c r="AB75" s="119">
        <v>0</v>
      </c>
      <c r="AC75" s="119">
        <v>0</v>
      </c>
      <c r="AD75" s="121"/>
    </row>
    <row r="76" spans="1:30" s="114" customFormat="1" ht="86.25" customHeight="1" outlineLevel="1" x14ac:dyDescent="0.2">
      <c r="A76" s="115" t="s">
        <v>1174</v>
      </c>
      <c r="B76" s="122" t="s">
        <v>478</v>
      </c>
      <c r="C76" s="117">
        <v>0</v>
      </c>
      <c r="D76" s="118">
        <f t="shared" si="51"/>
        <v>10221</v>
      </c>
      <c r="E76" s="92">
        <v>0</v>
      </c>
      <c r="F76" s="93">
        <f>I76</f>
        <v>0</v>
      </c>
      <c r="G76" s="93">
        <v>0</v>
      </c>
      <c r="H76" s="93">
        <v>0</v>
      </c>
      <c r="I76" s="93">
        <v>0</v>
      </c>
      <c r="J76" s="117">
        <v>0</v>
      </c>
      <c r="K76" s="118">
        <f t="shared" ref="K76:K83" si="55">L76+M76+N76</f>
        <v>0</v>
      </c>
      <c r="L76" s="118">
        <v>0</v>
      </c>
      <c r="M76" s="119">
        <v>0</v>
      </c>
      <c r="N76" s="118">
        <v>0</v>
      </c>
      <c r="O76" s="117">
        <v>0</v>
      </c>
      <c r="P76" s="118">
        <f>S76</f>
        <v>0</v>
      </c>
      <c r="Q76" s="118">
        <v>0</v>
      </c>
      <c r="R76" s="119">
        <v>0</v>
      </c>
      <c r="S76" s="118">
        <v>0</v>
      </c>
      <c r="T76" s="120">
        <v>0</v>
      </c>
      <c r="U76" s="119">
        <f t="shared" si="54"/>
        <v>10221</v>
      </c>
      <c r="V76" s="119">
        <v>0</v>
      </c>
      <c r="W76" s="119">
        <v>0</v>
      </c>
      <c r="X76" s="119">
        <f>0+10221</f>
        <v>10221</v>
      </c>
      <c r="Y76" s="120">
        <v>0</v>
      </c>
      <c r="Z76" s="119">
        <f>AA76+AB76+AC76</f>
        <v>0</v>
      </c>
      <c r="AA76" s="119">
        <v>0</v>
      </c>
      <c r="AB76" s="119">
        <v>0</v>
      </c>
      <c r="AC76" s="119">
        <v>0</v>
      </c>
      <c r="AD76" s="121"/>
    </row>
    <row r="77" spans="1:30" s="114" customFormat="1" ht="93" customHeight="1" outlineLevel="1" x14ac:dyDescent="0.2">
      <c r="A77" s="115" t="s">
        <v>1175</v>
      </c>
      <c r="B77" s="122" t="s">
        <v>479</v>
      </c>
      <c r="C77" s="117">
        <v>0</v>
      </c>
      <c r="D77" s="118">
        <f t="shared" si="51"/>
        <v>0</v>
      </c>
      <c r="E77" s="92">
        <v>0</v>
      </c>
      <c r="F77" s="93">
        <v>0</v>
      </c>
      <c r="G77" s="93">
        <v>0</v>
      </c>
      <c r="H77" s="93">
        <v>0</v>
      </c>
      <c r="I77" s="93">
        <v>0</v>
      </c>
      <c r="J77" s="117">
        <v>0</v>
      </c>
      <c r="K77" s="118">
        <f t="shared" si="55"/>
        <v>0</v>
      </c>
      <c r="L77" s="118">
        <v>0</v>
      </c>
      <c r="M77" s="119">
        <v>0</v>
      </c>
      <c r="N77" s="118">
        <v>0</v>
      </c>
      <c r="O77" s="117">
        <v>0</v>
      </c>
      <c r="P77" s="118">
        <f>S77</f>
        <v>0</v>
      </c>
      <c r="Q77" s="118">
        <v>0</v>
      </c>
      <c r="R77" s="119">
        <v>0</v>
      </c>
      <c r="S77" s="118">
        <v>0</v>
      </c>
      <c r="T77" s="120">
        <v>0</v>
      </c>
      <c r="U77" s="119">
        <f t="shared" si="54"/>
        <v>0</v>
      </c>
      <c r="V77" s="119">
        <v>0</v>
      </c>
      <c r="W77" s="119">
        <v>0</v>
      </c>
      <c r="X77" s="119">
        <v>0</v>
      </c>
      <c r="Y77" s="120">
        <v>0</v>
      </c>
      <c r="Z77" s="119">
        <f t="shared" ref="Z77:Z81" si="56">AA77+AB77+AC77</f>
        <v>0</v>
      </c>
      <c r="AA77" s="119">
        <v>0</v>
      </c>
      <c r="AB77" s="119">
        <v>0</v>
      </c>
      <c r="AC77" s="119">
        <v>0</v>
      </c>
      <c r="AD77" s="121"/>
    </row>
    <row r="78" spans="1:30" s="114" customFormat="1" ht="145.5" customHeight="1" outlineLevel="1" x14ac:dyDescent="0.2">
      <c r="A78" s="115" t="s">
        <v>1176</v>
      </c>
      <c r="B78" s="122" t="s">
        <v>797</v>
      </c>
      <c r="C78" s="117">
        <v>0</v>
      </c>
      <c r="D78" s="118">
        <f t="shared" ref="D78" si="57">F78+K78+P78+U78+Z78</f>
        <v>10340</v>
      </c>
      <c r="E78" s="92">
        <v>0</v>
      </c>
      <c r="F78" s="93">
        <f t="shared" ref="F78:F81" si="58">G78+H78+I78</f>
        <v>6871</v>
      </c>
      <c r="G78" s="93">
        <v>0</v>
      </c>
      <c r="H78" s="93">
        <v>0</v>
      </c>
      <c r="I78" s="93">
        <v>6871</v>
      </c>
      <c r="J78" s="117">
        <v>0</v>
      </c>
      <c r="K78" s="118">
        <f>L78+M78+N78</f>
        <v>3469</v>
      </c>
      <c r="L78" s="118">
        <v>0</v>
      </c>
      <c r="M78" s="119">
        <v>0</v>
      </c>
      <c r="N78" s="118">
        <f>3361+108</f>
        <v>3469</v>
      </c>
      <c r="O78" s="117">
        <v>0</v>
      </c>
      <c r="P78" s="118">
        <f t="shared" ref="P78:P81" si="59">Q78+R78+S78</f>
        <v>0</v>
      </c>
      <c r="Q78" s="118">
        <v>0</v>
      </c>
      <c r="R78" s="119">
        <v>0</v>
      </c>
      <c r="S78" s="118">
        <v>0</v>
      </c>
      <c r="T78" s="120">
        <v>0</v>
      </c>
      <c r="U78" s="119">
        <f t="shared" ref="U78:U81" si="60">V78+W78+X78</f>
        <v>0</v>
      </c>
      <c r="V78" s="119">
        <v>0</v>
      </c>
      <c r="W78" s="119">
        <v>0</v>
      </c>
      <c r="X78" s="119">
        <v>0</v>
      </c>
      <c r="Y78" s="120">
        <v>0</v>
      </c>
      <c r="Z78" s="119">
        <f t="shared" si="56"/>
        <v>0</v>
      </c>
      <c r="AA78" s="119">
        <v>0</v>
      </c>
      <c r="AB78" s="119">
        <v>0</v>
      </c>
      <c r="AC78" s="119">
        <v>0</v>
      </c>
      <c r="AD78" s="121"/>
    </row>
    <row r="79" spans="1:30" s="114" customFormat="1" ht="73.5" customHeight="1" outlineLevel="1" x14ac:dyDescent="0.2">
      <c r="A79" s="115" t="s">
        <v>1177</v>
      </c>
      <c r="B79" s="122" t="s">
        <v>586</v>
      </c>
      <c r="C79" s="117">
        <v>0</v>
      </c>
      <c r="D79" s="118">
        <f t="shared" ref="D79" si="61">F79+K79+P79+U79+Z79</f>
        <v>0</v>
      </c>
      <c r="E79" s="92">
        <v>0</v>
      </c>
      <c r="F79" s="93">
        <f t="shared" si="58"/>
        <v>0</v>
      </c>
      <c r="G79" s="93">
        <v>0</v>
      </c>
      <c r="H79" s="93">
        <v>0</v>
      </c>
      <c r="I79" s="93">
        <v>0</v>
      </c>
      <c r="J79" s="117">
        <v>0</v>
      </c>
      <c r="K79" s="118">
        <f t="shared" si="55"/>
        <v>0</v>
      </c>
      <c r="L79" s="118">
        <v>0</v>
      </c>
      <c r="M79" s="119">
        <v>0</v>
      </c>
      <c r="N79" s="118">
        <v>0</v>
      </c>
      <c r="O79" s="117">
        <v>0</v>
      </c>
      <c r="P79" s="118">
        <f t="shared" si="59"/>
        <v>0</v>
      </c>
      <c r="Q79" s="118">
        <v>0</v>
      </c>
      <c r="R79" s="119">
        <v>0</v>
      </c>
      <c r="S79" s="118">
        <v>0</v>
      </c>
      <c r="T79" s="120">
        <v>0</v>
      </c>
      <c r="U79" s="119">
        <f t="shared" si="60"/>
        <v>0</v>
      </c>
      <c r="V79" s="119">
        <v>0</v>
      </c>
      <c r="W79" s="119">
        <v>0</v>
      </c>
      <c r="X79" s="119">
        <v>0</v>
      </c>
      <c r="Y79" s="120">
        <v>0</v>
      </c>
      <c r="Z79" s="119">
        <f t="shared" si="56"/>
        <v>0</v>
      </c>
      <c r="AA79" s="119">
        <v>0</v>
      </c>
      <c r="AB79" s="119">
        <v>0</v>
      </c>
      <c r="AC79" s="119">
        <v>0</v>
      </c>
      <c r="AD79" s="121"/>
    </row>
    <row r="80" spans="1:30" s="114" customFormat="1" ht="165.75" customHeight="1" outlineLevel="1" x14ac:dyDescent="0.2">
      <c r="A80" s="115" t="s">
        <v>1178</v>
      </c>
      <c r="B80" s="122" t="s">
        <v>587</v>
      </c>
      <c r="C80" s="117">
        <v>0</v>
      </c>
      <c r="D80" s="118">
        <f t="shared" ref="D80" si="62">F80+K80+P80+U80+Z80</f>
        <v>3016</v>
      </c>
      <c r="E80" s="92">
        <v>0</v>
      </c>
      <c r="F80" s="93">
        <f t="shared" si="58"/>
        <v>1512</v>
      </c>
      <c r="G80" s="93">
        <v>0</v>
      </c>
      <c r="H80" s="93">
        <v>0</v>
      </c>
      <c r="I80" s="93">
        <v>1512</v>
      </c>
      <c r="J80" s="117">
        <v>0</v>
      </c>
      <c r="K80" s="118">
        <f t="shared" si="55"/>
        <v>1504</v>
      </c>
      <c r="L80" s="118">
        <v>0</v>
      </c>
      <c r="M80" s="119">
        <v>0</v>
      </c>
      <c r="N80" s="118">
        <v>1504</v>
      </c>
      <c r="O80" s="117">
        <v>0</v>
      </c>
      <c r="P80" s="118">
        <f t="shared" si="59"/>
        <v>0</v>
      </c>
      <c r="Q80" s="118">
        <v>0</v>
      </c>
      <c r="R80" s="119">
        <v>0</v>
      </c>
      <c r="S80" s="118">
        <v>0</v>
      </c>
      <c r="T80" s="120">
        <v>0</v>
      </c>
      <c r="U80" s="119">
        <f t="shared" si="60"/>
        <v>0</v>
      </c>
      <c r="V80" s="119">
        <v>0</v>
      </c>
      <c r="W80" s="119">
        <v>0</v>
      </c>
      <c r="X80" s="119">
        <v>0</v>
      </c>
      <c r="Y80" s="120">
        <v>0</v>
      </c>
      <c r="Z80" s="119">
        <f t="shared" si="56"/>
        <v>0</v>
      </c>
      <c r="AA80" s="119">
        <v>0</v>
      </c>
      <c r="AB80" s="119">
        <v>0</v>
      </c>
      <c r="AC80" s="119">
        <v>0</v>
      </c>
      <c r="AD80" s="121"/>
    </row>
    <row r="81" spans="1:31" s="114" customFormat="1" ht="75" customHeight="1" outlineLevel="1" x14ac:dyDescent="0.2">
      <c r="A81" s="115" t="s">
        <v>1179</v>
      </c>
      <c r="B81" s="122" t="s">
        <v>588</v>
      </c>
      <c r="C81" s="117">
        <v>0</v>
      </c>
      <c r="D81" s="118">
        <f t="shared" ref="D81" si="63">F81+K81+P81+U81+Z81</f>
        <v>1100</v>
      </c>
      <c r="E81" s="92">
        <v>0</v>
      </c>
      <c r="F81" s="93">
        <f t="shared" si="58"/>
        <v>1100</v>
      </c>
      <c r="G81" s="93">
        <v>0</v>
      </c>
      <c r="H81" s="93">
        <v>0</v>
      </c>
      <c r="I81" s="93">
        <v>1100</v>
      </c>
      <c r="J81" s="117">
        <v>0</v>
      </c>
      <c r="K81" s="118">
        <f t="shared" si="55"/>
        <v>0</v>
      </c>
      <c r="L81" s="118">
        <v>0</v>
      </c>
      <c r="M81" s="119">
        <v>0</v>
      </c>
      <c r="N81" s="118">
        <v>0</v>
      </c>
      <c r="O81" s="117">
        <v>0</v>
      </c>
      <c r="P81" s="118">
        <f t="shared" si="59"/>
        <v>0</v>
      </c>
      <c r="Q81" s="118">
        <v>0</v>
      </c>
      <c r="R81" s="119">
        <v>0</v>
      </c>
      <c r="S81" s="118">
        <v>0</v>
      </c>
      <c r="T81" s="120">
        <v>0</v>
      </c>
      <c r="U81" s="119">
        <f t="shared" si="60"/>
        <v>0</v>
      </c>
      <c r="V81" s="119">
        <v>0</v>
      </c>
      <c r="W81" s="119">
        <v>0</v>
      </c>
      <c r="X81" s="119">
        <v>0</v>
      </c>
      <c r="Y81" s="120">
        <v>0</v>
      </c>
      <c r="Z81" s="119">
        <f t="shared" si="56"/>
        <v>0</v>
      </c>
      <c r="AA81" s="119">
        <v>0</v>
      </c>
      <c r="AB81" s="119">
        <v>0</v>
      </c>
      <c r="AC81" s="119">
        <v>0</v>
      </c>
      <c r="AD81" s="121"/>
    </row>
    <row r="82" spans="1:31" s="114" customFormat="1" ht="110.45" customHeight="1" outlineLevel="1" x14ac:dyDescent="0.2">
      <c r="A82" s="115" t="s">
        <v>1180</v>
      </c>
      <c r="B82" s="122" t="s">
        <v>615</v>
      </c>
      <c r="C82" s="117">
        <v>0</v>
      </c>
      <c r="D82" s="118">
        <f t="shared" ref="D82:D83" si="64">F82+K82+P82+U82+Z82</f>
        <v>13280</v>
      </c>
      <c r="E82" s="92">
        <v>0</v>
      </c>
      <c r="F82" s="93">
        <f t="shared" ref="F82:F83" si="65">G82+H82+I82</f>
        <v>6923</v>
      </c>
      <c r="G82" s="93">
        <v>0</v>
      </c>
      <c r="H82" s="93">
        <v>6590</v>
      </c>
      <c r="I82" s="93">
        <v>333</v>
      </c>
      <c r="J82" s="117">
        <v>0</v>
      </c>
      <c r="K82" s="118">
        <f t="shared" si="55"/>
        <v>6357</v>
      </c>
      <c r="L82" s="118">
        <v>0</v>
      </c>
      <c r="M82" s="119">
        <v>0</v>
      </c>
      <c r="N82" s="118">
        <v>6357</v>
      </c>
      <c r="O82" s="117">
        <v>0</v>
      </c>
      <c r="P82" s="118">
        <f t="shared" ref="P82:P83" si="66">Q82+R82+S82</f>
        <v>0</v>
      </c>
      <c r="Q82" s="118">
        <v>0</v>
      </c>
      <c r="R82" s="119">
        <v>0</v>
      </c>
      <c r="S82" s="118">
        <v>0</v>
      </c>
      <c r="T82" s="120">
        <v>0</v>
      </c>
      <c r="U82" s="119">
        <f t="shared" ref="U82:U83" si="67">V82+W82+X82</f>
        <v>0</v>
      </c>
      <c r="V82" s="119">
        <v>0</v>
      </c>
      <c r="W82" s="119">
        <v>0</v>
      </c>
      <c r="X82" s="119">
        <v>0</v>
      </c>
      <c r="Y82" s="120">
        <v>0</v>
      </c>
      <c r="Z82" s="119">
        <f t="shared" ref="Z82:Z83" si="68">AA82+AB82+AC82</f>
        <v>0</v>
      </c>
      <c r="AA82" s="119">
        <v>0</v>
      </c>
      <c r="AB82" s="119">
        <v>0</v>
      </c>
      <c r="AC82" s="119">
        <v>0</v>
      </c>
      <c r="AD82" s="121"/>
    </row>
    <row r="83" spans="1:31" s="114" customFormat="1" ht="236.45" customHeight="1" outlineLevel="1" x14ac:dyDescent="0.2">
      <c r="A83" s="115" t="s">
        <v>1181</v>
      </c>
      <c r="B83" s="122" t="s">
        <v>616</v>
      </c>
      <c r="C83" s="117">
        <v>0</v>
      </c>
      <c r="D83" s="118">
        <f t="shared" si="64"/>
        <v>778</v>
      </c>
      <c r="E83" s="92">
        <v>0</v>
      </c>
      <c r="F83" s="93">
        <f t="shared" si="65"/>
        <v>778</v>
      </c>
      <c r="G83" s="93">
        <v>0</v>
      </c>
      <c r="H83" s="93">
        <v>0</v>
      </c>
      <c r="I83" s="93">
        <v>778</v>
      </c>
      <c r="J83" s="117">
        <v>0</v>
      </c>
      <c r="K83" s="118">
        <f t="shared" si="55"/>
        <v>0</v>
      </c>
      <c r="L83" s="118">
        <v>0</v>
      </c>
      <c r="M83" s="119">
        <v>0</v>
      </c>
      <c r="N83" s="118">
        <v>0</v>
      </c>
      <c r="O83" s="117">
        <v>0</v>
      </c>
      <c r="P83" s="118">
        <f t="shared" si="66"/>
        <v>0</v>
      </c>
      <c r="Q83" s="118">
        <v>0</v>
      </c>
      <c r="R83" s="119">
        <v>0</v>
      </c>
      <c r="S83" s="118">
        <v>0</v>
      </c>
      <c r="T83" s="120">
        <v>0</v>
      </c>
      <c r="U83" s="119">
        <f t="shared" si="67"/>
        <v>0</v>
      </c>
      <c r="V83" s="119">
        <v>0</v>
      </c>
      <c r="W83" s="119">
        <v>0</v>
      </c>
      <c r="X83" s="119">
        <v>0</v>
      </c>
      <c r="Y83" s="120">
        <v>0</v>
      </c>
      <c r="Z83" s="119">
        <f t="shared" si="68"/>
        <v>0</v>
      </c>
      <c r="AA83" s="119">
        <v>0</v>
      </c>
      <c r="AB83" s="119">
        <v>0</v>
      </c>
      <c r="AC83" s="119">
        <v>0</v>
      </c>
      <c r="AD83" s="121"/>
    </row>
    <row r="84" spans="1:31" s="114" customFormat="1" ht="116.25" customHeight="1" outlineLevel="1" x14ac:dyDescent="0.2">
      <c r="A84" s="115" t="s">
        <v>1182</v>
      </c>
      <c r="B84" s="122" t="s">
        <v>677</v>
      </c>
      <c r="C84" s="117">
        <v>0</v>
      </c>
      <c r="D84" s="118">
        <f t="shared" ref="D84:D88" si="69">F84+K84+P84+U84+Z84</f>
        <v>4370</v>
      </c>
      <c r="E84" s="92">
        <v>0</v>
      </c>
      <c r="F84" s="93">
        <f t="shared" ref="F84:F88" si="70">G84+H84+I84</f>
        <v>4370</v>
      </c>
      <c r="G84" s="93">
        <v>0</v>
      </c>
      <c r="H84" s="93">
        <v>4160</v>
      </c>
      <c r="I84" s="93">
        <v>210</v>
      </c>
      <c r="J84" s="117">
        <v>0</v>
      </c>
      <c r="K84" s="118">
        <f t="shared" ref="K84:K89" si="71">L84+M84+N84</f>
        <v>0</v>
      </c>
      <c r="L84" s="118">
        <v>0</v>
      </c>
      <c r="M84" s="119">
        <v>0</v>
      </c>
      <c r="N84" s="118">
        <v>0</v>
      </c>
      <c r="O84" s="117">
        <v>0</v>
      </c>
      <c r="P84" s="118">
        <f t="shared" ref="P84:P88" si="72">Q84+R84+S84</f>
        <v>0</v>
      </c>
      <c r="Q84" s="118">
        <v>0</v>
      </c>
      <c r="R84" s="119">
        <v>0</v>
      </c>
      <c r="S84" s="118">
        <v>0</v>
      </c>
      <c r="T84" s="120">
        <v>0</v>
      </c>
      <c r="U84" s="119">
        <f t="shared" ref="U84:U88" si="73">V84+W84+X84</f>
        <v>0</v>
      </c>
      <c r="V84" s="119">
        <v>0</v>
      </c>
      <c r="W84" s="119">
        <v>0</v>
      </c>
      <c r="X84" s="119">
        <v>0</v>
      </c>
      <c r="Y84" s="120">
        <v>0</v>
      </c>
      <c r="Z84" s="119">
        <f t="shared" ref="Z84:Z88" si="74">AA84+AB84+AC84</f>
        <v>0</v>
      </c>
      <c r="AA84" s="119">
        <v>0</v>
      </c>
      <c r="AB84" s="119">
        <v>0</v>
      </c>
      <c r="AC84" s="119">
        <v>0</v>
      </c>
      <c r="AD84" s="121"/>
    </row>
    <row r="85" spans="1:31" s="114" customFormat="1" ht="109.5" customHeight="1" outlineLevel="1" x14ac:dyDescent="0.2">
      <c r="A85" s="115" t="s">
        <v>1183</v>
      </c>
      <c r="B85" s="122" t="s">
        <v>678</v>
      </c>
      <c r="C85" s="117">
        <v>0</v>
      </c>
      <c r="D85" s="118">
        <f t="shared" si="69"/>
        <v>4081</v>
      </c>
      <c r="E85" s="92">
        <v>0</v>
      </c>
      <c r="F85" s="93">
        <f t="shared" si="70"/>
        <v>4081</v>
      </c>
      <c r="G85" s="93">
        <v>0</v>
      </c>
      <c r="H85" s="93">
        <v>3885</v>
      </c>
      <c r="I85" s="93">
        <v>196</v>
      </c>
      <c r="J85" s="117">
        <v>0</v>
      </c>
      <c r="K85" s="118">
        <f t="shared" si="71"/>
        <v>0</v>
      </c>
      <c r="L85" s="118">
        <v>0</v>
      </c>
      <c r="M85" s="119">
        <v>0</v>
      </c>
      <c r="N85" s="118">
        <v>0</v>
      </c>
      <c r="O85" s="117">
        <v>0</v>
      </c>
      <c r="P85" s="118">
        <f t="shared" si="72"/>
        <v>0</v>
      </c>
      <c r="Q85" s="118">
        <v>0</v>
      </c>
      <c r="R85" s="119">
        <v>0</v>
      </c>
      <c r="S85" s="118">
        <v>0</v>
      </c>
      <c r="T85" s="120">
        <v>0</v>
      </c>
      <c r="U85" s="119">
        <f t="shared" si="73"/>
        <v>0</v>
      </c>
      <c r="V85" s="119">
        <v>0</v>
      </c>
      <c r="W85" s="119">
        <v>0</v>
      </c>
      <c r="X85" s="119">
        <v>0</v>
      </c>
      <c r="Y85" s="120">
        <v>0</v>
      </c>
      <c r="Z85" s="119">
        <f t="shared" si="74"/>
        <v>0</v>
      </c>
      <c r="AA85" s="119">
        <v>0</v>
      </c>
      <c r="AB85" s="119">
        <v>0</v>
      </c>
      <c r="AC85" s="119">
        <v>0</v>
      </c>
      <c r="AD85" s="121"/>
    </row>
    <row r="86" spans="1:31" s="114" customFormat="1" ht="105.6" customHeight="1" outlineLevel="1" x14ac:dyDescent="0.2">
      <c r="A86" s="115" t="s">
        <v>1184</v>
      </c>
      <c r="B86" s="122" t="s">
        <v>679</v>
      </c>
      <c r="C86" s="117">
        <v>0</v>
      </c>
      <c r="D86" s="118">
        <f t="shared" si="69"/>
        <v>1786</v>
      </c>
      <c r="E86" s="92">
        <v>0</v>
      </c>
      <c r="F86" s="93">
        <f t="shared" si="70"/>
        <v>1786</v>
      </c>
      <c r="G86" s="93">
        <v>0</v>
      </c>
      <c r="H86" s="93">
        <v>1700</v>
      </c>
      <c r="I86" s="93">
        <v>86</v>
      </c>
      <c r="J86" s="117">
        <v>0</v>
      </c>
      <c r="K86" s="118">
        <f t="shared" si="71"/>
        <v>0</v>
      </c>
      <c r="L86" s="118">
        <v>0</v>
      </c>
      <c r="M86" s="119">
        <v>0</v>
      </c>
      <c r="N86" s="118">
        <v>0</v>
      </c>
      <c r="O86" s="117">
        <v>0</v>
      </c>
      <c r="P86" s="118">
        <f t="shared" si="72"/>
        <v>0</v>
      </c>
      <c r="Q86" s="118">
        <v>0</v>
      </c>
      <c r="R86" s="119">
        <v>0</v>
      </c>
      <c r="S86" s="118">
        <v>0</v>
      </c>
      <c r="T86" s="120">
        <v>0</v>
      </c>
      <c r="U86" s="119">
        <f t="shared" si="73"/>
        <v>0</v>
      </c>
      <c r="V86" s="119">
        <v>0</v>
      </c>
      <c r="W86" s="119">
        <v>0</v>
      </c>
      <c r="X86" s="119">
        <v>0</v>
      </c>
      <c r="Y86" s="120">
        <v>0</v>
      </c>
      <c r="Z86" s="119">
        <f t="shared" si="74"/>
        <v>0</v>
      </c>
      <c r="AA86" s="119">
        <v>0</v>
      </c>
      <c r="AB86" s="119">
        <v>0</v>
      </c>
      <c r="AC86" s="119">
        <v>0</v>
      </c>
      <c r="AD86" s="121"/>
    </row>
    <row r="87" spans="1:31" s="114" customFormat="1" ht="105.6" customHeight="1" outlineLevel="1" x14ac:dyDescent="0.2">
      <c r="A87" s="115" t="s">
        <v>1185</v>
      </c>
      <c r="B87" s="122" t="s">
        <v>833</v>
      </c>
      <c r="C87" s="117">
        <v>0</v>
      </c>
      <c r="D87" s="118">
        <f t="shared" si="69"/>
        <v>3041</v>
      </c>
      <c r="E87" s="92">
        <v>0</v>
      </c>
      <c r="F87" s="93">
        <f t="shared" si="70"/>
        <v>3041</v>
      </c>
      <c r="G87" s="93">
        <v>0</v>
      </c>
      <c r="H87" s="93">
        <v>0</v>
      </c>
      <c r="I87" s="93">
        <v>3041</v>
      </c>
      <c r="J87" s="117">
        <v>0</v>
      </c>
      <c r="K87" s="118">
        <f t="shared" si="71"/>
        <v>0</v>
      </c>
      <c r="L87" s="118">
        <v>0</v>
      </c>
      <c r="M87" s="119">
        <v>0</v>
      </c>
      <c r="N87" s="118">
        <v>0</v>
      </c>
      <c r="O87" s="117">
        <v>0</v>
      </c>
      <c r="P87" s="118">
        <f t="shared" si="72"/>
        <v>0</v>
      </c>
      <c r="Q87" s="118">
        <v>0</v>
      </c>
      <c r="R87" s="119">
        <v>0</v>
      </c>
      <c r="S87" s="118">
        <v>0</v>
      </c>
      <c r="T87" s="120">
        <v>0</v>
      </c>
      <c r="U87" s="119">
        <f t="shared" si="73"/>
        <v>0</v>
      </c>
      <c r="V87" s="119">
        <v>0</v>
      </c>
      <c r="W87" s="119">
        <v>0</v>
      </c>
      <c r="X87" s="119">
        <v>0</v>
      </c>
      <c r="Y87" s="120">
        <v>0</v>
      </c>
      <c r="Z87" s="119">
        <f t="shared" si="74"/>
        <v>0</v>
      </c>
      <c r="AA87" s="119">
        <v>0</v>
      </c>
      <c r="AB87" s="119">
        <v>0</v>
      </c>
      <c r="AC87" s="119">
        <v>0</v>
      </c>
      <c r="AD87" s="121"/>
    </row>
    <row r="88" spans="1:31" s="114" customFormat="1" ht="105.6" customHeight="1" outlineLevel="1" x14ac:dyDescent="0.2">
      <c r="A88" s="115" t="s">
        <v>1186</v>
      </c>
      <c r="B88" s="122" t="s">
        <v>834</v>
      </c>
      <c r="C88" s="117">
        <v>0</v>
      </c>
      <c r="D88" s="118">
        <f t="shared" si="69"/>
        <v>3893</v>
      </c>
      <c r="E88" s="92">
        <v>0</v>
      </c>
      <c r="F88" s="93">
        <f t="shared" si="70"/>
        <v>3893</v>
      </c>
      <c r="G88" s="93">
        <v>0</v>
      </c>
      <c r="H88" s="93">
        <v>0</v>
      </c>
      <c r="I88" s="93">
        <f>3893</f>
        <v>3893</v>
      </c>
      <c r="J88" s="117">
        <v>0</v>
      </c>
      <c r="K88" s="118">
        <f t="shared" si="71"/>
        <v>0</v>
      </c>
      <c r="L88" s="118">
        <v>0</v>
      </c>
      <c r="M88" s="119">
        <v>0</v>
      </c>
      <c r="N88" s="118">
        <v>0</v>
      </c>
      <c r="O88" s="117">
        <v>0</v>
      </c>
      <c r="P88" s="118">
        <f t="shared" si="72"/>
        <v>0</v>
      </c>
      <c r="Q88" s="118">
        <v>0</v>
      </c>
      <c r="R88" s="119">
        <v>0</v>
      </c>
      <c r="S88" s="118">
        <v>0</v>
      </c>
      <c r="T88" s="120">
        <v>0</v>
      </c>
      <c r="U88" s="119">
        <f t="shared" si="73"/>
        <v>0</v>
      </c>
      <c r="V88" s="119">
        <v>0</v>
      </c>
      <c r="W88" s="119">
        <v>0</v>
      </c>
      <c r="X88" s="119">
        <v>0</v>
      </c>
      <c r="Y88" s="120">
        <v>0</v>
      </c>
      <c r="Z88" s="119">
        <f t="shared" si="74"/>
        <v>0</v>
      </c>
      <c r="AA88" s="119">
        <v>0</v>
      </c>
      <c r="AB88" s="119">
        <v>0</v>
      </c>
      <c r="AC88" s="119">
        <v>0</v>
      </c>
      <c r="AD88" s="121"/>
    </row>
    <row r="89" spans="1:31" s="114" customFormat="1" ht="72" customHeight="1" outlineLevel="1" x14ac:dyDescent="0.2">
      <c r="A89" s="115" t="s">
        <v>1187</v>
      </c>
      <c r="B89" s="122" t="s">
        <v>862</v>
      </c>
      <c r="C89" s="117">
        <v>0</v>
      </c>
      <c r="D89" s="118">
        <f t="shared" ref="D89" si="75">F89+K89+P89+U89+Z89</f>
        <v>263</v>
      </c>
      <c r="E89" s="92">
        <v>0</v>
      </c>
      <c r="F89" s="93">
        <f t="shared" ref="F89" si="76">G89+H89+I89</f>
        <v>0</v>
      </c>
      <c r="G89" s="93">
        <v>0</v>
      </c>
      <c r="H89" s="93">
        <v>0</v>
      </c>
      <c r="I89" s="93">
        <v>0</v>
      </c>
      <c r="J89" s="117">
        <v>0</v>
      </c>
      <c r="K89" s="118">
        <f t="shared" si="71"/>
        <v>263</v>
      </c>
      <c r="L89" s="118">
        <v>0</v>
      </c>
      <c r="M89" s="119">
        <v>0</v>
      </c>
      <c r="N89" s="118">
        <v>263</v>
      </c>
      <c r="O89" s="117">
        <v>0</v>
      </c>
      <c r="P89" s="118">
        <f t="shared" ref="P89" si="77">Q89+R89+S89</f>
        <v>0</v>
      </c>
      <c r="Q89" s="118">
        <v>0</v>
      </c>
      <c r="R89" s="119">
        <v>0</v>
      </c>
      <c r="S89" s="118">
        <v>0</v>
      </c>
      <c r="T89" s="120">
        <v>0</v>
      </c>
      <c r="U89" s="119">
        <f t="shared" ref="U89" si="78">V89+W89+X89</f>
        <v>0</v>
      </c>
      <c r="V89" s="119">
        <v>0</v>
      </c>
      <c r="W89" s="119">
        <v>0</v>
      </c>
      <c r="X89" s="119">
        <v>0</v>
      </c>
      <c r="Y89" s="120">
        <v>0</v>
      </c>
      <c r="Z89" s="119">
        <f t="shared" ref="Z89" si="79">AA89+AB89+AC89</f>
        <v>0</v>
      </c>
      <c r="AA89" s="119">
        <v>0</v>
      </c>
      <c r="AB89" s="119">
        <v>0</v>
      </c>
      <c r="AC89" s="119">
        <v>0</v>
      </c>
      <c r="AD89" s="121"/>
    </row>
    <row r="90" spans="1:31" s="114" customFormat="1" ht="87" customHeight="1" outlineLevel="1" x14ac:dyDescent="0.2">
      <c r="A90" s="115" t="s">
        <v>1188</v>
      </c>
      <c r="B90" s="122" t="s">
        <v>866</v>
      </c>
      <c r="C90" s="117">
        <v>0</v>
      </c>
      <c r="D90" s="118">
        <f t="shared" ref="D90:D91" si="80">F90+K90+P90+U90+Z90</f>
        <v>1366</v>
      </c>
      <c r="E90" s="92">
        <v>0</v>
      </c>
      <c r="F90" s="93">
        <f t="shared" ref="F90:F91" si="81">G90+H90+I90</f>
        <v>0</v>
      </c>
      <c r="G90" s="93">
        <v>0</v>
      </c>
      <c r="H90" s="93">
        <v>0</v>
      </c>
      <c r="I90" s="93">
        <v>0</v>
      </c>
      <c r="J90" s="117">
        <v>0</v>
      </c>
      <c r="K90" s="118">
        <f t="shared" ref="K90:K91" si="82">SUM(L90:N90)</f>
        <v>0</v>
      </c>
      <c r="L90" s="118">
        <v>0</v>
      </c>
      <c r="M90" s="119">
        <v>0</v>
      </c>
      <c r="N90" s="118">
        <f>2016-1236-780</f>
        <v>0</v>
      </c>
      <c r="O90" s="117">
        <v>0</v>
      </c>
      <c r="P90" s="118">
        <f t="shared" ref="P90:P91" si="83">Q90+R90+S90</f>
        <v>1366</v>
      </c>
      <c r="Q90" s="118">
        <v>0</v>
      </c>
      <c r="R90" s="119">
        <v>0</v>
      </c>
      <c r="S90" s="118">
        <v>1366</v>
      </c>
      <c r="T90" s="120">
        <v>0</v>
      </c>
      <c r="U90" s="119">
        <f t="shared" ref="U90:U91" si="84">V90+W90+X90</f>
        <v>0</v>
      </c>
      <c r="V90" s="119">
        <v>0</v>
      </c>
      <c r="W90" s="119">
        <v>0</v>
      </c>
      <c r="X90" s="119">
        <v>0</v>
      </c>
      <c r="Y90" s="120">
        <v>0</v>
      </c>
      <c r="Z90" s="119">
        <f t="shared" ref="Z90:Z91" si="85">AA90+AB90+AC90</f>
        <v>0</v>
      </c>
      <c r="AA90" s="119">
        <v>0</v>
      </c>
      <c r="AB90" s="119">
        <v>0</v>
      </c>
      <c r="AC90" s="119">
        <v>0</v>
      </c>
      <c r="AD90" s="121"/>
    </row>
    <row r="91" spans="1:31" s="114" customFormat="1" ht="72" customHeight="1" outlineLevel="1" x14ac:dyDescent="0.2">
      <c r="A91" s="115" t="s">
        <v>1189</v>
      </c>
      <c r="B91" s="122" t="s">
        <v>867</v>
      </c>
      <c r="C91" s="117">
        <v>0</v>
      </c>
      <c r="D91" s="118">
        <f t="shared" si="80"/>
        <v>0</v>
      </c>
      <c r="E91" s="92">
        <v>0</v>
      </c>
      <c r="F91" s="93">
        <f t="shared" si="81"/>
        <v>0</v>
      </c>
      <c r="G91" s="93">
        <v>0</v>
      </c>
      <c r="H91" s="93">
        <v>0</v>
      </c>
      <c r="I91" s="93">
        <v>0</v>
      </c>
      <c r="J91" s="117">
        <v>0</v>
      </c>
      <c r="K91" s="118">
        <f t="shared" si="82"/>
        <v>0</v>
      </c>
      <c r="L91" s="118">
        <v>0</v>
      </c>
      <c r="M91" s="119">
        <v>0</v>
      </c>
      <c r="N91" s="118">
        <f>476-476</f>
        <v>0</v>
      </c>
      <c r="O91" s="117">
        <v>0</v>
      </c>
      <c r="P91" s="118">
        <f t="shared" si="83"/>
        <v>0</v>
      </c>
      <c r="Q91" s="118">
        <v>0</v>
      </c>
      <c r="R91" s="119">
        <v>0</v>
      </c>
      <c r="S91" s="118">
        <v>0</v>
      </c>
      <c r="T91" s="120">
        <v>0</v>
      </c>
      <c r="U91" s="119">
        <f t="shared" si="84"/>
        <v>0</v>
      </c>
      <c r="V91" s="119">
        <v>0</v>
      </c>
      <c r="W91" s="119">
        <v>0</v>
      </c>
      <c r="X91" s="119">
        <v>0</v>
      </c>
      <c r="Y91" s="120">
        <v>0</v>
      </c>
      <c r="Z91" s="119">
        <f t="shared" si="85"/>
        <v>0</v>
      </c>
      <c r="AA91" s="119">
        <v>0</v>
      </c>
      <c r="AB91" s="119">
        <v>0</v>
      </c>
      <c r="AC91" s="119">
        <v>0</v>
      </c>
      <c r="AD91" s="121"/>
    </row>
    <row r="92" spans="1:31" s="114" customFormat="1" ht="81.75" customHeight="1" outlineLevel="1" x14ac:dyDescent="0.2">
      <c r="A92" s="115" t="s">
        <v>1190</v>
      </c>
      <c r="B92" s="122" t="s">
        <v>1688</v>
      </c>
      <c r="C92" s="117">
        <v>0</v>
      </c>
      <c r="D92" s="118">
        <f t="shared" ref="D92" si="86">F92+K92+P92+U92+Z92</f>
        <v>1752</v>
      </c>
      <c r="E92" s="92">
        <v>0</v>
      </c>
      <c r="F92" s="93">
        <f t="shared" ref="F92" si="87">G92+H92+I92</f>
        <v>0</v>
      </c>
      <c r="G92" s="93">
        <v>0</v>
      </c>
      <c r="H92" s="93">
        <v>0</v>
      </c>
      <c r="I92" s="93">
        <v>0</v>
      </c>
      <c r="J92" s="117">
        <v>0</v>
      </c>
      <c r="K92" s="118">
        <f t="shared" ref="K92" si="88">SUM(L92:N92)</f>
        <v>0</v>
      </c>
      <c r="L92" s="118">
        <v>0</v>
      </c>
      <c r="M92" s="119">
        <v>0</v>
      </c>
      <c r="N92" s="118">
        <f>476-476</f>
        <v>0</v>
      </c>
      <c r="O92" s="117">
        <v>0</v>
      </c>
      <c r="P92" s="118">
        <f t="shared" ref="P92" si="89">Q92+R92+S92</f>
        <v>1752</v>
      </c>
      <c r="Q92" s="118">
        <v>0</v>
      </c>
      <c r="R92" s="119">
        <v>0</v>
      </c>
      <c r="S92" s="118">
        <v>1752</v>
      </c>
      <c r="T92" s="120">
        <v>0</v>
      </c>
      <c r="U92" s="119">
        <f t="shared" ref="U92" si="90">V92+W92+X92</f>
        <v>0</v>
      </c>
      <c r="V92" s="119">
        <v>0</v>
      </c>
      <c r="W92" s="119">
        <v>0</v>
      </c>
      <c r="X92" s="119">
        <v>0</v>
      </c>
      <c r="Y92" s="120">
        <v>0</v>
      </c>
      <c r="Z92" s="119">
        <f t="shared" ref="Z92" si="91">AA92+AB92+AC92</f>
        <v>0</v>
      </c>
      <c r="AA92" s="119">
        <v>0</v>
      </c>
      <c r="AB92" s="119">
        <v>0</v>
      </c>
      <c r="AC92" s="119">
        <v>0</v>
      </c>
      <c r="AD92" s="121"/>
    </row>
    <row r="93" spans="1:31" s="114" customFormat="1" ht="108" customHeight="1" outlineLevel="1" x14ac:dyDescent="0.2">
      <c r="A93" s="115" t="s">
        <v>1191</v>
      </c>
      <c r="B93" s="122" t="s">
        <v>1689</v>
      </c>
      <c r="C93" s="117">
        <v>0</v>
      </c>
      <c r="D93" s="118">
        <f t="shared" ref="D93" si="92">F93+K93+P93+U93+Z93</f>
        <v>295</v>
      </c>
      <c r="E93" s="92">
        <v>0</v>
      </c>
      <c r="F93" s="93">
        <f t="shared" ref="F93" si="93">G93+H93+I93</f>
        <v>0</v>
      </c>
      <c r="G93" s="93">
        <v>0</v>
      </c>
      <c r="H93" s="93">
        <v>0</v>
      </c>
      <c r="I93" s="93">
        <v>0</v>
      </c>
      <c r="J93" s="117">
        <v>0</v>
      </c>
      <c r="K93" s="118">
        <f t="shared" ref="K93" si="94">SUM(L93:N93)</f>
        <v>0</v>
      </c>
      <c r="L93" s="118">
        <v>0</v>
      </c>
      <c r="M93" s="119">
        <v>0</v>
      </c>
      <c r="N93" s="118">
        <f>476-476</f>
        <v>0</v>
      </c>
      <c r="O93" s="117">
        <v>0</v>
      </c>
      <c r="P93" s="118">
        <f t="shared" ref="P93" si="95">Q93+R93+S93</f>
        <v>0</v>
      </c>
      <c r="Q93" s="118">
        <v>0</v>
      </c>
      <c r="R93" s="119">
        <v>0</v>
      </c>
      <c r="S93" s="118">
        <v>0</v>
      </c>
      <c r="T93" s="120">
        <v>0</v>
      </c>
      <c r="U93" s="119">
        <f t="shared" ref="U93" si="96">V93+W93+X93</f>
        <v>295</v>
      </c>
      <c r="V93" s="119">
        <v>0</v>
      </c>
      <c r="W93" s="119">
        <v>0</v>
      </c>
      <c r="X93" s="119">
        <v>295</v>
      </c>
      <c r="Y93" s="120">
        <v>0</v>
      </c>
      <c r="Z93" s="119">
        <f t="shared" ref="Z93" si="97">AA93+AB93+AC93</f>
        <v>0</v>
      </c>
      <c r="AA93" s="119">
        <v>0</v>
      </c>
      <c r="AB93" s="119">
        <v>0</v>
      </c>
      <c r="AC93" s="119">
        <v>0</v>
      </c>
      <c r="AD93" s="121"/>
    </row>
    <row r="94" spans="1:31" s="114" customFormat="1" ht="31.5" customHeight="1" outlineLevel="1" x14ac:dyDescent="0.2">
      <c r="A94" s="115" t="s">
        <v>1633</v>
      </c>
      <c r="B94" s="122" t="s">
        <v>1691</v>
      </c>
      <c r="C94" s="117">
        <v>0</v>
      </c>
      <c r="D94" s="118">
        <f t="shared" ref="D94" si="98">F94+K94+P94+U94+Z94</f>
        <v>2572</v>
      </c>
      <c r="E94" s="92">
        <v>0</v>
      </c>
      <c r="F94" s="93">
        <f t="shared" ref="F94" si="99">G94+H94+I94</f>
        <v>988</v>
      </c>
      <c r="G94" s="93">
        <v>0</v>
      </c>
      <c r="H94" s="93">
        <v>0</v>
      </c>
      <c r="I94" s="93">
        <v>988</v>
      </c>
      <c r="J94" s="117">
        <v>0</v>
      </c>
      <c r="K94" s="118">
        <f t="shared" ref="K94" si="100">L94+M94+N94</f>
        <v>1584</v>
      </c>
      <c r="L94" s="118">
        <v>0</v>
      </c>
      <c r="M94" s="119">
        <v>0</v>
      </c>
      <c r="N94" s="118">
        <v>1584</v>
      </c>
      <c r="O94" s="117">
        <v>0</v>
      </c>
      <c r="P94" s="118">
        <f t="shared" ref="P94" si="101">Q94+R94+S94</f>
        <v>0</v>
      </c>
      <c r="Q94" s="118">
        <v>0</v>
      </c>
      <c r="R94" s="119">
        <v>0</v>
      </c>
      <c r="S94" s="118">
        <v>0</v>
      </c>
      <c r="T94" s="120">
        <v>0</v>
      </c>
      <c r="U94" s="119">
        <f t="shared" ref="U94" si="102">V94+W94+X94</f>
        <v>0</v>
      </c>
      <c r="V94" s="119">
        <v>0</v>
      </c>
      <c r="W94" s="119">
        <v>0</v>
      </c>
      <c r="X94" s="119">
        <v>0</v>
      </c>
      <c r="Y94" s="120">
        <v>0</v>
      </c>
      <c r="Z94" s="119">
        <f t="shared" ref="Z94" si="103">AA94+AB94+AC94</f>
        <v>0</v>
      </c>
      <c r="AA94" s="119">
        <v>0</v>
      </c>
      <c r="AB94" s="119">
        <v>0</v>
      </c>
      <c r="AC94" s="119">
        <v>0</v>
      </c>
      <c r="AD94" s="121"/>
    </row>
    <row r="95" spans="1:31" s="114" customFormat="1" ht="91.15" customHeight="1" x14ac:dyDescent="0.2">
      <c r="A95" s="123"/>
      <c r="B95" s="124" t="s">
        <v>1192</v>
      </c>
      <c r="C95" s="125">
        <f>SUM(C70:C91)</f>
        <v>1</v>
      </c>
      <c r="D95" s="126">
        <f>SUM(D70:D93)</f>
        <v>91232</v>
      </c>
      <c r="E95" s="125">
        <f t="shared" ref="E95:O95" si="104">SUM(E70:E91)</f>
        <v>1</v>
      </c>
      <c r="F95" s="126">
        <f t="shared" si="104"/>
        <v>44356</v>
      </c>
      <c r="G95" s="126">
        <f t="shared" si="104"/>
        <v>0</v>
      </c>
      <c r="H95" s="126">
        <f t="shared" si="104"/>
        <v>16335</v>
      </c>
      <c r="I95" s="126">
        <f t="shared" si="104"/>
        <v>28021</v>
      </c>
      <c r="J95" s="125">
        <f t="shared" si="104"/>
        <v>0</v>
      </c>
      <c r="K95" s="126">
        <f t="shared" si="104"/>
        <v>16962</v>
      </c>
      <c r="L95" s="126">
        <f t="shared" si="104"/>
        <v>0</v>
      </c>
      <c r="M95" s="126">
        <f t="shared" si="104"/>
        <v>0</v>
      </c>
      <c r="N95" s="126">
        <f t="shared" si="104"/>
        <v>16962</v>
      </c>
      <c r="O95" s="125">
        <f t="shared" si="104"/>
        <v>0</v>
      </c>
      <c r="P95" s="126">
        <f>SUM(P70:P93)</f>
        <v>13442</v>
      </c>
      <c r="Q95" s="126">
        <f>SUM(Q70:Q93)</f>
        <v>0</v>
      </c>
      <c r="R95" s="126">
        <f>SUM(R70:R93)</f>
        <v>0</v>
      </c>
      <c r="S95" s="126">
        <f>SUM(S70:S93)</f>
        <v>13442</v>
      </c>
      <c r="T95" s="125">
        <f>SUM(T70:T91)</f>
        <v>0</v>
      </c>
      <c r="U95" s="126">
        <f>SUM(U70:U94)</f>
        <v>16472</v>
      </c>
      <c r="V95" s="126">
        <f>SUM(V70:V94)</f>
        <v>0</v>
      </c>
      <c r="W95" s="126">
        <f>SUM(W70:W94)</f>
        <v>0</v>
      </c>
      <c r="X95" s="126">
        <f>SUM(X70:X94)</f>
        <v>16472</v>
      </c>
      <c r="Y95" s="125">
        <f>SUM(Y70:Y91)</f>
        <v>0</v>
      </c>
      <c r="Z95" s="126">
        <f>SUM(Z70:Z91)</f>
        <v>0</v>
      </c>
      <c r="AA95" s="126">
        <f>SUM(AA70:AA91)</f>
        <v>0</v>
      </c>
      <c r="AB95" s="126">
        <f>SUM(AB70:AB91)</f>
        <v>0</v>
      </c>
      <c r="AC95" s="126">
        <f>SUM(AC70:AC91)</f>
        <v>0</v>
      </c>
      <c r="AD95" s="121"/>
      <c r="AE95" s="121"/>
    </row>
    <row r="96" spans="1:31" s="114" customFormat="1" ht="30" customHeight="1" x14ac:dyDescent="0.2">
      <c r="A96" s="123"/>
      <c r="B96" s="127" t="s">
        <v>960</v>
      </c>
      <c r="C96" s="128">
        <v>0</v>
      </c>
      <c r="D96" s="129">
        <f t="shared" ref="D96" si="105">F96+K96+P96+U96+Z96</f>
        <v>2572</v>
      </c>
      <c r="E96" s="128">
        <v>0</v>
      </c>
      <c r="F96" s="129">
        <f t="shared" ref="F96" si="106">G96+H96+I96</f>
        <v>988</v>
      </c>
      <c r="G96" s="129">
        <v>0</v>
      </c>
      <c r="H96" s="129">
        <v>0</v>
      </c>
      <c r="I96" s="129">
        <v>988</v>
      </c>
      <c r="J96" s="128">
        <v>0</v>
      </c>
      <c r="K96" s="129">
        <f t="shared" ref="K96" si="107">L96+M96+N96</f>
        <v>1584</v>
      </c>
      <c r="L96" s="129">
        <v>0</v>
      </c>
      <c r="M96" s="129">
        <v>0</v>
      </c>
      <c r="N96" s="129">
        <f>N94</f>
        <v>1584</v>
      </c>
      <c r="O96" s="128">
        <v>0</v>
      </c>
      <c r="P96" s="129">
        <f t="shared" ref="P96" si="108">Q96+R96+S96</f>
        <v>0</v>
      </c>
      <c r="Q96" s="129">
        <v>0</v>
      </c>
      <c r="R96" s="129">
        <v>0</v>
      </c>
      <c r="S96" s="129">
        <v>0</v>
      </c>
      <c r="T96" s="128">
        <v>0</v>
      </c>
      <c r="U96" s="129">
        <f t="shared" ref="U96" si="109">V96+W96+X96</f>
        <v>0</v>
      </c>
      <c r="V96" s="129">
        <v>0</v>
      </c>
      <c r="W96" s="129">
        <v>0</v>
      </c>
      <c r="X96" s="129">
        <v>0</v>
      </c>
      <c r="Y96" s="128">
        <v>0</v>
      </c>
      <c r="Z96" s="129">
        <f t="shared" ref="Z96" si="110">AA96+AB96+AC96</f>
        <v>0</v>
      </c>
      <c r="AA96" s="129">
        <v>0</v>
      </c>
      <c r="AB96" s="129">
        <v>0</v>
      </c>
      <c r="AC96" s="129">
        <v>0</v>
      </c>
      <c r="AD96" s="121"/>
      <c r="AE96" s="121"/>
    </row>
    <row r="97" spans="1:30" s="114" customFormat="1" ht="25.5" customHeight="1" x14ac:dyDescent="0.2">
      <c r="A97" s="113" t="s">
        <v>1069</v>
      </c>
      <c r="B97" s="372" t="s">
        <v>1193</v>
      </c>
      <c r="C97" s="373"/>
      <c r="D97" s="373"/>
      <c r="E97" s="373"/>
      <c r="F97" s="373"/>
      <c r="G97" s="373"/>
      <c r="H97" s="373"/>
      <c r="I97" s="373"/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3"/>
      <c r="X97" s="373"/>
      <c r="Y97" s="373"/>
      <c r="Z97" s="373"/>
      <c r="AA97" s="373"/>
      <c r="AB97" s="373"/>
      <c r="AC97" s="374"/>
      <c r="AD97" s="121"/>
    </row>
    <row r="98" spans="1:30" s="114" customFormat="1" ht="95.25" customHeight="1" outlineLevel="1" x14ac:dyDescent="0.2">
      <c r="A98" s="90" t="s">
        <v>1194</v>
      </c>
      <c r="B98" s="116" t="s">
        <v>7</v>
      </c>
      <c r="C98" s="117">
        <f>E98+J98+O98+Y98+T98</f>
        <v>0</v>
      </c>
      <c r="D98" s="93">
        <f>F98+K98+P98+Z98+U98</f>
        <v>0</v>
      </c>
      <c r="E98" s="92">
        <v>0</v>
      </c>
      <c r="F98" s="93">
        <v>0</v>
      </c>
      <c r="G98" s="93">
        <v>0</v>
      </c>
      <c r="H98" s="93">
        <v>0</v>
      </c>
      <c r="I98" s="93">
        <v>0</v>
      </c>
      <c r="J98" s="117">
        <v>0</v>
      </c>
      <c r="K98" s="130">
        <f>SUM(L98:N98)</f>
        <v>0</v>
      </c>
      <c r="L98" s="118">
        <v>0</v>
      </c>
      <c r="M98" s="118">
        <v>0</v>
      </c>
      <c r="N98" s="118">
        <v>0</v>
      </c>
      <c r="O98" s="117">
        <v>0</v>
      </c>
      <c r="P98" s="118">
        <f>SUM(Q98:S98)</f>
        <v>0</v>
      </c>
      <c r="Q98" s="118">
        <v>0</v>
      </c>
      <c r="R98" s="118">
        <v>0</v>
      </c>
      <c r="S98" s="118">
        <v>0</v>
      </c>
      <c r="T98" s="117">
        <v>0</v>
      </c>
      <c r="U98" s="118">
        <f>SUM(V98:X98)</f>
        <v>0</v>
      </c>
      <c r="V98" s="118">
        <v>0</v>
      </c>
      <c r="W98" s="118">
        <v>0</v>
      </c>
      <c r="X98" s="118">
        <v>0</v>
      </c>
      <c r="Y98" s="120">
        <v>0</v>
      </c>
      <c r="Z98" s="119">
        <f>AA98+AB98+AC98</f>
        <v>0</v>
      </c>
      <c r="AA98" s="119">
        <v>0</v>
      </c>
      <c r="AB98" s="119">
        <v>0</v>
      </c>
      <c r="AC98" s="119">
        <v>0</v>
      </c>
    </row>
    <row r="99" spans="1:30" s="114" customFormat="1" ht="65.45" customHeight="1" outlineLevel="1" x14ac:dyDescent="0.2">
      <c r="A99" s="90" t="s">
        <v>1195</v>
      </c>
      <c r="B99" s="116" t="s">
        <v>76</v>
      </c>
      <c r="C99" s="117">
        <f t="shared" ref="C99:C100" si="111">E99+J99+O99+Y99+T99</f>
        <v>0</v>
      </c>
      <c r="D99" s="93">
        <f t="shared" ref="D99:D108" si="112">F99+K99+P99+Z99+U99</f>
        <v>0</v>
      </c>
      <c r="E99" s="92">
        <v>0</v>
      </c>
      <c r="F99" s="93">
        <v>0</v>
      </c>
      <c r="G99" s="93">
        <v>0</v>
      </c>
      <c r="H99" s="93">
        <v>0</v>
      </c>
      <c r="I99" s="93">
        <v>0</v>
      </c>
      <c r="J99" s="117">
        <v>0</v>
      </c>
      <c r="K99" s="130">
        <f t="shared" ref="K99:K104" si="113">SUM(L99:N99)</f>
        <v>0</v>
      </c>
      <c r="L99" s="118">
        <v>0</v>
      </c>
      <c r="M99" s="118">
        <v>0</v>
      </c>
      <c r="N99" s="118">
        <v>0</v>
      </c>
      <c r="O99" s="117">
        <v>0</v>
      </c>
      <c r="P99" s="118">
        <v>0</v>
      </c>
      <c r="Q99" s="118">
        <v>0</v>
      </c>
      <c r="R99" s="118">
        <v>0</v>
      </c>
      <c r="S99" s="118">
        <v>0</v>
      </c>
      <c r="T99" s="117">
        <v>0</v>
      </c>
      <c r="U99" s="118">
        <f t="shared" ref="U99:U110" si="114">SUM(V99:X99)</f>
        <v>0</v>
      </c>
      <c r="V99" s="118">
        <v>0</v>
      </c>
      <c r="W99" s="118">
        <v>0</v>
      </c>
      <c r="X99" s="118">
        <v>0</v>
      </c>
      <c r="Y99" s="120">
        <v>0</v>
      </c>
      <c r="Z99" s="119">
        <f>AA99+AB99+AC99</f>
        <v>0</v>
      </c>
      <c r="AA99" s="119">
        <v>0</v>
      </c>
      <c r="AB99" s="119">
        <v>0</v>
      </c>
      <c r="AC99" s="119">
        <v>0</v>
      </c>
    </row>
    <row r="100" spans="1:30" s="114" customFormat="1" ht="90.6" customHeight="1" outlineLevel="1" x14ac:dyDescent="0.2">
      <c r="A100" s="90" t="s">
        <v>1196</v>
      </c>
      <c r="B100" s="116" t="s">
        <v>77</v>
      </c>
      <c r="C100" s="117">
        <f t="shared" si="111"/>
        <v>0</v>
      </c>
      <c r="D100" s="93">
        <f t="shared" si="112"/>
        <v>0</v>
      </c>
      <c r="E100" s="92">
        <v>0</v>
      </c>
      <c r="F100" s="93">
        <v>0</v>
      </c>
      <c r="G100" s="93">
        <v>0</v>
      </c>
      <c r="H100" s="93">
        <v>0</v>
      </c>
      <c r="I100" s="93">
        <v>0</v>
      </c>
      <c r="J100" s="117">
        <v>0</v>
      </c>
      <c r="K100" s="130">
        <v>0</v>
      </c>
      <c r="L100" s="118">
        <v>0</v>
      </c>
      <c r="M100" s="118">
        <v>0</v>
      </c>
      <c r="N100" s="118">
        <v>0</v>
      </c>
      <c r="O100" s="117">
        <v>0</v>
      </c>
      <c r="P100" s="118">
        <v>0</v>
      </c>
      <c r="Q100" s="118">
        <v>0</v>
      </c>
      <c r="R100" s="118">
        <v>0</v>
      </c>
      <c r="S100" s="118">
        <v>0</v>
      </c>
      <c r="T100" s="117">
        <v>0</v>
      </c>
      <c r="U100" s="118">
        <f t="shared" si="114"/>
        <v>0</v>
      </c>
      <c r="V100" s="118">
        <v>0</v>
      </c>
      <c r="W100" s="118">
        <v>0</v>
      </c>
      <c r="X100" s="118">
        <v>0</v>
      </c>
      <c r="Y100" s="120">
        <v>0</v>
      </c>
      <c r="Z100" s="119">
        <f t="shared" ref="Z100:Z103" si="115">AA100+AB100+AC100</f>
        <v>0</v>
      </c>
      <c r="AA100" s="119">
        <v>0</v>
      </c>
      <c r="AB100" s="119">
        <v>0</v>
      </c>
      <c r="AC100" s="119">
        <v>0</v>
      </c>
    </row>
    <row r="101" spans="1:30" s="114" customFormat="1" ht="60" customHeight="1" outlineLevel="1" x14ac:dyDescent="0.2">
      <c r="A101" s="90" t="s">
        <v>1197</v>
      </c>
      <c r="B101" s="116" t="s">
        <v>480</v>
      </c>
      <c r="C101" s="117">
        <f t="shared" ref="C101:C104" si="116">E101+J101+O101+T101+Y101</f>
        <v>0</v>
      </c>
      <c r="D101" s="93">
        <f t="shared" si="112"/>
        <v>0</v>
      </c>
      <c r="E101" s="92">
        <v>0</v>
      </c>
      <c r="F101" s="93">
        <v>0</v>
      </c>
      <c r="G101" s="93">
        <v>0</v>
      </c>
      <c r="H101" s="93">
        <v>0</v>
      </c>
      <c r="I101" s="93">
        <v>0</v>
      </c>
      <c r="J101" s="117">
        <v>0</v>
      </c>
      <c r="K101" s="130">
        <v>0</v>
      </c>
      <c r="L101" s="118">
        <v>0</v>
      </c>
      <c r="M101" s="118">
        <v>0</v>
      </c>
      <c r="N101" s="118">
        <v>0</v>
      </c>
      <c r="O101" s="117">
        <v>0</v>
      </c>
      <c r="P101" s="118">
        <v>0</v>
      </c>
      <c r="Q101" s="118">
        <v>0</v>
      </c>
      <c r="R101" s="118">
        <v>0</v>
      </c>
      <c r="S101" s="118">
        <v>0</v>
      </c>
      <c r="T101" s="120">
        <v>0</v>
      </c>
      <c r="U101" s="118">
        <f t="shared" si="114"/>
        <v>0</v>
      </c>
      <c r="V101" s="119">
        <v>0</v>
      </c>
      <c r="W101" s="119">
        <v>0</v>
      </c>
      <c r="X101" s="119">
        <v>0</v>
      </c>
      <c r="Y101" s="120">
        <v>0</v>
      </c>
      <c r="Z101" s="119">
        <f t="shared" si="115"/>
        <v>0</v>
      </c>
      <c r="AA101" s="119">
        <v>0</v>
      </c>
      <c r="AB101" s="118">
        <v>0</v>
      </c>
      <c r="AC101" s="119">
        <v>0</v>
      </c>
    </row>
    <row r="102" spans="1:30" s="114" customFormat="1" ht="98.45" customHeight="1" outlineLevel="1" x14ac:dyDescent="0.2">
      <c r="A102" s="90" t="s">
        <v>1198</v>
      </c>
      <c r="B102" s="116" t="s">
        <v>481</v>
      </c>
      <c r="C102" s="117">
        <f t="shared" si="116"/>
        <v>0</v>
      </c>
      <c r="D102" s="93">
        <f t="shared" si="112"/>
        <v>0</v>
      </c>
      <c r="E102" s="92">
        <v>0</v>
      </c>
      <c r="F102" s="93">
        <v>0</v>
      </c>
      <c r="G102" s="93">
        <v>0</v>
      </c>
      <c r="H102" s="93">
        <v>0</v>
      </c>
      <c r="I102" s="93">
        <v>0</v>
      </c>
      <c r="J102" s="117">
        <v>0</v>
      </c>
      <c r="K102" s="130">
        <f t="shared" si="113"/>
        <v>0</v>
      </c>
      <c r="L102" s="118">
        <v>0</v>
      </c>
      <c r="M102" s="118">
        <v>0</v>
      </c>
      <c r="N102" s="118">
        <v>0</v>
      </c>
      <c r="O102" s="117">
        <v>0</v>
      </c>
      <c r="P102" s="118">
        <v>0</v>
      </c>
      <c r="Q102" s="118">
        <v>0</v>
      </c>
      <c r="R102" s="118">
        <v>0</v>
      </c>
      <c r="S102" s="118">
        <v>0</v>
      </c>
      <c r="T102" s="120">
        <v>0</v>
      </c>
      <c r="U102" s="118">
        <f t="shared" si="114"/>
        <v>0</v>
      </c>
      <c r="V102" s="119">
        <v>0</v>
      </c>
      <c r="W102" s="119">
        <v>0</v>
      </c>
      <c r="X102" s="119">
        <v>0</v>
      </c>
      <c r="Y102" s="120">
        <v>0</v>
      </c>
      <c r="Z102" s="119">
        <f t="shared" si="115"/>
        <v>0</v>
      </c>
      <c r="AA102" s="119">
        <v>0</v>
      </c>
      <c r="AB102" s="118">
        <v>0</v>
      </c>
      <c r="AC102" s="119">
        <v>0</v>
      </c>
    </row>
    <row r="103" spans="1:30" s="114" customFormat="1" ht="60" customHeight="1" outlineLevel="1" x14ac:dyDescent="0.2">
      <c r="A103" s="90" t="s">
        <v>1199</v>
      </c>
      <c r="B103" s="116" t="s">
        <v>482</v>
      </c>
      <c r="C103" s="117">
        <f t="shared" si="116"/>
        <v>0</v>
      </c>
      <c r="D103" s="93">
        <f t="shared" si="112"/>
        <v>0</v>
      </c>
      <c r="E103" s="92">
        <v>0</v>
      </c>
      <c r="F103" s="93">
        <v>0</v>
      </c>
      <c r="G103" s="93">
        <v>0</v>
      </c>
      <c r="H103" s="93">
        <v>0</v>
      </c>
      <c r="I103" s="93">
        <v>0</v>
      </c>
      <c r="J103" s="117">
        <v>0</v>
      </c>
      <c r="K103" s="130">
        <f t="shared" si="113"/>
        <v>0</v>
      </c>
      <c r="L103" s="118">
        <v>0</v>
      </c>
      <c r="M103" s="118">
        <v>0</v>
      </c>
      <c r="N103" s="118">
        <v>0</v>
      </c>
      <c r="O103" s="117">
        <v>0</v>
      </c>
      <c r="P103" s="118">
        <v>0</v>
      </c>
      <c r="Q103" s="118">
        <v>0</v>
      </c>
      <c r="R103" s="118">
        <v>0</v>
      </c>
      <c r="S103" s="118">
        <v>0</v>
      </c>
      <c r="T103" s="120">
        <v>0</v>
      </c>
      <c r="U103" s="118">
        <f t="shared" si="114"/>
        <v>0</v>
      </c>
      <c r="V103" s="119">
        <v>0</v>
      </c>
      <c r="W103" s="119">
        <v>0</v>
      </c>
      <c r="X103" s="119">
        <v>0</v>
      </c>
      <c r="Y103" s="120">
        <v>0</v>
      </c>
      <c r="Z103" s="119">
        <f t="shared" si="115"/>
        <v>0</v>
      </c>
      <c r="AA103" s="119">
        <v>0</v>
      </c>
      <c r="AB103" s="118">
        <v>0</v>
      </c>
      <c r="AC103" s="119">
        <v>0</v>
      </c>
    </row>
    <row r="104" spans="1:30" s="114" customFormat="1" ht="82.9" customHeight="1" outlineLevel="1" x14ac:dyDescent="0.2">
      <c r="A104" s="90" t="s">
        <v>1200</v>
      </c>
      <c r="B104" s="116" t="s">
        <v>403</v>
      </c>
      <c r="C104" s="117">
        <f t="shared" si="116"/>
        <v>0</v>
      </c>
      <c r="D104" s="93">
        <f t="shared" si="112"/>
        <v>0</v>
      </c>
      <c r="E104" s="92">
        <v>0</v>
      </c>
      <c r="F104" s="93">
        <v>0</v>
      </c>
      <c r="G104" s="93">
        <v>0</v>
      </c>
      <c r="H104" s="93">
        <v>0</v>
      </c>
      <c r="I104" s="93">
        <v>0</v>
      </c>
      <c r="J104" s="117">
        <v>0</v>
      </c>
      <c r="K104" s="130">
        <f t="shared" si="113"/>
        <v>0</v>
      </c>
      <c r="L104" s="118">
        <v>0</v>
      </c>
      <c r="M104" s="118">
        <v>0</v>
      </c>
      <c r="N104" s="118">
        <v>0</v>
      </c>
      <c r="O104" s="117">
        <v>0</v>
      </c>
      <c r="P104" s="118">
        <v>0</v>
      </c>
      <c r="Q104" s="118">
        <v>0</v>
      </c>
      <c r="R104" s="118">
        <v>0</v>
      </c>
      <c r="S104" s="118">
        <v>0</v>
      </c>
      <c r="T104" s="120">
        <v>0</v>
      </c>
      <c r="U104" s="118">
        <f t="shared" si="114"/>
        <v>0</v>
      </c>
      <c r="V104" s="119">
        <v>0</v>
      </c>
      <c r="W104" s="119">
        <v>0</v>
      </c>
      <c r="X104" s="119">
        <v>0</v>
      </c>
      <c r="Y104" s="120">
        <v>0</v>
      </c>
      <c r="Z104" s="119">
        <v>0</v>
      </c>
      <c r="AA104" s="119">
        <v>0</v>
      </c>
      <c r="AB104" s="118">
        <v>0</v>
      </c>
      <c r="AC104" s="119">
        <v>0</v>
      </c>
    </row>
    <row r="105" spans="1:30" s="114" customFormat="1" ht="122.25" customHeight="1" outlineLevel="1" x14ac:dyDescent="0.2">
      <c r="A105" s="90" t="s">
        <v>1201</v>
      </c>
      <c r="B105" s="116" t="s">
        <v>597</v>
      </c>
      <c r="C105" s="117">
        <f>E105+J105+O105+T105+Y105</f>
        <v>11.08</v>
      </c>
      <c r="D105" s="93">
        <f t="shared" ref="D105" si="117">F105+K105+P105+Z105+U105</f>
        <v>54661</v>
      </c>
      <c r="E105" s="92">
        <v>5.54</v>
      </c>
      <c r="F105" s="93">
        <f>H105+I105</f>
        <v>41382</v>
      </c>
      <c r="G105" s="93">
        <v>0</v>
      </c>
      <c r="H105" s="93">
        <f>39396</f>
        <v>39396</v>
      </c>
      <c r="I105" s="93">
        <f>1986</f>
        <v>1986</v>
      </c>
      <c r="J105" s="117">
        <v>5.54</v>
      </c>
      <c r="K105" s="130">
        <f>SUM(L105:N105)</f>
        <v>13279</v>
      </c>
      <c r="L105" s="118">
        <v>0</v>
      </c>
      <c r="M105" s="118">
        <v>12509</v>
      </c>
      <c r="N105" s="118">
        <v>770</v>
      </c>
      <c r="O105" s="117">
        <v>0</v>
      </c>
      <c r="P105" s="118">
        <v>0</v>
      </c>
      <c r="Q105" s="118">
        <v>0</v>
      </c>
      <c r="R105" s="118">
        <v>0</v>
      </c>
      <c r="S105" s="118">
        <v>0</v>
      </c>
      <c r="T105" s="120">
        <v>0</v>
      </c>
      <c r="U105" s="118">
        <f t="shared" ref="U105" si="118">SUM(V105:X105)</f>
        <v>0</v>
      </c>
      <c r="V105" s="119">
        <v>0</v>
      </c>
      <c r="W105" s="119">
        <v>0</v>
      </c>
      <c r="X105" s="119">
        <v>0</v>
      </c>
      <c r="Y105" s="120">
        <v>0</v>
      </c>
      <c r="Z105" s="119">
        <v>0</v>
      </c>
      <c r="AA105" s="119">
        <v>0</v>
      </c>
      <c r="AB105" s="118">
        <v>0</v>
      </c>
      <c r="AC105" s="119">
        <v>0</v>
      </c>
    </row>
    <row r="106" spans="1:30" s="114" customFormat="1" ht="144.6" customHeight="1" outlineLevel="1" x14ac:dyDescent="0.2">
      <c r="A106" s="90" t="s">
        <v>1202</v>
      </c>
      <c r="B106" s="116" t="s">
        <v>717</v>
      </c>
      <c r="C106" s="117">
        <f>E106+J106+O106+T106+Y106</f>
        <v>0</v>
      </c>
      <c r="D106" s="93">
        <f t="shared" si="112"/>
        <v>90</v>
      </c>
      <c r="E106" s="92">
        <v>0</v>
      </c>
      <c r="F106" s="93">
        <f>G106+H106+I106</f>
        <v>90</v>
      </c>
      <c r="G106" s="93">
        <v>0</v>
      </c>
      <c r="H106" s="93">
        <v>0</v>
      </c>
      <c r="I106" s="93">
        <v>90</v>
      </c>
      <c r="J106" s="117">
        <v>0</v>
      </c>
      <c r="K106" s="118">
        <f t="shared" ref="K106" si="119">SUM(L106:N106)</f>
        <v>0</v>
      </c>
      <c r="L106" s="118">
        <v>0</v>
      </c>
      <c r="M106" s="118">
        <v>0</v>
      </c>
      <c r="N106" s="118">
        <v>0</v>
      </c>
      <c r="O106" s="117">
        <v>0</v>
      </c>
      <c r="P106" s="118">
        <v>0</v>
      </c>
      <c r="Q106" s="118">
        <v>0</v>
      </c>
      <c r="R106" s="118">
        <v>0</v>
      </c>
      <c r="S106" s="118">
        <v>0</v>
      </c>
      <c r="T106" s="120">
        <v>0</v>
      </c>
      <c r="U106" s="118">
        <f t="shared" si="114"/>
        <v>0</v>
      </c>
      <c r="V106" s="119">
        <v>0</v>
      </c>
      <c r="W106" s="119">
        <v>0</v>
      </c>
      <c r="X106" s="119">
        <v>0</v>
      </c>
      <c r="Y106" s="120">
        <v>0</v>
      </c>
      <c r="Z106" s="119">
        <v>0</v>
      </c>
      <c r="AA106" s="119">
        <v>0</v>
      </c>
      <c r="AB106" s="119">
        <v>0</v>
      </c>
      <c r="AC106" s="119">
        <v>0</v>
      </c>
    </row>
    <row r="107" spans="1:30" s="114" customFormat="1" ht="174.75" customHeight="1" outlineLevel="1" x14ac:dyDescent="0.2">
      <c r="A107" s="90" t="s">
        <v>1203</v>
      </c>
      <c r="B107" s="116" t="s">
        <v>806</v>
      </c>
      <c r="C107" s="117">
        <f t="shared" ref="C107" si="120">E107+J107+O107+T107+Y107</f>
        <v>0</v>
      </c>
      <c r="D107" s="93">
        <f t="shared" si="112"/>
        <v>469</v>
      </c>
      <c r="E107" s="92">
        <v>0</v>
      </c>
      <c r="F107" s="93">
        <f>G107+H107+I107</f>
        <v>426</v>
      </c>
      <c r="G107" s="93">
        <v>0</v>
      </c>
      <c r="H107" s="93">
        <v>0</v>
      </c>
      <c r="I107" s="93">
        <v>426</v>
      </c>
      <c r="J107" s="117">
        <v>0</v>
      </c>
      <c r="K107" s="118">
        <f t="shared" ref="K107" si="121">SUM(L107:N107)</f>
        <v>43</v>
      </c>
      <c r="L107" s="118">
        <v>0</v>
      </c>
      <c r="M107" s="118">
        <v>0</v>
      </c>
      <c r="N107" s="118">
        <v>43</v>
      </c>
      <c r="O107" s="117">
        <v>0</v>
      </c>
      <c r="P107" s="118">
        <v>0</v>
      </c>
      <c r="Q107" s="118">
        <v>0</v>
      </c>
      <c r="R107" s="118">
        <v>0</v>
      </c>
      <c r="S107" s="118">
        <v>0</v>
      </c>
      <c r="T107" s="120">
        <v>0</v>
      </c>
      <c r="U107" s="118">
        <f t="shared" si="114"/>
        <v>0</v>
      </c>
      <c r="V107" s="119">
        <v>0</v>
      </c>
      <c r="W107" s="119">
        <v>0</v>
      </c>
      <c r="X107" s="119">
        <v>0</v>
      </c>
      <c r="Y107" s="120">
        <v>0</v>
      </c>
      <c r="Z107" s="119">
        <v>0</v>
      </c>
      <c r="AA107" s="119">
        <v>0</v>
      </c>
      <c r="AB107" s="119">
        <v>0</v>
      </c>
      <c r="AC107" s="119">
        <v>0</v>
      </c>
    </row>
    <row r="108" spans="1:30" s="114" customFormat="1" ht="101.25" customHeight="1" outlineLevel="1" x14ac:dyDescent="0.2">
      <c r="A108" s="90" t="s">
        <v>1204</v>
      </c>
      <c r="B108" s="116" t="s">
        <v>58</v>
      </c>
      <c r="C108" s="117">
        <f>E108+J108+O108+T108+Y108</f>
        <v>0</v>
      </c>
      <c r="D108" s="93">
        <f t="shared" si="112"/>
        <v>0</v>
      </c>
      <c r="E108" s="92">
        <v>0</v>
      </c>
      <c r="F108" s="93">
        <v>0</v>
      </c>
      <c r="G108" s="93">
        <v>0</v>
      </c>
      <c r="H108" s="93">
        <v>0</v>
      </c>
      <c r="I108" s="93">
        <v>0</v>
      </c>
      <c r="J108" s="117">
        <v>0</v>
      </c>
      <c r="K108" s="130">
        <f>SUM(L108:N108)</f>
        <v>0</v>
      </c>
      <c r="L108" s="118">
        <v>0</v>
      </c>
      <c r="M108" s="118">
        <v>0</v>
      </c>
      <c r="N108" s="118">
        <v>0</v>
      </c>
      <c r="O108" s="117">
        <v>0</v>
      </c>
      <c r="P108" s="118">
        <f>SUM(Q108:S108)</f>
        <v>0</v>
      </c>
      <c r="Q108" s="118">
        <v>0</v>
      </c>
      <c r="R108" s="118">
        <v>0</v>
      </c>
      <c r="S108" s="118">
        <v>0</v>
      </c>
      <c r="T108" s="120">
        <v>0</v>
      </c>
      <c r="U108" s="118">
        <f t="shared" si="114"/>
        <v>0</v>
      </c>
      <c r="V108" s="119">
        <v>0</v>
      </c>
      <c r="W108" s="119">
        <v>0</v>
      </c>
      <c r="X108" s="119">
        <v>0</v>
      </c>
      <c r="Y108" s="120">
        <v>0</v>
      </c>
      <c r="Z108" s="119">
        <f>AA108+AB108+AC108</f>
        <v>0</v>
      </c>
      <c r="AA108" s="119">
        <v>0</v>
      </c>
      <c r="AB108" s="119">
        <v>0</v>
      </c>
      <c r="AC108" s="119">
        <v>0</v>
      </c>
    </row>
    <row r="109" spans="1:30" s="114" customFormat="1" ht="117.6" customHeight="1" outlineLevel="1" x14ac:dyDescent="0.2">
      <c r="A109" s="90" t="s">
        <v>1205</v>
      </c>
      <c r="B109" s="116" t="s">
        <v>55</v>
      </c>
      <c r="C109" s="117">
        <f t="shared" ref="C109:C110" si="122">E109+J109+O109+T109+Y109</f>
        <v>0</v>
      </c>
      <c r="D109" s="93">
        <f t="shared" ref="D109" si="123">F109+K109+P109+U109+Z109</f>
        <v>300</v>
      </c>
      <c r="E109" s="92">
        <v>0</v>
      </c>
      <c r="F109" s="93">
        <f>G109+H109+I109</f>
        <v>0</v>
      </c>
      <c r="G109" s="93">
        <v>0</v>
      </c>
      <c r="H109" s="93">
        <v>0</v>
      </c>
      <c r="I109" s="93">
        <v>0</v>
      </c>
      <c r="J109" s="117">
        <v>0</v>
      </c>
      <c r="K109" s="130">
        <f>L109+M109+N109</f>
        <v>300</v>
      </c>
      <c r="L109" s="130">
        <v>0</v>
      </c>
      <c r="M109" s="130">
        <v>0</v>
      </c>
      <c r="N109" s="130">
        <f>4993-4129-51-281-232</f>
        <v>300</v>
      </c>
      <c r="O109" s="130">
        <f t="shared" ref="O109:T110" si="124">SUM(P109:R109)</f>
        <v>0</v>
      </c>
      <c r="P109" s="130">
        <f t="shared" si="124"/>
        <v>0</v>
      </c>
      <c r="Q109" s="130">
        <f t="shared" si="124"/>
        <v>0</v>
      </c>
      <c r="R109" s="130">
        <f t="shared" si="124"/>
        <v>0</v>
      </c>
      <c r="S109" s="130">
        <f t="shared" si="124"/>
        <v>0</v>
      </c>
      <c r="T109" s="130">
        <f t="shared" si="124"/>
        <v>0</v>
      </c>
      <c r="U109" s="130">
        <f t="shared" si="114"/>
        <v>0</v>
      </c>
      <c r="V109" s="130">
        <f t="shared" ref="V109:AC109" si="125">SUM(W109:Y109)</f>
        <v>0</v>
      </c>
      <c r="W109" s="130">
        <f t="shared" si="125"/>
        <v>0</v>
      </c>
      <c r="X109" s="130">
        <f t="shared" si="125"/>
        <v>0</v>
      </c>
      <c r="Y109" s="130">
        <f t="shared" si="125"/>
        <v>0</v>
      </c>
      <c r="Z109" s="130">
        <f t="shared" si="125"/>
        <v>0</v>
      </c>
      <c r="AA109" s="130">
        <f t="shared" si="125"/>
        <v>0</v>
      </c>
      <c r="AB109" s="130">
        <f t="shared" si="125"/>
        <v>0</v>
      </c>
      <c r="AC109" s="130">
        <f t="shared" si="125"/>
        <v>0</v>
      </c>
    </row>
    <row r="110" spans="1:30" s="114" customFormat="1" ht="117.6" customHeight="1" outlineLevel="1" x14ac:dyDescent="0.2">
      <c r="A110" s="90" t="s">
        <v>1206</v>
      </c>
      <c r="B110" s="116" t="s">
        <v>47</v>
      </c>
      <c r="C110" s="117">
        <f t="shared" si="122"/>
        <v>0</v>
      </c>
      <c r="D110" s="93">
        <f t="shared" ref="D110" si="126">F110+Z110+P110+K110+U110</f>
        <v>0</v>
      </c>
      <c r="E110" s="117">
        <f>G110+L110+Q110+V110+AA110</f>
        <v>0</v>
      </c>
      <c r="F110" s="93">
        <f>G110+H110+I110</f>
        <v>0</v>
      </c>
      <c r="G110" s="93">
        <v>0</v>
      </c>
      <c r="H110" s="93">
        <v>0</v>
      </c>
      <c r="I110" s="93">
        <v>0</v>
      </c>
      <c r="J110" s="117">
        <v>0</v>
      </c>
      <c r="K110" s="130">
        <f>SUM(L110:N110)</f>
        <v>0</v>
      </c>
      <c r="L110" s="118">
        <v>0</v>
      </c>
      <c r="M110" s="118">
        <v>0</v>
      </c>
      <c r="N110" s="118">
        <v>0</v>
      </c>
      <c r="O110" s="117">
        <v>0</v>
      </c>
      <c r="P110" s="130">
        <f t="shared" si="124"/>
        <v>0</v>
      </c>
      <c r="Q110" s="118">
        <v>0</v>
      </c>
      <c r="R110" s="118">
        <v>0</v>
      </c>
      <c r="S110" s="118">
        <v>0</v>
      </c>
      <c r="T110" s="120">
        <v>0</v>
      </c>
      <c r="U110" s="130">
        <f t="shared" si="114"/>
        <v>0</v>
      </c>
      <c r="V110" s="119">
        <v>0</v>
      </c>
      <c r="W110" s="119">
        <v>0</v>
      </c>
      <c r="X110" s="119">
        <v>0</v>
      </c>
      <c r="Y110" s="117">
        <v>0</v>
      </c>
      <c r="Z110" s="119">
        <f>AA110+AB110+AC110</f>
        <v>0</v>
      </c>
      <c r="AA110" s="119">
        <v>0</v>
      </c>
      <c r="AB110" s="118">
        <v>0</v>
      </c>
      <c r="AC110" s="131">
        <v>0</v>
      </c>
    </row>
    <row r="111" spans="1:30" s="121" customFormat="1" ht="114.75" customHeight="1" outlineLevel="1" x14ac:dyDescent="0.2">
      <c r="A111" s="115" t="s">
        <v>1207</v>
      </c>
      <c r="B111" s="132" t="s">
        <v>675</v>
      </c>
      <c r="C111" s="78">
        <f>E111+J111+O111+T111+Y111</f>
        <v>0</v>
      </c>
      <c r="D111" s="96">
        <f>F111+K111+P111+U111+Z111</f>
        <v>34322</v>
      </c>
      <c r="E111" s="92">
        <v>0</v>
      </c>
      <c r="F111" s="130">
        <f>G111+H111+I111</f>
        <v>21761</v>
      </c>
      <c r="G111" s="130">
        <v>0</v>
      </c>
      <c r="H111" s="93">
        <v>20716</v>
      </c>
      <c r="I111" s="93">
        <v>1045</v>
      </c>
      <c r="J111" s="78">
        <v>0</v>
      </c>
      <c r="K111" s="118">
        <f t="shared" ref="K111:K117" si="127">L111+M111+N111</f>
        <v>12561</v>
      </c>
      <c r="L111" s="118">
        <v>0</v>
      </c>
      <c r="M111" s="118">
        <v>0</v>
      </c>
      <c r="N111" s="118">
        <v>12561</v>
      </c>
      <c r="O111" s="117">
        <v>0</v>
      </c>
      <c r="P111" s="118">
        <f>S111</f>
        <v>0</v>
      </c>
      <c r="Q111" s="118">
        <v>0</v>
      </c>
      <c r="R111" s="118">
        <v>0</v>
      </c>
      <c r="S111" s="118">
        <v>0</v>
      </c>
      <c r="T111" s="117">
        <v>0</v>
      </c>
      <c r="U111" s="118">
        <v>0</v>
      </c>
      <c r="V111" s="118">
        <v>0</v>
      </c>
      <c r="W111" s="118">
        <v>0</v>
      </c>
      <c r="X111" s="118">
        <v>0</v>
      </c>
      <c r="Y111" s="117">
        <v>0</v>
      </c>
      <c r="Z111" s="118">
        <v>0</v>
      </c>
      <c r="AA111" s="118">
        <v>0</v>
      </c>
      <c r="AB111" s="118">
        <v>0</v>
      </c>
      <c r="AC111" s="118">
        <v>0</v>
      </c>
    </row>
    <row r="112" spans="1:30" s="121" customFormat="1" ht="114.75" customHeight="1" outlineLevel="1" x14ac:dyDescent="0.2">
      <c r="A112" s="115" t="s">
        <v>1208</v>
      </c>
      <c r="B112" s="132" t="s">
        <v>804</v>
      </c>
      <c r="C112" s="78">
        <f t="shared" ref="C112" si="128">E112+J112+O112+T112+Y112</f>
        <v>0</v>
      </c>
      <c r="D112" s="96">
        <f t="shared" ref="D112" si="129">F112+K112+P112+U112+Z112</f>
        <v>932</v>
      </c>
      <c r="E112" s="92">
        <v>0</v>
      </c>
      <c r="F112" s="130">
        <f>G112+H112+I112</f>
        <v>466</v>
      </c>
      <c r="G112" s="130">
        <v>0</v>
      </c>
      <c r="H112" s="93">
        <v>0</v>
      </c>
      <c r="I112" s="93">
        <v>466</v>
      </c>
      <c r="J112" s="78">
        <v>0</v>
      </c>
      <c r="K112" s="118">
        <f t="shared" si="127"/>
        <v>466</v>
      </c>
      <c r="L112" s="118">
        <v>0</v>
      </c>
      <c r="M112" s="118">
        <v>0</v>
      </c>
      <c r="N112" s="118">
        <v>466</v>
      </c>
      <c r="O112" s="117">
        <v>0</v>
      </c>
      <c r="P112" s="118">
        <f>S112</f>
        <v>0</v>
      </c>
      <c r="Q112" s="118">
        <v>0</v>
      </c>
      <c r="R112" s="118">
        <v>0</v>
      </c>
      <c r="S112" s="118">
        <v>0</v>
      </c>
      <c r="T112" s="117">
        <v>0</v>
      </c>
      <c r="U112" s="118">
        <v>0</v>
      </c>
      <c r="V112" s="118">
        <v>0</v>
      </c>
      <c r="W112" s="118">
        <v>0</v>
      </c>
      <c r="X112" s="118">
        <v>0</v>
      </c>
      <c r="Y112" s="117">
        <v>0</v>
      </c>
      <c r="Z112" s="118">
        <v>0</v>
      </c>
      <c r="AA112" s="118">
        <v>0</v>
      </c>
      <c r="AB112" s="118">
        <v>0</v>
      </c>
      <c r="AC112" s="118">
        <v>0</v>
      </c>
    </row>
    <row r="113" spans="1:29" s="114" customFormat="1" ht="71.45" customHeight="1" outlineLevel="1" x14ac:dyDescent="0.2">
      <c r="A113" s="90" t="s">
        <v>1209</v>
      </c>
      <c r="B113" s="116" t="s">
        <v>56</v>
      </c>
      <c r="C113" s="117">
        <f>E113+J113+O113+T113+Y113</f>
        <v>81.88</v>
      </c>
      <c r="D113" s="93">
        <f>F113+K113+P113+U113+Z113</f>
        <v>323937</v>
      </c>
      <c r="E113" s="92">
        <v>0</v>
      </c>
      <c r="F113" s="93">
        <v>0</v>
      </c>
      <c r="G113" s="93">
        <v>0</v>
      </c>
      <c r="H113" s="93">
        <v>0</v>
      </c>
      <c r="I113" s="93">
        <v>0</v>
      </c>
      <c r="J113" s="117">
        <v>40.94</v>
      </c>
      <c r="K113" s="118">
        <f t="shared" si="127"/>
        <v>214595</v>
      </c>
      <c r="L113" s="118">
        <v>0</v>
      </c>
      <c r="M113" s="118">
        <v>202149</v>
      </c>
      <c r="N113" s="118">
        <v>12446</v>
      </c>
      <c r="O113" s="117">
        <v>40.94</v>
      </c>
      <c r="P113" s="118">
        <f>Q113+R113+S113</f>
        <v>109342</v>
      </c>
      <c r="Q113" s="118">
        <v>0</v>
      </c>
      <c r="R113" s="118">
        <v>103000</v>
      </c>
      <c r="S113" s="118">
        <v>6342</v>
      </c>
      <c r="T113" s="120">
        <v>0</v>
      </c>
      <c r="U113" s="119">
        <v>0</v>
      </c>
      <c r="V113" s="119">
        <v>0</v>
      </c>
      <c r="W113" s="119">
        <v>0</v>
      </c>
      <c r="X113" s="119">
        <v>0</v>
      </c>
      <c r="Y113" s="117">
        <v>0</v>
      </c>
      <c r="Z113" s="118">
        <f>AA113+AC113</f>
        <v>0</v>
      </c>
      <c r="AA113" s="118">
        <v>0</v>
      </c>
      <c r="AB113" s="118">
        <v>0</v>
      </c>
      <c r="AC113" s="118">
        <v>0</v>
      </c>
    </row>
    <row r="114" spans="1:29" s="114" customFormat="1" ht="99.75" customHeight="1" outlineLevel="1" x14ac:dyDescent="0.2">
      <c r="A114" s="90" t="s">
        <v>1210</v>
      </c>
      <c r="B114" s="116" t="s">
        <v>1715</v>
      </c>
      <c r="C114" s="117">
        <f>E114+J114+O114+T114+Y114</f>
        <v>0</v>
      </c>
      <c r="D114" s="93">
        <f>F114+K114+P114+U114+Z114</f>
        <v>592</v>
      </c>
      <c r="E114" s="92">
        <v>0</v>
      </c>
      <c r="F114" s="93">
        <v>0</v>
      </c>
      <c r="G114" s="93">
        <v>0</v>
      </c>
      <c r="H114" s="93">
        <v>0</v>
      </c>
      <c r="I114" s="93">
        <v>0</v>
      </c>
      <c r="J114" s="117">
        <v>0</v>
      </c>
      <c r="K114" s="118">
        <f t="shared" ref="K114" si="130">L114+M114+N114</f>
        <v>0</v>
      </c>
      <c r="L114" s="118">
        <v>0</v>
      </c>
      <c r="M114" s="118">
        <v>0</v>
      </c>
      <c r="N114" s="118">
        <v>0</v>
      </c>
      <c r="O114" s="117">
        <v>0</v>
      </c>
      <c r="P114" s="118">
        <f>Q114+R114+S114</f>
        <v>592</v>
      </c>
      <c r="Q114" s="118">
        <v>0</v>
      </c>
      <c r="R114" s="118">
        <v>0</v>
      </c>
      <c r="S114" s="118">
        <v>592</v>
      </c>
      <c r="T114" s="120">
        <v>0</v>
      </c>
      <c r="U114" s="119">
        <v>0</v>
      </c>
      <c r="V114" s="119">
        <v>0</v>
      </c>
      <c r="W114" s="119">
        <v>0</v>
      </c>
      <c r="X114" s="119">
        <v>0</v>
      </c>
      <c r="Y114" s="117">
        <v>0</v>
      </c>
      <c r="Z114" s="118">
        <f>AA114+AC114</f>
        <v>0</v>
      </c>
      <c r="AA114" s="118">
        <v>0</v>
      </c>
      <c r="AB114" s="118">
        <v>0</v>
      </c>
      <c r="AC114" s="118">
        <v>0</v>
      </c>
    </row>
    <row r="115" spans="1:29" s="114" customFormat="1" ht="71.45" customHeight="1" outlineLevel="1" x14ac:dyDescent="0.2">
      <c r="A115" s="90" t="s">
        <v>1211</v>
      </c>
      <c r="B115" s="116" t="s">
        <v>1634</v>
      </c>
      <c r="C115" s="117">
        <f t="shared" ref="C115" si="131">E115+J115+O115+T115+Y115</f>
        <v>0</v>
      </c>
      <c r="D115" s="93">
        <f>F115+K115+P115+U115+Z115</f>
        <v>74310</v>
      </c>
      <c r="E115" s="92">
        <f>G115+L115+Q115+V115+AA115</f>
        <v>0</v>
      </c>
      <c r="F115" s="93">
        <f>G115+H115+I115</f>
        <v>0</v>
      </c>
      <c r="G115" s="93">
        <v>0</v>
      </c>
      <c r="H115" s="93">
        <v>0</v>
      </c>
      <c r="I115" s="93">
        <v>0</v>
      </c>
      <c r="J115" s="117">
        <v>0</v>
      </c>
      <c r="K115" s="118">
        <f t="shared" si="127"/>
        <v>0</v>
      </c>
      <c r="L115" s="118">
        <v>0</v>
      </c>
      <c r="M115" s="118">
        <v>0</v>
      </c>
      <c r="N115" s="118">
        <v>0</v>
      </c>
      <c r="O115" s="117">
        <v>0</v>
      </c>
      <c r="P115" s="118">
        <f>Q115+R115+S115</f>
        <v>74310</v>
      </c>
      <c r="Q115" s="118">
        <v>0</v>
      </c>
      <c r="R115" s="118">
        <v>70000</v>
      </c>
      <c r="S115" s="118">
        <v>4310</v>
      </c>
      <c r="T115" s="120">
        <v>0</v>
      </c>
      <c r="U115" s="119">
        <v>0</v>
      </c>
      <c r="V115" s="119">
        <v>0</v>
      </c>
      <c r="W115" s="119">
        <v>0</v>
      </c>
      <c r="X115" s="119">
        <v>0</v>
      </c>
      <c r="Y115" s="117">
        <v>0</v>
      </c>
      <c r="Z115" s="118">
        <f>AA115+AB115+AC115</f>
        <v>0</v>
      </c>
      <c r="AA115" s="118">
        <v>0</v>
      </c>
      <c r="AB115" s="118">
        <v>0</v>
      </c>
      <c r="AC115" s="118">
        <v>0</v>
      </c>
    </row>
    <row r="116" spans="1:29" s="114" customFormat="1" ht="71.45" customHeight="1" outlineLevel="1" x14ac:dyDescent="0.2">
      <c r="A116" s="90" t="s">
        <v>1212</v>
      </c>
      <c r="B116" s="116" t="s">
        <v>1635</v>
      </c>
      <c r="C116" s="117">
        <f t="shared" ref="C116" si="132">E116+J116+O116+T116+Y116</f>
        <v>0</v>
      </c>
      <c r="D116" s="93">
        <f>F116+K116+P116+U116+Z116</f>
        <v>1481</v>
      </c>
      <c r="E116" s="92">
        <f>G116+L116+Q116+V116+AA116</f>
        <v>0</v>
      </c>
      <c r="F116" s="93">
        <f>G116+H116+I116</f>
        <v>0</v>
      </c>
      <c r="G116" s="93">
        <v>0</v>
      </c>
      <c r="H116" s="93">
        <v>0</v>
      </c>
      <c r="I116" s="93">
        <v>0</v>
      </c>
      <c r="J116" s="117">
        <v>0</v>
      </c>
      <c r="K116" s="118">
        <f t="shared" si="127"/>
        <v>0</v>
      </c>
      <c r="L116" s="118">
        <v>0</v>
      </c>
      <c r="M116" s="118">
        <v>0</v>
      </c>
      <c r="N116" s="118">
        <v>0</v>
      </c>
      <c r="O116" s="117">
        <v>0</v>
      </c>
      <c r="P116" s="118">
        <f>Q116+R116+S116</f>
        <v>1481</v>
      </c>
      <c r="Q116" s="118">
        <v>0</v>
      </c>
      <c r="R116" s="118">
        <v>0</v>
      </c>
      <c r="S116" s="118">
        <f>1650-169</f>
        <v>1481</v>
      </c>
      <c r="T116" s="120">
        <v>0</v>
      </c>
      <c r="U116" s="119">
        <v>0</v>
      </c>
      <c r="V116" s="119">
        <v>0</v>
      </c>
      <c r="W116" s="119">
        <v>0</v>
      </c>
      <c r="X116" s="119">
        <v>0</v>
      </c>
      <c r="Y116" s="117">
        <v>0</v>
      </c>
      <c r="Z116" s="118">
        <f>AA116+AB116+AC116</f>
        <v>0</v>
      </c>
      <c r="AA116" s="118">
        <v>0</v>
      </c>
      <c r="AB116" s="118">
        <v>0</v>
      </c>
      <c r="AC116" s="118">
        <v>0</v>
      </c>
    </row>
    <row r="117" spans="1:29" s="114" customFormat="1" ht="25.15" customHeight="1" outlineLevel="1" x14ac:dyDescent="0.2">
      <c r="A117" s="90"/>
      <c r="B117" s="116" t="s">
        <v>591</v>
      </c>
      <c r="C117" s="117">
        <f>E117+J117+O117+T117+Y117</f>
        <v>0</v>
      </c>
      <c r="D117" s="93">
        <f t="shared" ref="D117" si="133">F117+K117+P117+U117+Z117</f>
        <v>730</v>
      </c>
      <c r="E117" s="92">
        <v>0</v>
      </c>
      <c r="F117" s="93">
        <v>0</v>
      </c>
      <c r="G117" s="93">
        <v>0</v>
      </c>
      <c r="H117" s="93">
        <v>0</v>
      </c>
      <c r="I117" s="93">
        <v>0</v>
      </c>
      <c r="J117" s="117">
        <v>0</v>
      </c>
      <c r="K117" s="118">
        <f t="shared" si="127"/>
        <v>730</v>
      </c>
      <c r="L117" s="118">
        <v>0</v>
      </c>
      <c r="M117" s="118">
        <f>11835-11834</f>
        <v>1</v>
      </c>
      <c r="N117" s="118">
        <v>729</v>
      </c>
      <c r="O117" s="117">
        <v>0</v>
      </c>
      <c r="P117" s="118">
        <f>Q117+R117+S117</f>
        <v>0</v>
      </c>
      <c r="Q117" s="118">
        <v>0</v>
      </c>
      <c r="R117" s="118">
        <v>0</v>
      </c>
      <c r="S117" s="118">
        <v>0</v>
      </c>
      <c r="T117" s="120">
        <v>0</v>
      </c>
      <c r="U117" s="119">
        <f>V117+W117+X117</f>
        <v>0</v>
      </c>
      <c r="V117" s="119">
        <v>0</v>
      </c>
      <c r="W117" s="119">
        <v>0</v>
      </c>
      <c r="X117" s="119">
        <v>0</v>
      </c>
      <c r="Y117" s="120">
        <v>0</v>
      </c>
      <c r="Z117" s="119">
        <v>0</v>
      </c>
      <c r="AA117" s="119">
        <v>0</v>
      </c>
      <c r="AB117" s="119">
        <v>0</v>
      </c>
      <c r="AC117" s="119">
        <v>0</v>
      </c>
    </row>
    <row r="118" spans="1:29" s="114" customFormat="1" ht="15.75" outlineLevel="1" x14ac:dyDescent="0.2">
      <c r="A118" s="378" t="s">
        <v>857</v>
      </c>
      <c r="B118" s="378"/>
      <c r="C118" s="378"/>
      <c r="D118" s="378"/>
      <c r="E118" s="378"/>
      <c r="F118" s="378"/>
      <c r="G118" s="378"/>
      <c r="H118" s="378"/>
      <c r="I118" s="378"/>
      <c r="J118" s="378"/>
      <c r="K118" s="378"/>
      <c r="L118" s="378"/>
      <c r="M118" s="378"/>
      <c r="N118" s="378"/>
      <c r="O118" s="378"/>
      <c r="P118" s="378"/>
      <c r="Q118" s="378"/>
      <c r="R118" s="378"/>
      <c r="S118" s="378"/>
      <c r="T118" s="378"/>
      <c r="U118" s="378"/>
      <c r="V118" s="378"/>
      <c r="W118" s="378"/>
      <c r="X118" s="378"/>
      <c r="Y118" s="378"/>
      <c r="Z118" s="378"/>
      <c r="AA118" s="378"/>
      <c r="AB118" s="378"/>
      <c r="AC118" s="378"/>
    </row>
    <row r="119" spans="1:29" s="114" customFormat="1" ht="85.9" customHeight="1" outlineLevel="1" x14ac:dyDescent="0.2">
      <c r="A119" s="90" t="s">
        <v>1643</v>
      </c>
      <c r="B119" s="116" t="s">
        <v>46</v>
      </c>
      <c r="C119" s="117">
        <f>E119+T119+O119+J119+Y119</f>
        <v>0</v>
      </c>
      <c r="D119" s="93">
        <f>F119+Z119+P119+K119+U119</f>
        <v>0</v>
      </c>
      <c r="E119" s="92">
        <v>0</v>
      </c>
      <c r="F119" s="93">
        <v>0</v>
      </c>
      <c r="G119" s="93">
        <v>0</v>
      </c>
      <c r="H119" s="93">
        <v>0</v>
      </c>
      <c r="I119" s="93">
        <v>0</v>
      </c>
      <c r="J119" s="133">
        <v>0</v>
      </c>
      <c r="K119" s="130">
        <f t="shared" ref="K119" si="134">SUM(L119:N119)</f>
        <v>0</v>
      </c>
      <c r="L119" s="130">
        <v>0</v>
      </c>
      <c r="M119" s="130">
        <v>0</v>
      </c>
      <c r="N119" s="130">
        <f>4021-4021</f>
        <v>0</v>
      </c>
      <c r="O119" s="117">
        <v>0</v>
      </c>
      <c r="P119" s="118">
        <f>Q119+R119+S119</f>
        <v>0</v>
      </c>
      <c r="Q119" s="118">
        <v>0</v>
      </c>
      <c r="R119" s="118">
        <v>0</v>
      </c>
      <c r="S119" s="118">
        <v>0</v>
      </c>
      <c r="T119" s="120">
        <v>0</v>
      </c>
      <c r="U119" s="119">
        <v>0</v>
      </c>
      <c r="V119" s="119">
        <v>0</v>
      </c>
      <c r="W119" s="119">
        <v>0</v>
      </c>
      <c r="X119" s="119">
        <v>0</v>
      </c>
      <c r="Y119" s="117">
        <v>0</v>
      </c>
      <c r="Z119" s="130">
        <f>SUM(AA119:AC119)</f>
        <v>0</v>
      </c>
      <c r="AA119" s="118">
        <v>0</v>
      </c>
      <c r="AB119" s="118">
        <v>0</v>
      </c>
      <c r="AC119" s="118">
        <v>0</v>
      </c>
    </row>
    <row r="120" spans="1:29" s="114" customFormat="1" ht="66" customHeight="1" outlineLevel="1" x14ac:dyDescent="0.2">
      <c r="A120" s="90" t="s">
        <v>1644</v>
      </c>
      <c r="B120" s="116" t="s">
        <v>57</v>
      </c>
      <c r="C120" s="117">
        <f t="shared" ref="C120:C121" si="135">E120+J120+O120+T120+Y120</f>
        <v>0</v>
      </c>
      <c r="D120" s="93">
        <f>F120+Z120+P120+K120+U120</f>
        <v>0</v>
      </c>
      <c r="E120" s="92">
        <v>0</v>
      </c>
      <c r="F120" s="93">
        <v>0</v>
      </c>
      <c r="G120" s="93">
        <v>0</v>
      </c>
      <c r="H120" s="93">
        <v>0</v>
      </c>
      <c r="I120" s="93">
        <v>0</v>
      </c>
      <c r="J120" s="117">
        <v>0</v>
      </c>
      <c r="K120" s="130">
        <f t="shared" ref="K120:K121" si="136">SUM(L120:N120)</f>
        <v>0</v>
      </c>
      <c r="L120" s="118">
        <v>0</v>
      </c>
      <c r="M120" s="118">
        <v>0</v>
      </c>
      <c r="N120" s="118">
        <v>0</v>
      </c>
      <c r="O120" s="117">
        <v>0</v>
      </c>
      <c r="P120" s="118">
        <f>Q120+R120+S120</f>
        <v>0</v>
      </c>
      <c r="Q120" s="118">
        <v>0</v>
      </c>
      <c r="R120" s="118">
        <v>0</v>
      </c>
      <c r="S120" s="118">
        <v>0</v>
      </c>
      <c r="T120" s="120">
        <v>0</v>
      </c>
      <c r="U120" s="119">
        <v>0</v>
      </c>
      <c r="V120" s="119">
        <v>0</v>
      </c>
      <c r="W120" s="119">
        <v>0</v>
      </c>
      <c r="X120" s="119">
        <v>0</v>
      </c>
      <c r="Y120" s="120">
        <v>0</v>
      </c>
      <c r="Z120" s="119">
        <f>AA120+AB120+AC120</f>
        <v>0</v>
      </c>
      <c r="AA120" s="119">
        <v>0</v>
      </c>
      <c r="AB120" s="119">
        <v>0</v>
      </c>
      <c r="AC120" s="119">
        <v>0</v>
      </c>
    </row>
    <row r="121" spans="1:29" s="114" customFormat="1" ht="63" customHeight="1" outlineLevel="1" x14ac:dyDescent="0.2">
      <c r="A121" s="90" t="s">
        <v>1716</v>
      </c>
      <c r="B121" s="116" t="s">
        <v>4</v>
      </c>
      <c r="C121" s="117">
        <f t="shared" si="135"/>
        <v>0</v>
      </c>
      <c r="D121" s="93">
        <f t="shared" ref="D121" si="137">F121+Z121+P121+K121+U121</f>
        <v>0</v>
      </c>
      <c r="E121" s="92">
        <v>0</v>
      </c>
      <c r="F121" s="93">
        <v>0</v>
      </c>
      <c r="G121" s="93">
        <v>0</v>
      </c>
      <c r="H121" s="93">
        <v>0</v>
      </c>
      <c r="I121" s="93">
        <v>0</v>
      </c>
      <c r="J121" s="117">
        <v>0</v>
      </c>
      <c r="K121" s="130">
        <f t="shared" si="136"/>
        <v>0</v>
      </c>
      <c r="L121" s="118">
        <v>0</v>
      </c>
      <c r="M121" s="118">
        <v>0</v>
      </c>
      <c r="N121" s="118">
        <v>0</v>
      </c>
      <c r="O121" s="117">
        <v>0</v>
      </c>
      <c r="P121" s="118">
        <v>0</v>
      </c>
      <c r="Q121" s="118">
        <v>0</v>
      </c>
      <c r="R121" s="118">
        <v>0</v>
      </c>
      <c r="S121" s="118">
        <v>0</v>
      </c>
      <c r="T121" s="120">
        <v>0</v>
      </c>
      <c r="U121" s="119">
        <v>0</v>
      </c>
      <c r="V121" s="119">
        <v>0</v>
      </c>
      <c r="W121" s="119">
        <v>0</v>
      </c>
      <c r="X121" s="119">
        <v>0</v>
      </c>
      <c r="Y121" s="120">
        <v>0</v>
      </c>
      <c r="Z121" s="119">
        <f>AA121+AB121+AC121</f>
        <v>0</v>
      </c>
      <c r="AA121" s="119">
        <v>0</v>
      </c>
      <c r="AB121" s="119">
        <v>0</v>
      </c>
      <c r="AC121" s="119">
        <v>0</v>
      </c>
    </row>
    <row r="122" spans="1:29" s="135" customFormat="1" ht="46.9" customHeight="1" x14ac:dyDescent="0.2">
      <c r="A122" s="134"/>
      <c r="B122" s="127" t="s">
        <v>1213</v>
      </c>
      <c r="C122" s="128">
        <f t="shared" ref="C122:AC122" si="138">SUM(C98:C121)</f>
        <v>92.96</v>
      </c>
      <c r="D122" s="129">
        <f t="shared" si="138"/>
        <v>491824</v>
      </c>
      <c r="E122" s="128">
        <f t="shared" si="138"/>
        <v>5.54</v>
      </c>
      <c r="F122" s="129">
        <f t="shared" si="138"/>
        <v>64125</v>
      </c>
      <c r="G122" s="129">
        <f t="shared" si="138"/>
        <v>0</v>
      </c>
      <c r="H122" s="129">
        <f t="shared" si="138"/>
        <v>60112</v>
      </c>
      <c r="I122" s="129">
        <f t="shared" si="138"/>
        <v>4013</v>
      </c>
      <c r="J122" s="128">
        <f t="shared" si="138"/>
        <v>46.48</v>
      </c>
      <c r="K122" s="129">
        <f t="shared" si="138"/>
        <v>241974</v>
      </c>
      <c r="L122" s="129">
        <f t="shared" si="138"/>
        <v>0</v>
      </c>
      <c r="M122" s="129">
        <f t="shared" si="138"/>
        <v>214659</v>
      </c>
      <c r="N122" s="129">
        <f t="shared" si="138"/>
        <v>27315</v>
      </c>
      <c r="O122" s="128">
        <f t="shared" si="138"/>
        <v>40.94</v>
      </c>
      <c r="P122" s="129">
        <f t="shared" si="138"/>
        <v>185725</v>
      </c>
      <c r="Q122" s="129">
        <f t="shared" si="138"/>
        <v>0</v>
      </c>
      <c r="R122" s="129">
        <f t="shared" si="138"/>
        <v>173000</v>
      </c>
      <c r="S122" s="129">
        <f t="shared" si="138"/>
        <v>12725</v>
      </c>
      <c r="T122" s="128">
        <f t="shared" si="138"/>
        <v>0</v>
      </c>
      <c r="U122" s="129">
        <f t="shared" si="138"/>
        <v>0</v>
      </c>
      <c r="V122" s="129">
        <f t="shared" si="138"/>
        <v>0</v>
      </c>
      <c r="W122" s="129">
        <f t="shared" si="138"/>
        <v>0</v>
      </c>
      <c r="X122" s="129">
        <f t="shared" si="138"/>
        <v>0</v>
      </c>
      <c r="Y122" s="128">
        <f t="shared" si="138"/>
        <v>0</v>
      </c>
      <c r="Z122" s="129">
        <f t="shared" si="138"/>
        <v>0</v>
      </c>
      <c r="AA122" s="129">
        <f t="shared" si="138"/>
        <v>0</v>
      </c>
      <c r="AB122" s="129">
        <f t="shared" si="138"/>
        <v>0</v>
      </c>
      <c r="AC122" s="129">
        <f t="shared" si="138"/>
        <v>0</v>
      </c>
    </row>
    <row r="123" spans="1:29" s="114" customFormat="1" ht="30" customHeight="1" x14ac:dyDescent="0.2">
      <c r="A123" s="113" t="s">
        <v>1070</v>
      </c>
      <c r="B123" s="372" t="s">
        <v>1214</v>
      </c>
      <c r="C123" s="373"/>
      <c r="D123" s="373"/>
      <c r="E123" s="373"/>
      <c r="F123" s="373"/>
      <c r="G123" s="373"/>
      <c r="H123" s="373"/>
      <c r="I123" s="373"/>
      <c r="J123" s="373"/>
      <c r="K123" s="373"/>
      <c r="L123" s="373"/>
      <c r="M123" s="373"/>
      <c r="N123" s="373"/>
      <c r="O123" s="373"/>
      <c r="P123" s="373"/>
      <c r="Q123" s="373"/>
      <c r="R123" s="373"/>
      <c r="S123" s="373"/>
      <c r="T123" s="373"/>
      <c r="U123" s="373"/>
      <c r="V123" s="373"/>
      <c r="W123" s="373"/>
      <c r="X123" s="373"/>
      <c r="Y123" s="373"/>
      <c r="Z123" s="373"/>
      <c r="AA123" s="373"/>
      <c r="AB123" s="373"/>
      <c r="AC123" s="374"/>
    </row>
    <row r="124" spans="1:29" s="114" customFormat="1" ht="41.45" customHeight="1" outlineLevel="1" x14ac:dyDescent="0.2">
      <c r="A124" s="78" t="s">
        <v>1215</v>
      </c>
      <c r="B124" s="136" t="s">
        <v>48</v>
      </c>
      <c r="C124" s="78">
        <f t="shared" ref="C124:C165" si="139">E124+J124+O124+T124+Y124</f>
        <v>1.98</v>
      </c>
      <c r="D124" s="96">
        <f t="shared" ref="D124:D157" si="140">F124+K124+P124+U124+Z124</f>
        <v>0</v>
      </c>
      <c r="E124" s="137">
        <v>1.98</v>
      </c>
      <c r="F124" s="130">
        <f t="shared" ref="F124:F165" si="141">G124+H124+I124</f>
        <v>0</v>
      </c>
      <c r="G124" s="130">
        <v>0</v>
      </c>
      <c r="H124" s="93">
        <v>0</v>
      </c>
      <c r="I124" s="93">
        <v>0</v>
      </c>
      <c r="J124" s="78">
        <v>0</v>
      </c>
      <c r="K124" s="118">
        <f t="shared" ref="K124:K161" si="142">SUM(L124:N124)</f>
        <v>0</v>
      </c>
      <c r="L124" s="118">
        <v>0</v>
      </c>
      <c r="M124" s="118">
        <v>0</v>
      </c>
      <c r="N124" s="118">
        <v>0</v>
      </c>
      <c r="O124" s="117">
        <v>0</v>
      </c>
      <c r="P124" s="118">
        <f t="shared" ref="P124:P161" si="143">Q124+R124+S124</f>
        <v>0</v>
      </c>
      <c r="Q124" s="118">
        <v>0</v>
      </c>
      <c r="R124" s="118">
        <v>0</v>
      </c>
      <c r="S124" s="118">
        <v>0</v>
      </c>
      <c r="T124" s="117">
        <v>0</v>
      </c>
      <c r="U124" s="118">
        <f t="shared" ref="U124:U164" si="144">V124+W124+X124</f>
        <v>0</v>
      </c>
      <c r="V124" s="118">
        <v>0</v>
      </c>
      <c r="W124" s="118">
        <v>0</v>
      </c>
      <c r="X124" s="118">
        <v>0</v>
      </c>
      <c r="Y124" s="117">
        <v>0</v>
      </c>
      <c r="Z124" s="118">
        <f t="shared" ref="Z124:Z165" si="145">AA124+AB124+AC124</f>
        <v>0</v>
      </c>
      <c r="AA124" s="118">
        <v>0</v>
      </c>
      <c r="AB124" s="118">
        <v>0</v>
      </c>
      <c r="AC124" s="118">
        <v>0</v>
      </c>
    </row>
    <row r="125" spans="1:29" s="114" customFormat="1" ht="42.6" customHeight="1" outlineLevel="1" x14ac:dyDescent="0.2">
      <c r="A125" s="138" t="s">
        <v>1216</v>
      </c>
      <c r="B125" s="136" t="s">
        <v>45</v>
      </c>
      <c r="C125" s="78">
        <f t="shared" ref="C125" si="146">E125+J125+O125+T125+Y125</f>
        <v>15.5</v>
      </c>
      <c r="D125" s="96">
        <f t="shared" si="140"/>
        <v>0</v>
      </c>
      <c r="E125" s="137">
        <v>15.5</v>
      </c>
      <c r="F125" s="130">
        <f t="shared" si="141"/>
        <v>0</v>
      </c>
      <c r="G125" s="130">
        <v>0</v>
      </c>
      <c r="H125" s="93">
        <v>0</v>
      </c>
      <c r="I125" s="93">
        <v>0</v>
      </c>
      <c r="J125" s="78">
        <v>0</v>
      </c>
      <c r="K125" s="118">
        <f t="shared" si="142"/>
        <v>0</v>
      </c>
      <c r="L125" s="118">
        <v>0</v>
      </c>
      <c r="M125" s="118">
        <v>0</v>
      </c>
      <c r="N125" s="118">
        <v>0</v>
      </c>
      <c r="O125" s="117">
        <v>0</v>
      </c>
      <c r="P125" s="118">
        <f t="shared" si="143"/>
        <v>0</v>
      </c>
      <c r="Q125" s="118">
        <v>0</v>
      </c>
      <c r="R125" s="118">
        <v>0</v>
      </c>
      <c r="S125" s="118">
        <v>0</v>
      </c>
      <c r="T125" s="117">
        <v>0</v>
      </c>
      <c r="U125" s="118">
        <f t="shared" si="144"/>
        <v>0</v>
      </c>
      <c r="V125" s="118">
        <v>0</v>
      </c>
      <c r="W125" s="118">
        <v>0</v>
      </c>
      <c r="X125" s="118">
        <v>0</v>
      </c>
      <c r="Y125" s="117">
        <v>0</v>
      </c>
      <c r="Z125" s="118">
        <f t="shared" si="145"/>
        <v>0</v>
      </c>
      <c r="AA125" s="118">
        <v>0</v>
      </c>
      <c r="AB125" s="118">
        <v>0</v>
      </c>
      <c r="AC125" s="118">
        <v>0</v>
      </c>
    </row>
    <row r="126" spans="1:29" s="114" customFormat="1" ht="39.6" customHeight="1" outlineLevel="1" x14ac:dyDescent="0.2">
      <c r="A126" s="138" t="s">
        <v>1217</v>
      </c>
      <c r="B126" s="136" t="s">
        <v>50</v>
      </c>
      <c r="C126" s="78">
        <f>E126+J126+O126+Y126+T126</f>
        <v>0</v>
      </c>
      <c r="D126" s="96">
        <f>F126+K126+P126+Z126+U126</f>
        <v>0</v>
      </c>
      <c r="E126" s="137">
        <v>0</v>
      </c>
      <c r="F126" s="130">
        <f t="shared" si="141"/>
        <v>0</v>
      </c>
      <c r="G126" s="130">
        <v>0</v>
      </c>
      <c r="H126" s="130">
        <v>0</v>
      </c>
      <c r="I126" s="130">
        <v>0</v>
      </c>
      <c r="J126" s="78">
        <v>0</v>
      </c>
      <c r="K126" s="118">
        <v>0</v>
      </c>
      <c r="L126" s="118">
        <v>0</v>
      </c>
      <c r="M126" s="118">
        <v>0</v>
      </c>
      <c r="N126" s="118">
        <v>0</v>
      </c>
      <c r="O126" s="117">
        <v>0</v>
      </c>
      <c r="P126" s="118">
        <f t="shared" si="143"/>
        <v>0</v>
      </c>
      <c r="Q126" s="118">
        <v>0</v>
      </c>
      <c r="R126" s="118">
        <v>0</v>
      </c>
      <c r="S126" s="118">
        <v>0</v>
      </c>
      <c r="T126" s="117">
        <v>0</v>
      </c>
      <c r="U126" s="118">
        <f t="shared" si="144"/>
        <v>0</v>
      </c>
      <c r="V126" s="118">
        <v>0</v>
      </c>
      <c r="W126" s="118">
        <v>0</v>
      </c>
      <c r="X126" s="118">
        <v>0</v>
      </c>
      <c r="Y126" s="117">
        <v>0</v>
      </c>
      <c r="Z126" s="118">
        <v>0</v>
      </c>
      <c r="AA126" s="118">
        <v>0</v>
      </c>
      <c r="AB126" s="118">
        <v>0</v>
      </c>
      <c r="AC126" s="118">
        <v>0</v>
      </c>
    </row>
    <row r="127" spans="1:29" s="114" customFormat="1" ht="41.45" customHeight="1" outlineLevel="1" x14ac:dyDescent="0.2">
      <c r="A127" s="138" t="s">
        <v>1218</v>
      </c>
      <c r="B127" s="136" t="s">
        <v>49</v>
      </c>
      <c r="C127" s="78">
        <f t="shared" ref="C127:C132" si="147">E127+J127+O127+Y127+T127</f>
        <v>0</v>
      </c>
      <c r="D127" s="96">
        <f t="shared" ref="D127:D131" si="148">F127+K127+P127+Z127+U127</f>
        <v>0</v>
      </c>
      <c r="E127" s="137">
        <v>0</v>
      </c>
      <c r="F127" s="130">
        <f t="shared" si="141"/>
        <v>0</v>
      </c>
      <c r="G127" s="130">
        <v>0</v>
      </c>
      <c r="H127" s="130">
        <v>0</v>
      </c>
      <c r="I127" s="130">
        <v>0</v>
      </c>
      <c r="J127" s="78">
        <v>0</v>
      </c>
      <c r="K127" s="118">
        <v>0</v>
      </c>
      <c r="L127" s="118">
        <v>0</v>
      </c>
      <c r="M127" s="118">
        <v>0</v>
      </c>
      <c r="N127" s="118">
        <v>0</v>
      </c>
      <c r="O127" s="117">
        <v>0</v>
      </c>
      <c r="P127" s="118">
        <f t="shared" si="143"/>
        <v>0</v>
      </c>
      <c r="Q127" s="118">
        <v>0</v>
      </c>
      <c r="R127" s="118">
        <v>0</v>
      </c>
      <c r="S127" s="118">
        <v>0</v>
      </c>
      <c r="T127" s="117">
        <v>0</v>
      </c>
      <c r="U127" s="118">
        <f t="shared" si="144"/>
        <v>0</v>
      </c>
      <c r="V127" s="118">
        <v>0</v>
      </c>
      <c r="W127" s="118">
        <v>0</v>
      </c>
      <c r="X127" s="118">
        <v>0</v>
      </c>
      <c r="Y127" s="117">
        <v>0</v>
      </c>
      <c r="Z127" s="118">
        <v>0</v>
      </c>
      <c r="AA127" s="118">
        <v>0</v>
      </c>
      <c r="AB127" s="118">
        <v>0</v>
      </c>
      <c r="AC127" s="118">
        <v>0</v>
      </c>
    </row>
    <row r="128" spans="1:29" s="114" customFormat="1" ht="40.15" customHeight="1" outlineLevel="1" x14ac:dyDescent="0.2">
      <c r="A128" s="138" t="s">
        <v>1219</v>
      </c>
      <c r="B128" s="136" t="s">
        <v>51</v>
      </c>
      <c r="C128" s="78">
        <f t="shared" si="147"/>
        <v>0</v>
      </c>
      <c r="D128" s="96">
        <f t="shared" si="148"/>
        <v>0</v>
      </c>
      <c r="E128" s="137">
        <v>0</v>
      </c>
      <c r="F128" s="130">
        <f t="shared" si="141"/>
        <v>0</v>
      </c>
      <c r="G128" s="130">
        <v>0</v>
      </c>
      <c r="H128" s="130">
        <v>0</v>
      </c>
      <c r="I128" s="130">
        <v>0</v>
      </c>
      <c r="J128" s="78">
        <v>0</v>
      </c>
      <c r="K128" s="118">
        <v>0</v>
      </c>
      <c r="L128" s="118">
        <v>0</v>
      </c>
      <c r="M128" s="118">
        <v>0</v>
      </c>
      <c r="N128" s="118">
        <v>0</v>
      </c>
      <c r="O128" s="117">
        <v>0</v>
      </c>
      <c r="P128" s="118">
        <f t="shared" si="143"/>
        <v>0</v>
      </c>
      <c r="Q128" s="118">
        <v>0</v>
      </c>
      <c r="R128" s="118">
        <v>0</v>
      </c>
      <c r="S128" s="118">
        <v>0</v>
      </c>
      <c r="T128" s="117">
        <v>0</v>
      </c>
      <c r="U128" s="118">
        <f t="shared" si="144"/>
        <v>0</v>
      </c>
      <c r="V128" s="118">
        <v>0</v>
      </c>
      <c r="W128" s="118">
        <v>0</v>
      </c>
      <c r="X128" s="118">
        <v>0</v>
      </c>
      <c r="Y128" s="117">
        <v>0</v>
      </c>
      <c r="Z128" s="118">
        <v>0</v>
      </c>
      <c r="AA128" s="118">
        <v>0</v>
      </c>
      <c r="AB128" s="118">
        <v>0</v>
      </c>
      <c r="AC128" s="118">
        <v>0</v>
      </c>
    </row>
    <row r="129" spans="1:29" s="114" customFormat="1" ht="40.5" customHeight="1" outlineLevel="1" x14ac:dyDescent="0.2">
      <c r="A129" s="138" t="s">
        <v>1220</v>
      </c>
      <c r="B129" s="136" t="s">
        <v>52</v>
      </c>
      <c r="C129" s="78">
        <f t="shared" si="147"/>
        <v>0</v>
      </c>
      <c r="D129" s="96">
        <f t="shared" si="148"/>
        <v>0</v>
      </c>
      <c r="E129" s="137">
        <v>0</v>
      </c>
      <c r="F129" s="130">
        <f t="shared" si="141"/>
        <v>0</v>
      </c>
      <c r="G129" s="130">
        <v>0</v>
      </c>
      <c r="H129" s="130">
        <v>0</v>
      </c>
      <c r="I129" s="130">
        <v>0</v>
      </c>
      <c r="J129" s="78">
        <v>0</v>
      </c>
      <c r="K129" s="118">
        <v>0</v>
      </c>
      <c r="L129" s="118">
        <v>0</v>
      </c>
      <c r="M129" s="118">
        <v>0</v>
      </c>
      <c r="N129" s="118">
        <v>0</v>
      </c>
      <c r="O129" s="117">
        <v>0</v>
      </c>
      <c r="P129" s="118">
        <f t="shared" si="143"/>
        <v>0</v>
      </c>
      <c r="Q129" s="118">
        <v>0</v>
      </c>
      <c r="R129" s="118">
        <v>0</v>
      </c>
      <c r="S129" s="118">
        <v>0</v>
      </c>
      <c r="T129" s="117">
        <v>0</v>
      </c>
      <c r="U129" s="118">
        <f t="shared" si="144"/>
        <v>0</v>
      </c>
      <c r="V129" s="118">
        <v>0</v>
      </c>
      <c r="W129" s="118">
        <v>0</v>
      </c>
      <c r="X129" s="118">
        <v>0</v>
      </c>
      <c r="Y129" s="117">
        <v>0</v>
      </c>
      <c r="Z129" s="118">
        <v>0</v>
      </c>
      <c r="AA129" s="118">
        <v>0</v>
      </c>
      <c r="AB129" s="118">
        <v>0</v>
      </c>
      <c r="AC129" s="118">
        <v>0</v>
      </c>
    </row>
    <row r="130" spans="1:29" s="114" customFormat="1" ht="52.9" customHeight="1" outlineLevel="1" x14ac:dyDescent="0.2">
      <c r="A130" s="138" t="s">
        <v>1221</v>
      </c>
      <c r="B130" s="136" t="s">
        <v>53</v>
      </c>
      <c r="C130" s="78">
        <f t="shared" si="147"/>
        <v>0</v>
      </c>
      <c r="D130" s="96">
        <f t="shared" si="148"/>
        <v>0</v>
      </c>
      <c r="E130" s="137">
        <v>0</v>
      </c>
      <c r="F130" s="130">
        <f t="shared" si="141"/>
        <v>0</v>
      </c>
      <c r="G130" s="130">
        <v>0</v>
      </c>
      <c r="H130" s="130">
        <v>0</v>
      </c>
      <c r="I130" s="130">
        <v>0</v>
      </c>
      <c r="J130" s="78">
        <v>0</v>
      </c>
      <c r="K130" s="118">
        <v>0</v>
      </c>
      <c r="L130" s="118">
        <v>0</v>
      </c>
      <c r="M130" s="118">
        <v>0</v>
      </c>
      <c r="N130" s="118">
        <v>0</v>
      </c>
      <c r="O130" s="117">
        <v>0</v>
      </c>
      <c r="P130" s="118">
        <f t="shared" si="143"/>
        <v>0</v>
      </c>
      <c r="Q130" s="118">
        <v>0</v>
      </c>
      <c r="R130" s="118">
        <v>0</v>
      </c>
      <c r="S130" s="118">
        <v>0</v>
      </c>
      <c r="T130" s="117">
        <v>0</v>
      </c>
      <c r="U130" s="118">
        <f t="shared" si="144"/>
        <v>0</v>
      </c>
      <c r="V130" s="118">
        <v>0</v>
      </c>
      <c r="W130" s="118">
        <v>0</v>
      </c>
      <c r="X130" s="118">
        <v>0</v>
      </c>
      <c r="Y130" s="117">
        <v>0</v>
      </c>
      <c r="Z130" s="118">
        <v>0</v>
      </c>
      <c r="AA130" s="118">
        <v>0</v>
      </c>
      <c r="AB130" s="118">
        <v>0</v>
      </c>
      <c r="AC130" s="118">
        <v>0</v>
      </c>
    </row>
    <row r="131" spans="1:29" s="114" customFormat="1" ht="52.15" customHeight="1" outlineLevel="1" x14ac:dyDescent="0.2">
      <c r="A131" s="138" t="s">
        <v>1222</v>
      </c>
      <c r="B131" s="136" t="s">
        <v>54</v>
      </c>
      <c r="C131" s="78">
        <f t="shared" si="147"/>
        <v>0</v>
      </c>
      <c r="D131" s="96">
        <f t="shared" si="148"/>
        <v>0</v>
      </c>
      <c r="E131" s="137">
        <v>0</v>
      </c>
      <c r="F131" s="130">
        <f t="shared" si="141"/>
        <v>0</v>
      </c>
      <c r="G131" s="130">
        <v>0</v>
      </c>
      <c r="H131" s="96">
        <v>0</v>
      </c>
      <c r="I131" s="130">
        <v>0</v>
      </c>
      <c r="J131" s="78">
        <v>0</v>
      </c>
      <c r="K131" s="118">
        <v>0</v>
      </c>
      <c r="L131" s="118">
        <v>0</v>
      </c>
      <c r="M131" s="118">
        <v>0</v>
      </c>
      <c r="N131" s="118">
        <v>0</v>
      </c>
      <c r="O131" s="117">
        <v>0</v>
      </c>
      <c r="P131" s="118">
        <v>0</v>
      </c>
      <c r="Q131" s="118">
        <v>0</v>
      </c>
      <c r="R131" s="118">
        <f>P131*0.952</f>
        <v>0</v>
      </c>
      <c r="S131" s="118">
        <f>P131*0.048</f>
        <v>0</v>
      </c>
      <c r="T131" s="117">
        <v>0</v>
      </c>
      <c r="U131" s="118">
        <f t="shared" si="144"/>
        <v>0</v>
      </c>
      <c r="V131" s="118">
        <v>0</v>
      </c>
      <c r="W131" s="118">
        <v>0</v>
      </c>
      <c r="X131" s="118">
        <v>0</v>
      </c>
      <c r="Y131" s="117">
        <v>0</v>
      </c>
      <c r="Z131" s="118">
        <v>0</v>
      </c>
      <c r="AA131" s="118">
        <v>0</v>
      </c>
      <c r="AB131" s="118">
        <v>0</v>
      </c>
      <c r="AC131" s="118">
        <v>0</v>
      </c>
    </row>
    <row r="132" spans="1:29" s="114" customFormat="1" ht="48" customHeight="1" outlineLevel="1" x14ac:dyDescent="0.2">
      <c r="A132" s="138" t="s">
        <v>1223</v>
      </c>
      <c r="B132" s="136" t="s">
        <v>420</v>
      </c>
      <c r="C132" s="78">
        <f t="shared" si="147"/>
        <v>0</v>
      </c>
      <c r="D132" s="96">
        <f t="shared" si="140"/>
        <v>0</v>
      </c>
      <c r="E132" s="137">
        <v>0</v>
      </c>
      <c r="F132" s="130">
        <f t="shared" si="141"/>
        <v>0</v>
      </c>
      <c r="G132" s="130">
        <v>0</v>
      </c>
      <c r="H132" s="96">
        <v>0</v>
      </c>
      <c r="I132" s="130">
        <v>0</v>
      </c>
      <c r="J132" s="78">
        <v>0</v>
      </c>
      <c r="K132" s="118">
        <f t="shared" si="142"/>
        <v>0</v>
      </c>
      <c r="L132" s="118">
        <v>0</v>
      </c>
      <c r="M132" s="118">
        <v>0</v>
      </c>
      <c r="N132" s="118">
        <v>0</v>
      </c>
      <c r="O132" s="117">
        <v>0</v>
      </c>
      <c r="P132" s="118">
        <f t="shared" si="143"/>
        <v>0</v>
      </c>
      <c r="Q132" s="118">
        <v>0</v>
      </c>
      <c r="R132" s="118">
        <v>0</v>
      </c>
      <c r="S132" s="118">
        <v>0</v>
      </c>
      <c r="T132" s="117">
        <v>0</v>
      </c>
      <c r="U132" s="118">
        <f t="shared" si="144"/>
        <v>0</v>
      </c>
      <c r="V132" s="118">
        <v>0</v>
      </c>
      <c r="W132" s="118">
        <v>0</v>
      </c>
      <c r="X132" s="118">
        <v>0</v>
      </c>
      <c r="Y132" s="117">
        <v>0</v>
      </c>
      <c r="Z132" s="118">
        <v>0</v>
      </c>
      <c r="AA132" s="118">
        <v>0</v>
      </c>
      <c r="AB132" s="118">
        <v>0</v>
      </c>
      <c r="AC132" s="118">
        <v>0</v>
      </c>
    </row>
    <row r="133" spans="1:29" s="114" customFormat="1" ht="43.9" customHeight="1" outlineLevel="1" x14ac:dyDescent="0.2">
      <c r="A133" s="138" t="s">
        <v>1224</v>
      </c>
      <c r="B133" s="136" t="s">
        <v>483</v>
      </c>
      <c r="C133" s="78">
        <f t="shared" si="139"/>
        <v>0</v>
      </c>
      <c r="D133" s="96">
        <f t="shared" si="140"/>
        <v>0</v>
      </c>
      <c r="E133" s="137">
        <v>0</v>
      </c>
      <c r="F133" s="130">
        <f t="shared" si="141"/>
        <v>0</v>
      </c>
      <c r="G133" s="130">
        <v>0</v>
      </c>
      <c r="H133" s="96">
        <v>0</v>
      </c>
      <c r="I133" s="130">
        <v>0</v>
      </c>
      <c r="J133" s="78">
        <v>0</v>
      </c>
      <c r="K133" s="118">
        <f t="shared" si="142"/>
        <v>0</v>
      </c>
      <c r="L133" s="118">
        <v>0</v>
      </c>
      <c r="M133" s="118">
        <v>0</v>
      </c>
      <c r="N133" s="118">
        <v>0</v>
      </c>
      <c r="O133" s="117">
        <v>0</v>
      </c>
      <c r="P133" s="118">
        <f t="shared" si="143"/>
        <v>0</v>
      </c>
      <c r="Q133" s="118">
        <v>0</v>
      </c>
      <c r="R133" s="118">
        <v>0</v>
      </c>
      <c r="S133" s="118">
        <v>0</v>
      </c>
      <c r="T133" s="117">
        <v>0</v>
      </c>
      <c r="U133" s="118">
        <f t="shared" si="144"/>
        <v>0</v>
      </c>
      <c r="V133" s="118">
        <v>0</v>
      </c>
      <c r="W133" s="118">
        <v>0</v>
      </c>
      <c r="X133" s="118">
        <v>0</v>
      </c>
      <c r="Y133" s="117">
        <v>0</v>
      </c>
      <c r="Z133" s="118">
        <f t="shared" si="145"/>
        <v>0</v>
      </c>
      <c r="AA133" s="118">
        <v>0</v>
      </c>
      <c r="AB133" s="118">
        <v>0</v>
      </c>
      <c r="AC133" s="118">
        <v>0</v>
      </c>
    </row>
    <row r="134" spans="1:29" s="114" customFormat="1" ht="50.45" customHeight="1" outlineLevel="1" x14ac:dyDescent="0.2">
      <c r="A134" s="138" t="s">
        <v>1225</v>
      </c>
      <c r="B134" s="136" t="s">
        <v>59</v>
      </c>
      <c r="C134" s="78">
        <f t="shared" si="139"/>
        <v>0</v>
      </c>
      <c r="D134" s="96">
        <f t="shared" si="140"/>
        <v>0</v>
      </c>
      <c r="E134" s="137">
        <v>0</v>
      </c>
      <c r="F134" s="130">
        <f t="shared" si="141"/>
        <v>0</v>
      </c>
      <c r="G134" s="130">
        <v>0</v>
      </c>
      <c r="H134" s="96">
        <v>0</v>
      </c>
      <c r="I134" s="130">
        <v>0</v>
      </c>
      <c r="J134" s="78">
        <v>0</v>
      </c>
      <c r="K134" s="118">
        <f t="shared" si="142"/>
        <v>0</v>
      </c>
      <c r="L134" s="118">
        <v>0</v>
      </c>
      <c r="M134" s="118">
        <v>0</v>
      </c>
      <c r="N134" s="118">
        <v>0</v>
      </c>
      <c r="O134" s="117">
        <v>0</v>
      </c>
      <c r="P134" s="118">
        <f t="shared" si="143"/>
        <v>0</v>
      </c>
      <c r="Q134" s="118">
        <v>0</v>
      </c>
      <c r="R134" s="118">
        <v>0</v>
      </c>
      <c r="S134" s="118">
        <v>0</v>
      </c>
      <c r="T134" s="117">
        <v>0</v>
      </c>
      <c r="U134" s="118">
        <f t="shared" si="144"/>
        <v>0</v>
      </c>
      <c r="V134" s="118">
        <v>0</v>
      </c>
      <c r="W134" s="118">
        <v>0</v>
      </c>
      <c r="X134" s="118">
        <v>0</v>
      </c>
      <c r="Y134" s="117">
        <v>0</v>
      </c>
      <c r="Z134" s="118">
        <f t="shared" si="145"/>
        <v>0</v>
      </c>
      <c r="AA134" s="118">
        <v>0</v>
      </c>
      <c r="AB134" s="118">
        <v>0</v>
      </c>
      <c r="AC134" s="118">
        <v>0</v>
      </c>
    </row>
    <row r="135" spans="1:29" s="114" customFormat="1" ht="51.75" customHeight="1" outlineLevel="1" x14ac:dyDescent="0.2">
      <c r="A135" s="138" t="s">
        <v>1226</v>
      </c>
      <c r="B135" s="136" t="s">
        <v>60</v>
      </c>
      <c r="C135" s="78">
        <f t="shared" si="139"/>
        <v>0</v>
      </c>
      <c r="D135" s="96">
        <f t="shared" si="140"/>
        <v>0</v>
      </c>
      <c r="E135" s="137">
        <v>0</v>
      </c>
      <c r="F135" s="130">
        <f t="shared" si="141"/>
        <v>0</v>
      </c>
      <c r="G135" s="130">
        <v>0</v>
      </c>
      <c r="H135" s="96">
        <v>0</v>
      </c>
      <c r="I135" s="130">
        <v>0</v>
      </c>
      <c r="J135" s="78">
        <v>0</v>
      </c>
      <c r="K135" s="118">
        <f t="shared" si="142"/>
        <v>0</v>
      </c>
      <c r="L135" s="118">
        <v>0</v>
      </c>
      <c r="M135" s="118">
        <v>0</v>
      </c>
      <c r="N135" s="118">
        <v>0</v>
      </c>
      <c r="O135" s="117">
        <v>0</v>
      </c>
      <c r="P135" s="118">
        <f t="shared" si="143"/>
        <v>0</v>
      </c>
      <c r="Q135" s="118">
        <v>0</v>
      </c>
      <c r="R135" s="118">
        <v>0</v>
      </c>
      <c r="S135" s="118">
        <v>0</v>
      </c>
      <c r="T135" s="117">
        <v>0</v>
      </c>
      <c r="U135" s="118">
        <f t="shared" si="144"/>
        <v>0</v>
      </c>
      <c r="V135" s="118">
        <v>0</v>
      </c>
      <c r="W135" s="118">
        <v>0</v>
      </c>
      <c r="X135" s="118">
        <v>0</v>
      </c>
      <c r="Y135" s="117">
        <v>0</v>
      </c>
      <c r="Z135" s="118">
        <f t="shared" si="145"/>
        <v>0</v>
      </c>
      <c r="AA135" s="118">
        <v>0</v>
      </c>
      <c r="AB135" s="118">
        <v>0</v>
      </c>
      <c r="AC135" s="118">
        <v>0</v>
      </c>
    </row>
    <row r="136" spans="1:29" s="114" customFormat="1" ht="37.9" customHeight="1" outlineLevel="1" x14ac:dyDescent="0.2">
      <c r="A136" s="138" t="s">
        <v>1227</v>
      </c>
      <c r="B136" s="136" t="s">
        <v>61</v>
      </c>
      <c r="C136" s="78">
        <f t="shared" si="139"/>
        <v>0</v>
      </c>
      <c r="D136" s="96">
        <f t="shared" si="140"/>
        <v>0</v>
      </c>
      <c r="E136" s="137">
        <v>0</v>
      </c>
      <c r="F136" s="130">
        <f t="shared" si="141"/>
        <v>0</v>
      </c>
      <c r="G136" s="130">
        <v>0</v>
      </c>
      <c r="H136" s="96">
        <v>0</v>
      </c>
      <c r="I136" s="130">
        <v>0</v>
      </c>
      <c r="J136" s="78">
        <v>0</v>
      </c>
      <c r="K136" s="118">
        <f t="shared" si="142"/>
        <v>0</v>
      </c>
      <c r="L136" s="118">
        <v>0</v>
      </c>
      <c r="M136" s="118">
        <v>0</v>
      </c>
      <c r="N136" s="118">
        <v>0</v>
      </c>
      <c r="O136" s="117">
        <v>0</v>
      </c>
      <c r="P136" s="118">
        <f t="shared" si="143"/>
        <v>0</v>
      </c>
      <c r="Q136" s="118">
        <v>0</v>
      </c>
      <c r="R136" s="118">
        <v>0</v>
      </c>
      <c r="S136" s="118">
        <v>0</v>
      </c>
      <c r="T136" s="117">
        <v>0</v>
      </c>
      <c r="U136" s="118">
        <f t="shared" si="144"/>
        <v>0</v>
      </c>
      <c r="V136" s="118">
        <v>0</v>
      </c>
      <c r="W136" s="118">
        <v>0</v>
      </c>
      <c r="X136" s="118">
        <v>0</v>
      </c>
      <c r="Y136" s="117">
        <v>0</v>
      </c>
      <c r="Z136" s="118">
        <f t="shared" si="145"/>
        <v>0</v>
      </c>
      <c r="AA136" s="118">
        <v>0</v>
      </c>
      <c r="AB136" s="118">
        <v>0</v>
      </c>
      <c r="AC136" s="118">
        <v>0</v>
      </c>
    </row>
    <row r="137" spans="1:29" s="114" customFormat="1" ht="51.6" customHeight="1" outlineLevel="1" x14ac:dyDescent="0.2">
      <c r="A137" s="138" t="s">
        <v>1228</v>
      </c>
      <c r="B137" s="136" t="s">
        <v>62</v>
      </c>
      <c r="C137" s="78">
        <f t="shared" si="139"/>
        <v>0</v>
      </c>
      <c r="D137" s="96">
        <f t="shared" si="140"/>
        <v>0</v>
      </c>
      <c r="E137" s="137">
        <v>0</v>
      </c>
      <c r="F137" s="130">
        <f t="shared" si="141"/>
        <v>0</v>
      </c>
      <c r="G137" s="130">
        <v>0</v>
      </c>
      <c r="H137" s="96">
        <v>0</v>
      </c>
      <c r="I137" s="130">
        <v>0</v>
      </c>
      <c r="J137" s="78">
        <v>0</v>
      </c>
      <c r="K137" s="118">
        <f t="shared" si="142"/>
        <v>0</v>
      </c>
      <c r="L137" s="118">
        <v>0</v>
      </c>
      <c r="M137" s="118">
        <v>0</v>
      </c>
      <c r="N137" s="118">
        <v>0</v>
      </c>
      <c r="O137" s="117">
        <v>0</v>
      </c>
      <c r="P137" s="118">
        <f t="shared" si="143"/>
        <v>0</v>
      </c>
      <c r="Q137" s="118">
        <v>0</v>
      </c>
      <c r="R137" s="118">
        <v>0</v>
      </c>
      <c r="S137" s="118">
        <v>0</v>
      </c>
      <c r="T137" s="117">
        <v>0</v>
      </c>
      <c r="U137" s="118">
        <f t="shared" si="144"/>
        <v>0</v>
      </c>
      <c r="V137" s="118">
        <v>0</v>
      </c>
      <c r="W137" s="118">
        <v>0</v>
      </c>
      <c r="X137" s="118">
        <v>0</v>
      </c>
      <c r="Y137" s="117">
        <v>0</v>
      </c>
      <c r="Z137" s="118">
        <f t="shared" si="145"/>
        <v>0</v>
      </c>
      <c r="AA137" s="118">
        <v>0</v>
      </c>
      <c r="AB137" s="118">
        <v>0</v>
      </c>
      <c r="AC137" s="118">
        <v>0</v>
      </c>
    </row>
    <row r="138" spans="1:29" s="114" customFormat="1" ht="46.15" customHeight="1" outlineLevel="1" x14ac:dyDescent="0.2">
      <c r="A138" s="138" t="s">
        <v>1229</v>
      </c>
      <c r="B138" s="136" t="s">
        <v>484</v>
      </c>
      <c r="C138" s="78">
        <f t="shared" si="139"/>
        <v>0</v>
      </c>
      <c r="D138" s="96">
        <f t="shared" si="140"/>
        <v>0</v>
      </c>
      <c r="E138" s="137">
        <v>0</v>
      </c>
      <c r="F138" s="130">
        <f t="shared" si="141"/>
        <v>0</v>
      </c>
      <c r="G138" s="130">
        <v>0</v>
      </c>
      <c r="H138" s="96">
        <v>0</v>
      </c>
      <c r="I138" s="130">
        <v>0</v>
      </c>
      <c r="J138" s="78">
        <v>0</v>
      </c>
      <c r="K138" s="118">
        <f t="shared" si="142"/>
        <v>0</v>
      </c>
      <c r="L138" s="118">
        <v>0</v>
      </c>
      <c r="M138" s="118">
        <v>0</v>
      </c>
      <c r="N138" s="118">
        <v>0</v>
      </c>
      <c r="O138" s="117">
        <v>0</v>
      </c>
      <c r="P138" s="118">
        <f t="shared" si="143"/>
        <v>0</v>
      </c>
      <c r="Q138" s="118">
        <v>0</v>
      </c>
      <c r="R138" s="118">
        <v>0</v>
      </c>
      <c r="S138" s="118">
        <v>0</v>
      </c>
      <c r="T138" s="117">
        <v>0</v>
      </c>
      <c r="U138" s="118">
        <f t="shared" si="144"/>
        <v>0</v>
      </c>
      <c r="V138" s="118">
        <v>0</v>
      </c>
      <c r="W138" s="118">
        <v>0</v>
      </c>
      <c r="X138" s="118">
        <v>0</v>
      </c>
      <c r="Y138" s="117">
        <v>0</v>
      </c>
      <c r="Z138" s="118">
        <f t="shared" si="145"/>
        <v>0</v>
      </c>
      <c r="AA138" s="118">
        <v>0</v>
      </c>
      <c r="AB138" s="118">
        <v>0</v>
      </c>
      <c r="AC138" s="118">
        <v>0</v>
      </c>
    </row>
    <row r="139" spans="1:29" s="114" customFormat="1" ht="38.450000000000003" customHeight="1" outlineLevel="1" x14ac:dyDescent="0.2">
      <c r="A139" s="138" t="s">
        <v>1230</v>
      </c>
      <c r="B139" s="136" t="s">
        <v>63</v>
      </c>
      <c r="C139" s="78">
        <f t="shared" si="139"/>
        <v>0</v>
      </c>
      <c r="D139" s="96">
        <f t="shared" si="140"/>
        <v>0</v>
      </c>
      <c r="E139" s="137">
        <v>0</v>
      </c>
      <c r="F139" s="130">
        <f t="shared" si="141"/>
        <v>0</v>
      </c>
      <c r="G139" s="130">
        <v>0</v>
      </c>
      <c r="H139" s="96">
        <v>0</v>
      </c>
      <c r="I139" s="130">
        <v>0</v>
      </c>
      <c r="J139" s="78">
        <v>0</v>
      </c>
      <c r="K139" s="118">
        <f t="shared" si="142"/>
        <v>0</v>
      </c>
      <c r="L139" s="118">
        <v>0</v>
      </c>
      <c r="M139" s="118">
        <v>0</v>
      </c>
      <c r="N139" s="118">
        <v>0</v>
      </c>
      <c r="O139" s="117">
        <v>0</v>
      </c>
      <c r="P139" s="118">
        <f t="shared" si="143"/>
        <v>0</v>
      </c>
      <c r="Q139" s="118">
        <v>0</v>
      </c>
      <c r="R139" s="118">
        <v>0</v>
      </c>
      <c r="S139" s="118">
        <v>0</v>
      </c>
      <c r="T139" s="117">
        <v>0</v>
      </c>
      <c r="U139" s="118">
        <f t="shared" si="144"/>
        <v>0</v>
      </c>
      <c r="V139" s="118">
        <v>0</v>
      </c>
      <c r="W139" s="118">
        <v>0</v>
      </c>
      <c r="X139" s="118">
        <v>0</v>
      </c>
      <c r="Y139" s="117">
        <v>0</v>
      </c>
      <c r="Z139" s="118">
        <f t="shared" si="145"/>
        <v>0</v>
      </c>
      <c r="AA139" s="118">
        <v>0</v>
      </c>
      <c r="AB139" s="118">
        <v>0</v>
      </c>
      <c r="AC139" s="118">
        <v>0</v>
      </c>
    </row>
    <row r="140" spans="1:29" s="114" customFormat="1" ht="43.15" customHeight="1" outlineLevel="1" x14ac:dyDescent="0.2">
      <c r="A140" s="139" t="s">
        <v>1231</v>
      </c>
      <c r="B140" s="140" t="s">
        <v>64</v>
      </c>
      <c r="C140" s="78">
        <f t="shared" si="139"/>
        <v>0</v>
      </c>
      <c r="D140" s="96">
        <f t="shared" si="140"/>
        <v>0</v>
      </c>
      <c r="E140" s="137">
        <v>0</v>
      </c>
      <c r="F140" s="130">
        <f t="shared" si="141"/>
        <v>0</v>
      </c>
      <c r="G140" s="130">
        <v>0</v>
      </c>
      <c r="H140" s="96">
        <v>0</v>
      </c>
      <c r="I140" s="130">
        <v>0</v>
      </c>
      <c r="J140" s="78">
        <v>0</v>
      </c>
      <c r="K140" s="118">
        <f t="shared" si="142"/>
        <v>0</v>
      </c>
      <c r="L140" s="118">
        <v>0</v>
      </c>
      <c r="M140" s="118">
        <v>0</v>
      </c>
      <c r="N140" s="118">
        <v>0</v>
      </c>
      <c r="O140" s="117">
        <v>0</v>
      </c>
      <c r="P140" s="118">
        <f t="shared" si="143"/>
        <v>0</v>
      </c>
      <c r="Q140" s="118">
        <v>0</v>
      </c>
      <c r="R140" s="118">
        <v>0</v>
      </c>
      <c r="S140" s="118">
        <v>0</v>
      </c>
      <c r="T140" s="117">
        <v>0</v>
      </c>
      <c r="U140" s="118">
        <f t="shared" si="144"/>
        <v>0</v>
      </c>
      <c r="V140" s="118">
        <v>0</v>
      </c>
      <c r="W140" s="118">
        <v>0</v>
      </c>
      <c r="X140" s="118">
        <v>0</v>
      </c>
      <c r="Y140" s="117">
        <v>0</v>
      </c>
      <c r="Z140" s="118">
        <f t="shared" si="145"/>
        <v>0</v>
      </c>
      <c r="AA140" s="118">
        <v>0</v>
      </c>
      <c r="AB140" s="118">
        <v>0</v>
      </c>
      <c r="AC140" s="118">
        <v>0</v>
      </c>
    </row>
    <row r="141" spans="1:29" s="114" customFormat="1" ht="41.45" customHeight="1" outlineLevel="1" x14ac:dyDescent="0.2">
      <c r="A141" s="138" t="s">
        <v>1232</v>
      </c>
      <c r="B141" s="136" t="s">
        <v>485</v>
      </c>
      <c r="C141" s="78">
        <f t="shared" si="139"/>
        <v>0</v>
      </c>
      <c r="D141" s="96">
        <f t="shared" si="140"/>
        <v>0</v>
      </c>
      <c r="E141" s="137">
        <v>0</v>
      </c>
      <c r="F141" s="130">
        <f t="shared" si="141"/>
        <v>0</v>
      </c>
      <c r="G141" s="130">
        <v>0</v>
      </c>
      <c r="H141" s="96">
        <v>0</v>
      </c>
      <c r="I141" s="130">
        <v>0</v>
      </c>
      <c r="J141" s="78">
        <v>0</v>
      </c>
      <c r="K141" s="118">
        <f t="shared" si="142"/>
        <v>0</v>
      </c>
      <c r="L141" s="118">
        <v>0</v>
      </c>
      <c r="M141" s="118">
        <v>0</v>
      </c>
      <c r="N141" s="118">
        <v>0</v>
      </c>
      <c r="O141" s="117">
        <v>0</v>
      </c>
      <c r="P141" s="118">
        <f t="shared" si="143"/>
        <v>0</v>
      </c>
      <c r="Q141" s="118">
        <v>0</v>
      </c>
      <c r="R141" s="118">
        <v>0</v>
      </c>
      <c r="S141" s="118">
        <v>0</v>
      </c>
      <c r="T141" s="117">
        <v>0</v>
      </c>
      <c r="U141" s="118">
        <f t="shared" si="144"/>
        <v>0</v>
      </c>
      <c r="V141" s="118">
        <v>0</v>
      </c>
      <c r="W141" s="118">
        <v>0</v>
      </c>
      <c r="X141" s="118">
        <v>0</v>
      </c>
      <c r="Y141" s="117">
        <v>0</v>
      </c>
      <c r="Z141" s="118">
        <f t="shared" si="145"/>
        <v>0</v>
      </c>
      <c r="AA141" s="118">
        <v>0</v>
      </c>
      <c r="AB141" s="118">
        <v>0</v>
      </c>
      <c r="AC141" s="118">
        <v>0</v>
      </c>
    </row>
    <row r="142" spans="1:29" s="114" customFormat="1" ht="40.15" customHeight="1" outlineLevel="1" x14ac:dyDescent="0.2">
      <c r="A142" s="138" t="s">
        <v>1233</v>
      </c>
      <c r="B142" s="136" t="s">
        <v>65</v>
      </c>
      <c r="C142" s="78">
        <f t="shared" si="139"/>
        <v>0</v>
      </c>
      <c r="D142" s="96">
        <f t="shared" si="140"/>
        <v>0</v>
      </c>
      <c r="E142" s="137">
        <v>0</v>
      </c>
      <c r="F142" s="130">
        <f t="shared" si="141"/>
        <v>0</v>
      </c>
      <c r="G142" s="130">
        <v>0</v>
      </c>
      <c r="H142" s="96">
        <v>0</v>
      </c>
      <c r="I142" s="130">
        <v>0</v>
      </c>
      <c r="J142" s="78">
        <v>0</v>
      </c>
      <c r="K142" s="118">
        <f t="shared" si="142"/>
        <v>0</v>
      </c>
      <c r="L142" s="118">
        <v>0</v>
      </c>
      <c r="M142" s="118">
        <v>0</v>
      </c>
      <c r="N142" s="118">
        <v>0</v>
      </c>
      <c r="O142" s="117">
        <v>0</v>
      </c>
      <c r="P142" s="118">
        <f t="shared" si="143"/>
        <v>0</v>
      </c>
      <c r="Q142" s="118">
        <v>0</v>
      </c>
      <c r="R142" s="118">
        <v>0</v>
      </c>
      <c r="S142" s="118">
        <v>0</v>
      </c>
      <c r="T142" s="117">
        <v>0</v>
      </c>
      <c r="U142" s="118">
        <f t="shared" si="144"/>
        <v>0</v>
      </c>
      <c r="V142" s="118">
        <v>0</v>
      </c>
      <c r="W142" s="118">
        <v>0</v>
      </c>
      <c r="X142" s="118">
        <v>0</v>
      </c>
      <c r="Y142" s="117">
        <v>0</v>
      </c>
      <c r="Z142" s="118">
        <f t="shared" si="145"/>
        <v>0</v>
      </c>
      <c r="AA142" s="118">
        <v>0</v>
      </c>
      <c r="AB142" s="118">
        <v>0</v>
      </c>
      <c r="AC142" s="118">
        <v>0</v>
      </c>
    </row>
    <row r="143" spans="1:29" s="114" customFormat="1" ht="39" customHeight="1" outlineLevel="1" x14ac:dyDescent="0.2">
      <c r="A143" s="138" t="s">
        <v>1234</v>
      </c>
      <c r="B143" s="136" t="s">
        <v>66</v>
      </c>
      <c r="C143" s="78">
        <f>E143+J143+O143+Y143+T143</f>
        <v>0</v>
      </c>
      <c r="D143" s="96">
        <f>F143+K143+P143+Z143+U143</f>
        <v>0</v>
      </c>
      <c r="E143" s="137">
        <v>0</v>
      </c>
      <c r="F143" s="130">
        <f t="shared" si="141"/>
        <v>0</v>
      </c>
      <c r="G143" s="130">
        <v>0</v>
      </c>
      <c r="H143" s="96">
        <v>0</v>
      </c>
      <c r="I143" s="130">
        <v>0</v>
      </c>
      <c r="J143" s="78">
        <v>0</v>
      </c>
      <c r="K143" s="118">
        <f t="shared" si="142"/>
        <v>0</v>
      </c>
      <c r="L143" s="118">
        <v>0</v>
      </c>
      <c r="M143" s="118">
        <v>0</v>
      </c>
      <c r="N143" s="118">
        <v>0</v>
      </c>
      <c r="O143" s="117">
        <v>0</v>
      </c>
      <c r="P143" s="118">
        <f t="shared" si="143"/>
        <v>0</v>
      </c>
      <c r="Q143" s="118">
        <v>0</v>
      </c>
      <c r="R143" s="118">
        <v>0</v>
      </c>
      <c r="S143" s="118">
        <v>0</v>
      </c>
      <c r="T143" s="117">
        <v>0</v>
      </c>
      <c r="U143" s="118">
        <f t="shared" si="144"/>
        <v>0</v>
      </c>
      <c r="V143" s="118">
        <v>0</v>
      </c>
      <c r="W143" s="118">
        <v>0</v>
      </c>
      <c r="X143" s="118">
        <v>0</v>
      </c>
      <c r="Y143" s="117">
        <v>0</v>
      </c>
      <c r="Z143" s="118">
        <f t="shared" ref="Z143:Z149" si="149">AA143+AB143+AC143</f>
        <v>0</v>
      </c>
      <c r="AA143" s="118">
        <v>0</v>
      </c>
      <c r="AB143" s="118">
        <v>0</v>
      </c>
      <c r="AC143" s="118">
        <v>0</v>
      </c>
    </row>
    <row r="144" spans="1:29" s="114" customFormat="1" ht="33" customHeight="1" outlineLevel="1" x14ac:dyDescent="0.2">
      <c r="A144" s="138" t="s">
        <v>1235</v>
      </c>
      <c r="B144" s="136" t="s">
        <v>67</v>
      </c>
      <c r="C144" s="78">
        <f t="shared" ref="C144:C149" si="150">E144+J144+O144+Y144+T144</f>
        <v>0</v>
      </c>
      <c r="D144" s="96">
        <f t="shared" ref="D144:D150" si="151">F144+K144+P144+Z144+U144</f>
        <v>0</v>
      </c>
      <c r="E144" s="137">
        <v>0</v>
      </c>
      <c r="F144" s="130">
        <f t="shared" si="141"/>
        <v>0</v>
      </c>
      <c r="G144" s="130">
        <v>0</v>
      </c>
      <c r="H144" s="96">
        <v>0</v>
      </c>
      <c r="I144" s="130">
        <v>0</v>
      </c>
      <c r="J144" s="78">
        <v>0</v>
      </c>
      <c r="K144" s="118">
        <f t="shared" si="142"/>
        <v>0</v>
      </c>
      <c r="L144" s="118">
        <v>0</v>
      </c>
      <c r="M144" s="118">
        <v>0</v>
      </c>
      <c r="N144" s="118">
        <v>0</v>
      </c>
      <c r="O144" s="117">
        <v>0</v>
      </c>
      <c r="P144" s="118">
        <f t="shared" si="143"/>
        <v>0</v>
      </c>
      <c r="Q144" s="118">
        <v>0</v>
      </c>
      <c r="R144" s="118">
        <v>0</v>
      </c>
      <c r="S144" s="118">
        <v>0</v>
      </c>
      <c r="T144" s="117">
        <v>0</v>
      </c>
      <c r="U144" s="118">
        <f t="shared" si="144"/>
        <v>0</v>
      </c>
      <c r="V144" s="118">
        <v>0</v>
      </c>
      <c r="W144" s="118">
        <v>0</v>
      </c>
      <c r="X144" s="118">
        <v>0</v>
      </c>
      <c r="Y144" s="117">
        <v>0</v>
      </c>
      <c r="Z144" s="118">
        <f t="shared" si="149"/>
        <v>0</v>
      </c>
      <c r="AA144" s="118">
        <v>0</v>
      </c>
      <c r="AB144" s="118">
        <v>0</v>
      </c>
      <c r="AC144" s="118">
        <v>0</v>
      </c>
    </row>
    <row r="145" spans="1:30" s="114" customFormat="1" ht="47.45" customHeight="1" outlineLevel="1" x14ac:dyDescent="0.2">
      <c r="A145" s="138" t="s">
        <v>1236</v>
      </c>
      <c r="B145" s="136" t="s">
        <v>68</v>
      </c>
      <c r="C145" s="78">
        <f t="shared" si="150"/>
        <v>0</v>
      </c>
      <c r="D145" s="96">
        <f t="shared" si="151"/>
        <v>0</v>
      </c>
      <c r="E145" s="137">
        <v>0</v>
      </c>
      <c r="F145" s="130">
        <f t="shared" si="141"/>
        <v>0</v>
      </c>
      <c r="G145" s="130">
        <v>0</v>
      </c>
      <c r="H145" s="96">
        <v>0</v>
      </c>
      <c r="I145" s="130">
        <v>0</v>
      </c>
      <c r="J145" s="78">
        <v>0</v>
      </c>
      <c r="K145" s="118">
        <f t="shared" si="142"/>
        <v>0</v>
      </c>
      <c r="L145" s="118">
        <v>0</v>
      </c>
      <c r="M145" s="118">
        <v>0</v>
      </c>
      <c r="N145" s="118">
        <v>0</v>
      </c>
      <c r="O145" s="117">
        <v>0</v>
      </c>
      <c r="P145" s="118">
        <f t="shared" si="143"/>
        <v>0</v>
      </c>
      <c r="Q145" s="118">
        <v>0</v>
      </c>
      <c r="R145" s="118">
        <v>0</v>
      </c>
      <c r="S145" s="118">
        <v>0</v>
      </c>
      <c r="T145" s="117">
        <v>0</v>
      </c>
      <c r="U145" s="118">
        <f t="shared" si="144"/>
        <v>0</v>
      </c>
      <c r="V145" s="118">
        <v>0</v>
      </c>
      <c r="W145" s="118">
        <v>0</v>
      </c>
      <c r="X145" s="118">
        <v>0</v>
      </c>
      <c r="Y145" s="117">
        <v>0</v>
      </c>
      <c r="Z145" s="118">
        <f t="shared" si="149"/>
        <v>0</v>
      </c>
      <c r="AA145" s="118">
        <v>0</v>
      </c>
      <c r="AB145" s="118">
        <v>0</v>
      </c>
      <c r="AC145" s="118">
        <v>0</v>
      </c>
    </row>
    <row r="146" spans="1:30" s="114" customFormat="1" ht="32.450000000000003" customHeight="1" outlineLevel="1" x14ac:dyDescent="0.2">
      <c r="A146" s="138" t="s">
        <v>1237</v>
      </c>
      <c r="B146" s="136" t="s">
        <v>69</v>
      </c>
      <c r="C146" s="78">
        <f t="shared" si="150"/>
        <v>0</v>
      </c>
      <c r="D146" s="96">
        <f t="shared" si="151"/>
        <v>0</v>
      </c>
      <c r="E146" s="137">
        <v>0</v>
      </c>
      <c r="F146" s="130">
        <f t="shared" si="141"/>
        <v>0</v>
      </c>
      <c r="G146" s="130">
        <v>0</v>
      </c>
      <c r="H146" s="96">
        <v>0</v>
      </c>
      <c r="I146" s="130">
        <v>0</v>
      </c>
      <c r="J146" s="78">
        <v>0</v>
      </c>
      <c r="K146" s="118">
        <f t="shared" si="142"/>
        <v>0</v>
      </c>
      <c r="L146" s="118">
        <v>0</v>
      </c>
      <c r="M146" s="118">
        <v>0</v>
      </c>
      <c r="N146" s="118">
        <v>0</v>
      </c>
      <c r="O146" s="117">
        <v>0</v>
      </c>
      <c r="P146" s="118">
        <f t="shared" si="143"/>
        <v>0</v>
      </c>
      <c r="Q146" s="118">
        <v>0</v>
      </c>
      <c r="R146" s="118">
        <v>0</v>
      </c>
      <c r="S146" s="118">
        <v>0</v>
      </c>
      <c r="T146" s="117">
        <v>0</v>
      </c>
      <c r="U146" s="118">
        <f t="shared" si="144"/>
        <v>0</v>
      </c>
      <c r="V146" s="118">
        <v>0</v>
      </c>
      <c r="W146" s="118">
        <v>0</v>
      </c>
      <c r="X146" s="118">
        <v>0</v>
      </c>
      <c r="Y146" s="117">
        <v>0</v>
      </c>
      <c r="Z146" s="118">
        <f t="shared" si="149"/>
        <v>0</v>
      </c>
      <c r="AA146" s="118">
        <v>0</v>
      </c>
      <c r="AB146" s="118">
        <v>0</v>
      </c>
      <c r="AC146" s="118">
        <v>0</v>
      </c>
      <c r="AD146" s="121"/>
    </row>
    <row r="147" spans="1:30" s="114" customFormat="1" ht="27" customHeight="1" outlineLevel="1" x14ac:dyDescent="0.2">
      <c r="A147" s="138" t="s">
        <v>1238</v>
      </c>
      <c r="B147" s="136" t="s">
        <v>70</v>
      </c>
      <c r="C147" s="78">
        <f t="shared" si="150"/>
        <v>0</v>
      </c>
      <c r="D147" s="96">
        <f t="shared" si="151"/>
        <v>0</v>
      </c>
      <c r="E147" s="137">
        <v>0</v>
      </c>
      <c r="F147" s="130">
        <f t="shared" si="141"/>
        <v>0</v>
      </c>
      <c r="G147" s="130">
        <v>0</v>
      </c>
      <c r="H147" s="96">
        <v>0</v>
      </c>
      <c r="I147" s="130">
        <v>0</v>
      </c>
      <c r="J147" s="78">
        <v>0</v>
      </c>
      <c r="K147" s="118">
        <f t="shared" si="142"/>
        <v>0</v>
      </c>
      <c r="L147" s="118">
        <v>0</v>
      </c>
      <c r="M147" s="118">
        <v>0</v>
      </c>
      <c r="N147" s="118">
        <v>0</v>
      </c>
      <c r="O147" s="117">
        <v>0</v>
      </c>
      <c r="P147" s="118">
        <f t="shared" si="143"/>
        <v>0</v>
      </c>
      <c r="Q147" s="118">
        <v>0</v>
      </c>
      <c r="R147" s="118">
        <v>0</v>
      </c>
      <c r="S147" s="118">
        <v>0</v>
      </c>
      <c r="T147" s="117">
        <v>0</v>
      </c>
      <c r="U147" s="118">
        <f t="shared" si="144"/>
        <v>0</v>
      </c>
      <c r="V147" s="118">
        <v>0</v>
      </c>
      <c r="W147" s="118">
        <v>0</v>
      </c>
      <c r="X147" s="118">
        <v>0</v>
      </c>
      <c r="Y147" s="117">
        <v>0</v>
      </c>
      <c r="Z147" s="118">
        <f t="shared" si="149"/>
        <v>0</v>
      </c>
      <c r="AA147" s="118">
        <v>0</v>
      </c>
      <c r="AB147" s="118">
        <v>0</v>
      </c>
      <c r="AC147" s="118">
        <v>0</v>
      </c>
      <c r="AD147" s="121"/>
    </row>
    <row r="148" spans="1:30" s="121" customFormat="1" ht="34.15" customHeight="1" outlineLevel="1" x14ac:dyDescent="0.2">
      <c r="A148" s="138" t="s">
        <v>1239</v>
      </c>
      <c r="B148" s="136" t="s">
        <v>71</v>
      </c>
      <c r="C148" s="78">
        <f t="shared" si="150"/>
        <v>0</v>
      </c>
      <c r="D148" s="96">
        <f t="shared" si="151"/>
        <v>0</v>
      </c>
      <c r="E148" s="137">
        <v>0</v>
      </c>
      <c r="F148" s="130">
        <f t="shared" si="141"/>
        <v>0</v>
      </c>
      <c r="G148" s="130">
        <v>0</v>
      </c>
      <c r="H148" s="96">
        <v>0</v>
      </c>
      <c r="I148" s="130">
        <v>0</v>
      </c>
      <c r="J148" s="78">
        <v>0</v>
      </c>
      <c r="K148" s="118">
        <f t="shared" si="142"/>
        <v>0</v>
      </c>
      <c r="L148" s="118">
        <v>0</v>
      </c>
      <c r="M148" s="118">
        <v>0</v>
      </c>
      <c r="N148" s="118">
        <v>0</v>
      </c>
      <c r="O148" s="117">
        <v>0</v>
      </c>
      <c r="P148" s="118">
        <f t="shared" si="143"/>
        <v>0</v>
      </c>
      <c r="Q148" s="118">
        <v>0</v>
      </c>
      <c r="R148" s="118">
        <v>0</v>
      </c>
      <c r="S148" s="118">
        <v>0</v>
      </c>
      <c r="T148" s="117">
        <v>0</v>
      </c>
      <c r="U148" s="118">
        <f t="shared" si="144"/>
        <v>0</v>
      </c>
      <c r="V148" s="118">
        <v>0</v>
      </c>
      <c r="W148" s="118">
        <v>0</v>
      </c>
      <c r="X148" s="118">
        <v>0</v>
      </c>
      <c r="Y148" s="120">
        <v>0</v>
      </c>
      <c r="Z148" s="118">
        <f t="shared" si="149"/>
        <v>0</v>
      </c>
      <c r="AA148" s="119">
        <v>0</v>
      </c>
      <c r="AB148" s="118">
        <v>0</v>
      </c>
      <c r="AC148" s="118">
        <v>0</v>
      </c>
    </row>
    <row r="149" spans="1:30" s="121" customFormat="1" ht="30.6" customHeight="1" outlineLevel="1" x14ac:dyDescent="0.2">
      <c r="A149" s="115" t="s">
        <v>1240</v>
      </c>
      <c r="B149" s="136" t="s">
        <v>72</v>
      </c>
      <c r="C149" s="78">
        <f t="shared" si="150"/>
        <v>0</v>
      </c>
      <c r="D149" s="96">
        <f t="shared" si="151"/>
        <v>0</v>
      </c>
      <c r="E149" s="137">
        <v>0</v>
      </c>
      <c r="F149" s="130">
        <f t="shared" si="141"/>
        <v>0</v>
      </c>
      <c r="G149" s="130">
        <v>0</v>
      </c>
      <c r="H149" s="96">
        <v>0</v>
      </c>
      <c r="I149" s="130">
        <v>0</v>
      </c>
      <c r="J149" s="78">
        <v>0</v>
      </c>
      <c r="K149" s="118">
        <f t="shared" si="142"/>
        <v>0</v>
      </c>
      <c r="L149" s="118">
        <v>0</v>
      </c>
      <c r="M149" s="118">
        <v>0</v>
      </c>
      <c r="N149" s="118">
        <v>0</v>
      </c>
      <c r="O149" s="117">
        <v>0</v>
      </c>
      <c r="P149" s="118">
        <f t="shared" si="143"/>
        <v>0</v>
      </c>
      <c r="Q149" s="118">
        <v>0</v>
      </c>
      <c r="R149" s="118">
        <v>0</v>
      </c>
      <c r="S149" s="118">
        <v>0</v>
      </c>
      <c r="T149" s="117">
        <v>0</v>
      </c>
      <c r="U149" s="118">
        <f t="shared" si="144"/>
        <v>0</v>
      </c>
      <c r="V149" s="118">
        <v>0</v>
      </c>
      <c r="W149" s="118">
        <v>0</v>
      </c>
      <c r="X149" s="118">
        <v>0</v>
      </c>
      <c r="Y149" s="120">
        <v>0</v>
      </c>
      <c r="Z149" s="118">
        <f t="shared" si="149"/>
        <v>0</v>
      </c>
      <c r="AA149" s="119">
        <v>0</v>
      </c>
      <c r="AB149" s="118">
        <v>0</v>
      </c>
      <c r="AC149" s="118">
        <v>0</v>
      </c>
    </row>
    <row r="150" spans="1:30" s="141" customFormat="1" ht="30" customHeight="1" outlineLevel="1" x14ac:dyDescent="0.2">
      <c r="A150" s="115" t="s">
        <v>1241</v>
      </c>
      <c r="B150" s="132" t="s">
        <v>14</v>
      </c>
      <c r="C150" s="78">
        <f t="shared" si="139"/>
        <v>0</v>
      </c>
      <c r="D150" s="96">
        <f t="shared" si="151"/>
        <v>0</v>
      </c>
      <c r="E150" s="92">
        <v>0</v>
      </c>
      <c r="F150" s="130">
        <f t="shared" si="141"/>
        <v>0</v>
      </c>
      <c r="G150" s="130">
        <v>0</v>
      </c>
      <c r="H150" s="93">
        <v>0</v>
      </c>
      <c r="I150" s="130">
        <v>0</v>
      </c>
      <c r="J150" s="78">
        <v>0</v>
      </c>
      <c r="K150" s="118">
        <f t="shared" si="142"/>
        <v>0</v>
      </c>
      <c r="L150" s="118">
        <v>0</v>
      </c>
      <c r="M150" s="118">
        <v>0</v>
      </c>
      <c r="N150" s="118">
        <v>0</v>
      </c>
      <c r="O150" s="117">
        <v>0</v>
      </c>
      <c r="P150" s="118">
        <f t="shared" si="143"/>
        <v>0</v>
      </c>
      <c r="Q150" s="118">
        <v>0</v>
      </c>
      <c r="R150" s="118">
        <v>0</v>
      </c>
      <c r="S150" s="118">
        <v>0</v>
      </c>
      <c r="T150" s="117">
        <v>0</v>
      </c>
      <c r="U150" s="118">
        <f t="shared" si="144"/>
        <v>0</v>
      </c>
      <c r="V150" s="118">
        <v>0</v>
      </c>
      <c r="W150" s="118">
        <v>0</v>
      </c>
      <c r="X150" s="118">
        <v>0</v>
      </c>
      <c r="Y150" s="117">
        <v>0</v>
      </c>
      <c r="Z150" s="118">
        <f t="shared" si="145"/>
        <v>0</v>
      </c>
      <c r="AA150" s="118">
        <v>0</v>
      </c>
      <c r="AB150" s="118">
        <v>0</v>
      </c>
      <c r="AC150" s="118">
        <v>0</v>
      </c>
    </row>
    <row r="151" spans="1:30" s="121" customFormat="1" ht="30.6" customHeight="1" outlineLevel="1" x14ac:dyDescent="0.2">
      <c r="A151" s="115" t="s">
        <v>1242</v>
      </c>
      <c r="B151" s="132" t="s">
        <v>15</v>
      </c>
      <c r="C151" s="78">
        <f t="shared" si="139"/>
        <v>0</v>
      </c>
      <c r="D151" s="96">
        <f t="shared" si="140"/>
        <v>0</v>
      </c>
      <c r="E151" s="92">
        <v>0</v>
      </c>
      <c r="F151" s="130">
        <f t="shared" si="141"/>
        <v>0</v>
      </c>
      <c r="G151" s="130">
        <v>0</v>
      </c>
      <c r="H151" s="93">
        <v>0</v>
      </c>
      <c r="I151" s="130">
        <v>0</v>
      </c>
      <c r="J151" s="78">
        <v>0</v>
      </c>
      <c r="K151" s="118">
        <f t="shared" si="142"/>
        <v>0</v>
      </c>
      <c r="L151" s="118">
        <v>0</v>
      </c>
      <c r="M151" s="118">
        <v>0</v>
      </c>
      <c r="N151" s="118">
        <v>0</v>
      </c>
      <c r="O151" s="117">
        <v>0</v>
      </c>
      <c r="P151" s="118">
        <f t="shared" si="143"/>
        <v>0</v>
      </c>
      <c r="Q151" s="118">
        <v>0</v>
      </c>
      <c r="R151" s="118">
        <v>0</v>
      </c>
      <c r="S151" s="118">
        <v>0</v>
      </c>
      <c r="T151" s="117">
        <v>0</v>
      </c>
      <c r="U151" s="118">
        <f t="shared" si="144"/>
        <v>0</v>
      </c>
      <c r="V151" s="118">
        <v>0</v>
      </c>
      <c r="W151" s="118">
        <v>0</v>
      </c>
      <c r="X151" s="118">
        <v>0</v>
      </c>
      <c r="Y151" s="117">
        <v>0</v>
      </c>
      <c r="Z151" s="118">
        <f t="shared" si="145"/>
        <v>0</v>
      </c>
      <c r="AA151" s="118">
        <v>0</v>
      </c>
      <c r="AB151" s="118">
        <v>0</v>
      </c>
      <c r="AC151" s="118">
        <v>0</v>
      </c>
    </row>
    <row r="152" spans="1:30" s="121" customFormat="1" ht="43.15" customHeight="1" outlineLevel="1" x14ac:dyDescent="0.2">
      <c r="A152" s="115" t="s">
        <v>1243</v>
      </c>
      <c r="B152" s="132" t="s">
        <v>486</v>
      </c>
      <c r="C152" s="78">
        <f t="shared" si="139"/>
        <v>0</v>
      </c>
      <c r="D152" s="96">
        <f t="shared" si="140"/>
        <v>0</v>
      </c>
      <c r="E152" s="92">
        <v>0</v>
      </c>
      <c r="F152" s="130">
        <f t="shared" si="141"/>
        <v>0</v>
      </c>
      <c r="G152" s="130">
        <v>0</v>
      </c>
      <c r="H152" s="93">
        <v>0</v>
      </c>
      <c r="I152" s="130">
        <v>0</v>
      </c>
      <c r="J152" s="78">
        <v>0</v>
      </c>
      <c r="K152" s="118">
        <f t="shared" si="142"/>
        <v>0</v>
      </c>
      <c r="L152" s="118">
        <v>0</v>
      </c>
      <c r="M152" s="118">
        <v>0</v>
      </c>
      <c r="N152" s="118">
        <v>0</v>
      </c>
      <c r="O152" s="117">
        <v>0</v>
      </c>
      <c r="P152" s="118">
        <f t="shared" si="143"/>
        <v>0</v>
      </c>
      <c r="Q152" s="118">
        <v>0</v>
      </c>
      <c r="R152" s="118">
        <v>0</v>
      </c>
      <c r="S152" s="118">
        <v>0</v>
      </c>
      <c r="T152" s="117">
        <v>0</v>
      </c>
      <c r="U152" s="118">
        <f t="shared" si="144"/>
        <v>0</v>
      </c>
      <c r="V152" s="118">
        <v>0</v>
      </c>
      <c r="W152" s="118">
        <v>0</v>
      </c>
      <c r="X152" s="118">
        <v>0</v>
      </c>
      <c r="Y152" s="117">
        <v>0</v>
      </c>
      <c r="Z152" s="118">
        <f t="shared" si="145"/>
        <v>0</v>
      </c>
      <c r="AA152" s="118">
        <v>0</v>
      </c>
      <c r="AB152" s="118">
        <v>0</v>
      </c>
      <c r="AC152" s="118">
        <v>0</v>
      </c>
    </row>
    <row r="153" spans="1:30" s="121" customFormat="1" ht="72.599999999999994" customHeight="1" outlineLevel="1" x14ac:dyDescent="0.2">
      <c r="A153" s="115" t="s">
        <v>1244</v>
      </c>
      <c r="B153" s="132" t="s">
        <v>16</v>
      </c>
      <c r="C153" s="78">
        <f t="shared" si="139"/>
        <v>0</v>
      </c>
      <c r="D153" s="96">
        <f t="shared" si="140"/>
        <v>0</v>
      </c>
      <c r="E153" s="92">
        <v>0</v>
      </c>
      <c r="F153" s="130">
        <f t="shared" si="141"/>
        <v>0</v>
      </c>
      <c r="G153" s="130">
        <v>0</v>
      </c>
      <c r="H153" s="93">
        <v>0</v>
      </c>
      <c r="I153" s="130">
        <v>0</v>
      </c>
      <c r="J153" s="78">
        <v>0</v>
      </c>
      <c r="K153" s="118">
        <f t="shared" si="142"/>
        <v>0</v>
      </c>
      <c r="L153" s="118">
        <v>0</v>
      </c>
      <c r="M153" s="118">
        <v>0</v>
      </c>
      <c r="N153" s="118">
        <v>0</v>
      </c>
      <c r="O153" s="117">
        <v>0</v>
      </c>
      <c r="P153" s="118">
        <f t="shared" si="143"/>
        <v>0</v>
      </c>
      <c r="Q153" s="118">
        <v>0</v>
      </c>
      <c r="R153" s="118">
        <v>0</v>
      </c>
      <c r="S153" s="118">
        <v>0</v>
      </c>
      <c r="T153" s="117">
        <v>0</v>
      </c>
      <c r="U153" s="118">
        <f t="shared" si="144"/>
        <v>0</v>
      </c>
      <c r="V153" s="118">
        <v>0</v>
      </c>
      <c r="W153" s="118">
        <v>0</v>
      </c>
      <c r="X153" s="118">
        <v>0</v>
      </c>
      <c r="Y153" s="117">
        <v>0</v>
      </c>
      <c r="Z153" s="118">
        <f t="shared" si="145"/>
        <v>0</v>
      </c>
      <c r="AA153" s="118">
        <v>0</v>
      </c>
      <c r="AB153" s="118">
        <v>0</v>
      </c>
      <c r="AC153" s="118">
        <v>0</v>
      </c>
    </row>
    <row r="154" spans="1:30" s="121" customFormat="1" ht="30.6" customHeight="1" outlineLevel="1" x14ac:dyDescent="0.2">
      <c r="A154" s="115" t="s">
        <v>1245</v>
      </c>
      <c r="B154" s="132" t="s">
        <v>17</v>
      </c>
      <c r="C154" s="78">
        <f t="shared" si="139"/>
        <v>0</v>
      </c>
      <c r="D154" s="96">
        <f t="shared" si="140"/>
        <v>0</v>
      </c>
      <c r="E154" s="92">
        <v>0</v>
      </c>
      <c r="F154" s="130">
        <f t="shared" si="141"/>
        <v>0</v>
      </c>
      <c r="G154" s="130">
        <v>0</v>
      </c>
      <c r="H154" s="93">
        <v>0</v>
      </c>
      <c r="I154" s="130">
        <v>0</v>
      </c>
      <c r="J154" s="78">
        <v>0</v>
      </c>
      <c r="K154" s="118">
        <f t="shared" si="142"/>
        <v>0</v>
      </c>
      <c r="L154" s="118">
        <v>0</v>
      </c>
      <c r="M154" s="118">
        <v>0</v>
      </c>
      <c r="N154" s="118">
        <v>0</v>
      </c>
      <c r="O154" s="117">
        <v>0</v>
      </c>
      <c r="P154" s="118">
        <f t="shared" si="143"/>
        <v>0</v>
      </c>
      <c r="Q154" s="118">
        <v>0</v>
      </c>
      <c r="R154" s="118">
        <v>0</v>
      </c>
      <c r="S154" s="118">
        <v>0</v>
      </c>
      <c r="T154" s="117">
        <v>0</v>
      </c>
      <c r="U154" s="118">
        <f t="shared" si="144"/>
        <v>0</v>
      </c>
      <c r="V154" s="118">
        <v>0</v>
      </c>
      <c r="W154" s="118">
        <v>0</v>
      </c>
      <c r="X154" s="118">
        <v>0</v>
      </c>
      <c r="Y154" s="117">
        <v>0</v>
      </c>
      <c r="Z154" s="118">
        <f t="shared" si="145"/>
        <v>0</v>
      </c>
      <c r="AA154" s="118">
        <v>0</v>
      </c>
      <c r="AB154" s="118">
        <v>0</v>
      </c>
      <c r="AC154" s="118">
        <v>0</v>
      </c>
    </row>
    <row r="155" spans="1:30" s="121" customFormat="1" ht="42" customHeight="1" outlineLevel="1" x14ac:dyDescent="0.2">
      <c r="A155" s="115" t="s">
        <v>1246</v>
      </c>
      <c r="B155" s="132" t="s">
        <v>18</v>
      </c>
      <c r="C155" s="78">
        <f t="shared" si="139"/>
        <v>0</v>
      </c>
      <c r="D155" s="96">
        <f t="shared" si="140"/>
        <v>0</v>
      </c>
      <c r="E155" s="92">
        <v>0</v>
      </c>
      <c r="F155" s="130">
        <f t="shared" si="141"/>
        <v>0</v>
      </c>
      <c r="G155" s="130">
        <v>0</v>
      </c>
      <c r="H155" s="93">
        <v>0</v>
      </c>
      <c r="I155" s="130">
        <v>0</v>
      </c>
      <c r="J155" s="78">
        <v>0</v>
      </c>
      <c r="K155" s="118">
        <f t="shared" si="142"/>
        <v>0</v>
      </c>
      <c r="L155" s="118">
        <v>0</v>
      </c>
      <c r="M155" s="118">
        <v>0</v>
      </c>
      <c r="N155" s="118">
        <v>0</v>
      </c>
      <c r="O155" s="117">
        <v>0</v>
      </c>
      <c r="P155" s="118">
        <f t="shared" si="143"/>
        <v>0</v>
      </c>
      <c r="Q155" s="118">
        <v>0</v>
      </c>
      <c r="R155" s="118">
        <v>0</v>
      </c>
      <c r="S155" s="118">
        <v>0</v>
      </c>
      <c r="T155" s="117">
        <v>0</v>
      </c>
      <c r="U155" s="118">
        <f t="shared" si="144"/>
        <v>0</v>
      </c>
      <c r="V155" s="118">
        <v>0</v>
      </c>
      <c r="W155" s="118">
        <v>0</v>
      </c>
      <c r="X155" s="118">
        <v>0</v>
      </c>
      <c r="Y155" s="117">
        <v>0</v>
      </c>
      <c r="Z155" s="118">
        <f t="shared" si="145"/>
        <v>0</v>
      </c>
      <c r="AA155" s="118">
        <v>0</v>
      </c>
      <c r="AB155" s="118">
        <v>0</v>
      </c>
      <c r="AC155" s="118">
        <v>0</v>
      </c>
    </row>
    <row r="156" spans="1:30" s="121" customFormat="1" ht="43.15" customHeight="1" outlineLevel="1" x14ac:dyDescent="0.2">
      <c r="A156" s="115" t="s">
        <v>1247</v>
      </c>
      <c r="B156" s="132" t="s">
        <v>19</v>
      </c>
      <c r="C156" s="78">
        <f t="shared" si="139"/>
        <v>0</v>
      </c>
      <c r="D156" s="96">
        <f t="shared" si="140"/>
        <v>0</v>
      </c>
      <c r="E156" s="92">
        <v>0</v>
      </c>
      <c r="F156" s="130">
        <f t="shared" si="141"/>
        <v>0</v>
      </c>
      <c r="G156" s="130">
        <v>0</v>
      </c>
      <c r="H156" s="93">
        <v>0</v>
      </c>
      <c r="I156" s="130">
        <v>0</v>
      </c>
      <c r="J156" s="78">
        <v>0</v>
      </c>
      <c r="K156" s="118">
        <f t="shared" si="142"/>
        <v>0</v>
      </c>
      <c r="L156" s="118">
        <v>0</v>
      </c>
      <c r="M156" s="118">
        <v>0</v>
      </c>
      <c r="N156" s="118">
        <v>0</v>
      </c>
      <c r="O156" s="117">
        <v>0</v>
      </c>
      <c r="P156" s="118">
        <f t="shared" si="143"/>
        <v>0</v>
      </c>
      <c r="Q156" s="118">
        <v>0</v>
      </c>
      <c r="R156" s="118">
        <v>0</v>
      </c>
      <c r="S156" s="118">
        <v>0</v>
      </c>
      <c r="T156" s="117">
        <v>0</v>
      </c>
      <c r="U156" s="118">
        <f t="shared" si="144"/>
        <v>0</v>
      </c>
      <c r="V156" s="118">
        <v>0</v>
      </c>
      <c r="W156" s="118">
        <v>0</v>
      </c>
      <c r="X156" s="118">
        <v>0</v>
      </c>
      <c r="Y156" s="117">
        <v>0</v>
      </c>
      <c r="Z156" s="118">
        <f t="shared" si="145"/>
        <v>0</v>
      </c>
      <c r="AA156" s="118">
        <v>0</v>
      </c>
      <c r="AB156" s="118">
        <v>0</v>
      </c>
      <c r="AC156" s="118">
        <v>0</v>
      </c>
    </row>
    <row r="157" spans="1:30" s="121" customFormat="1" ht="30.6" customHeight="1" outlineLevel="1" x14ac:dyDescent="0.2">
      <c r="A157" s="115" t="s">
        <v>1249</v>
      </c>
      <c r="B157" s="132" t="s">
        <v>20</v>
      </c>
      <c r="C157" s="78">
        <f t="shared" si="139"/>
        <v>0</v>
      </c>
      <c r="D157" s="96">
        <f t="shared" si="140"/>
        <v>0</v>
      </c>
      <c r="E157" s="92">
        <v>0</v>
      </c>
      <c r="F157" s="130">
        <f t="shared" si="141"/>
        <v>0</v>
      </c>
      <c r="G157" s="130">
        <v>0</v>
      </c>
      <c r="H157" s="93">
        <v>0</v>
      </c>
      <c r="I157" s="130">
        <v>0</v>
      </c>
      <c r="J157" s="78">
        <v>0</v>
      </c>
      <c r="K157" s="118">
        <f t="shared" si="142"/>
        <v>0</v>
      </c>
      <c r="L157" s="118">
        <v>0</v>
      </c>
      <c r="M157" s="118">
        <v>0</v>
      </c>
      <c r="N157" s="118">
        <v>0</v>
      </c>
      <c r="O157" s="117">
        <v>0</v>
      </c>
      <c r="P157" s="118">
        <f t="shared" si="143"/>
        <v>0</v>
      </c>
      <c r="Q157" s="118">
        <v>0</v>
      </c>
      <c r="R157" s="118">
        <v>0</v>
      </c>
      <c r="S157" s="118">
        <v>0</v>
      </c>
      <c r="T157" s="117">
        <v>0</v>
      </c>
      <c r="U157" s="118">
        <f t="shared" si="144"/>
        <v>0</v>
      </c>
      <c r="V157" s="118">
        <v>0</v>
      </c>
      <c r="W157" s="118">
        <v>0</v>
      </c>
      <c r="X157" s="118">
        <v>0</v>
      </c>
      <c r="Y157" s="117">
        <v>0</v>
      </c>
      <c r="Z157" s="118">
        <f t="shared" si="145"/>
        <v>0</v>
      </c>
      <c r="AA157" s="118">
        <v>0</v>
      </c>
      <c r="AB157" s="118">
        <v>0</v>
      </c>
      <c r="AC157" s="118">
        <v>0</v>
      </c>
    </row>
    <row r="158" spans="1:30" s="121" customFormat="1" ht="30" customHeight="1" outlineLevel="1" x14ac:dyDescent="0.2">
      <c r="A158" s="115" t="s">
        <v>1248</v>
      </c>
      <c r="B158" s="132" t="s">
        <v>22</v>
      </c>
      <c r="C158" s="78">
        <f>E158+J158+O158+Y158+T158</f>
        <v>0</v>
      </c>
      <c r="D158" s="96">
        <f>F158+K158+P158+Z158+U158</f>
        <v>0</v>
      </c>
      <c r="E158" s="92">
        <v>0</v>
      </c>
      <c r="F158" s="130">
        <f t="shared" si="141"/>
        <v>0</v>
      </c>
      <c r="G158" s="130">
        <v>0</v>
      </c>
      <c r="H158" s="93">
        <v>0</v>
      </c>
      <c r="I158" s="130">
        <v>0</v>
      </c>
      <c r="J158" s="78">
        <v>0</v>
      </c>
      <c r="K158" s="118">
        <f t="shared" si="142"/>
        <v>0</v>
      </c>
      <c r="L158" s="118">
        <v>0</v>
      </c>
      <c r="M158" s="118">
        <v>0</v>
      </c>
      <c r="N158" s="118">
        <v>0</v>
      </c>
      <c r="O158" s="117">
        <v>0</v>
      </c>
      <c r="P158" s="118">
        <f t="shared" si="143"/>
        <v>0</v>
      </c>
      <c r="Q158" s="118">
        <v>0</v>
      </c>
      <c r="R158" s="118">
        <v>0</v>
      </c>
      <c r="S158" s="118">
        <v>0</v>
      </c>
      <c r="T158" s="117">
        <v>0</v>
      </c>
      <c r="U158" s="118">
        <f t="shared" si="144"/>
        <v>0</v>
      </c>
      <c r="V158" s="118">
        <v>0</v>
      </c>
      <c r="W158" s="118">
        <v>0</v>
      </c>
      <c r="X158" s="118">
        <v>0</v>
      </c>
      <c r="Y158" s="117">
        <v>0</v>
      </c>
      <c r="Z158" s="118">
        <f>AA158+AB158+AC158</f>
        <v>0</v>
      </c>
      <c r="AA158" s="130">
        <v>0</v>
      </c>
      <c r="AB158" s="118">
        <v>0</v>
      </c>
      <c r="AC158" s="118">
        <v>0</v>
      </c>
    </row>
    <row r="159" spans="1:30" s="121" customFormat="1" ht="22.15" customHeight="1" outlineLevel="1" x14ac:dyDescent="0.2">
      <c r="A159" s="115" t="s">
        <v>1250</v>
      </c>
      <c r="B159" s="132" t="s">
        <v>23</v>
      </c>
      <c r="C159" s="78">
        <f t="shared" ref="C159:C161" si="152">E159+J159+O159+Y159+T159</f>
        <v>0</v>
      </c>
      <c r="D159" s="96">
        <f t="shared" ref="D159:D161" si="153">F159+K159+P159+Z159+U159</f>
        <v>0</v>
      </c>
      <c r="E159" s="92">
        <v>0</v>
      </c>
      <c r="F159" s="130">
        <f t="shared" si="141"/>
        <v>0</v>
      </c>
      <c r="G159" s="130">
        <v>0</v>
      </c>
      <c r="H159" s="93">
        <v>0</v>
      </c>
      <c r="I159" s="130">
        <v>0</v>
      </c>
      <c r="J159" s="78">
        <v>0</v>
      </c>
      <c r="K159" s="118">
        <f t="shared" si="142"/>
        <v>0</v>
      </c>
      <c r="L159" s="118">
        <v>0</v>
      </c>
      <c r="M159" s="118">
        <v>0</v>
      </c>
      <c r="N159" s="118">
        <v>0</v>
      </c>
      <c r="O159" s="117">
        <v>0</v>
      </c>
      <c r="P159" s="118">
        <f t="shared" si="143"/>
        <v>0</v>
      </c>
      <c r="Q159" s="118">
        <v>0</v>
      </c>
      <c r="R159" s="118">
        <v>0</v>
      </c>
      <c r="S159" s="118">
        <v>0</v>
      </c>
      <c r="T159" s="117">
        <v>0</v>
      </c>
      <c r="U159" s="118">
        <f t="shared" si="144"/>
        <v>0</v>
      </c>
      <c r="V159" s="118">
        <v>0</v>
      </c>
      <c r="W159" s="118">
        <v>0</v>
      </c>
      <c r="X159" s="118">
        <v>0</v>
      </c>
      <c r="Y159" s="117">
        <v>0</v>
      </c>
      <c r="Z159" s="118">
        <f>AA159+AB159+AC159</f>
        <v>0</v>
      </c>
      <c r="AA159" s="118">
        <v>0</v>
      </c>
      <c r="AB159" s="118">
        <v>0</v>
      </c>
      <c r="AC159" s="118">
        <v>0</v>
      </c>
    </row>
    <row r="160" spans="1:30" s="121" customFormat="1" ht="25.15" customHeight="1" outlineLevel="1" x14ac:dyDescent="0.2">
      <c r="A160" s="115" t="s">
        <v>1251</v>
      </c>
      <c r="B160" s="132" t="s">
        <v>487</v>
      </c>
      <c r="C160" s="78">
        <f t="shared" si="152"/>
        <v>0</v>
      </c>
      <c r="D160" s="96">
        <f t="shared" si="153"/>
        <v>0</v>
      </c>
      <c r="E160" s="92">
        <v>0</v>
      </c>
      <c r="F160" s="130">
        <f t="shared" si="141"/>
        <v>0</v>
      </c>
      <c r="G160" s="130">
        <v>0</v>
      </c>
      <c r="H160" s="93">
        <v>0</v>
      </c>
      <c r="I160" s="130">
        <v>0</v>
      </c>
      <c r="J160" s="78">
        <v>0</v>
      </c>
      <c r="K160" s="118">
        <f t="shared" si="142"/>
        <v>0</v>
      </c>
      <c r="L160" s="118">
        <v>0</v>
      </c>
      <c r="M160" s="118">
        <v>0</v>
      </c>
      <c r="N160" s="118">
        <v>0</v>
      </c>
      <c r="O160" s="117">
        <v>0</v>
      </c>
      <c r="P160" s="118">
        <f t="shared" si="143"/>
        <v>0</v>
      </c>
      <c r="Q160" s="118">
        <v>0</v>
      </c>
      <c r="R160" s="118">
        <v>0</v>
      </c>
      <c r="S160" s="118">
        <v>0</v>
      </c>
      <c r="T160" s="117">
        <v>0</v>
      </c>
      <c r="U160" s="118">
        <f t="shared" si="144"/>
        <v>0</v>
      </c>
      <c r="V160" s="118">
        <v>0</v>
      </c>
      <c r="W160" s="118">
        <v>0</v>
      </c>
      <c r="X160" s="118">
        <v>0</v>
      </c>
      <c r="Y160" s="117">
        <v>0</v>
      </c>
      <c r="Z160" s="118">
        <f>AA160+AB160+AC160</f>
        <v>0</v>
      </c>
      <c r="AA160" s="118">
        <v>0</v>
      </c>
      <c r="AB160" s="118">
        <v>0</v>
      </c>
      <c r="AC160" s="118">
        <v>0</v>
      </c>
    </row>
    <row r="161" spans="1:29" s="121" customFormat="1" ht="30" customHeight="1" outlineLevel="1" x14ac:dyDescent="0.2">
      <c r="A161" s="115" t="s">
        <v>1252</v>
      </c>
      <c r="B161" s="132" t="s">
        <v>24</v>
      </c>
      <c r="C161" s="78">
        <f t="shared" si="152"/>
        <v>0</v>
      </c>
      <c r="D161" s="96">
        <f t="shared" si="153"/>
        <v>0</v>
      </c>
      <c r="E161" s="92">
        <v>0</v>
      </c>
      <c r="F161" s="130">
        <f t="shared" si="141"/>
        <v>0</v>
      </c>
      <c r="G161" s="130">
        <v>0</v>
      </c>
      <c r="H161" s="93">
        <v>0</v>
      </c>
      <c r="I161" s="130">
        <v>0</v>
      </c>
      <c r="J161" s="78">
        <v>0</v>
      </c>
      <c r="K161" s="118">
        <f t="shared" si="142"/>
        <v>0</v>
      </c>
      <c r="L161" s="118">
        <v>0</v>
      </c>
      <c r="M161" s="118">
        <v>0</v>
      </c>
      <c r="N161" s="118">
        <v>0</v>
      </c>
      <c r="O161" s="117">
        <v>0</v>
      </c>
      <c r="P161" s="118">
        <f t="shared" si="143"/>
        <v>0</v>
      </c>
      <c r="Q161" s="118">
        <v>0</v>
      </c>
      <c r="R161" s="118">
        <v>0</v>
      </c>
      <c r="S161" s="118">
        <v>0</v>
      </c>
      <c r="T161" s="117">
        <v>0</v>
      </c>
      <c r="U161" s="118">
        <f t="shared" si="144"/>
        <v>0</v>
      </c>
      <c r="V161" s="118">
        <v>0</v>
      </c>
      <c r="W161" s="118">
        <v>0</v>
      </c>
      <c r="X161" s="118">
        <v>0</v>
      </c>
      <c r="Y161" s="117">
        <v>0</v>
      </c>
      <c r="Z161" s="118">
        <f>AA161+AB161+AC161</f>
        <v>0</v>
      </c>
      <c r="AA161" s="118">
        <v>0</v>
      </c>
      <c r="AB161" s="118">
        <v>0</v>
      </c>
      <c r="AC161" s="118">
        <v>0</v>
      </c>
    </row>
    <row r="162" spans="1:29" s="121" customFormat="1" ht="48" outlineLevel="1" x14ac:dyDescent="0.2">
      <c r="A162" s="115" t="s">
        <v>1253</v>
      </c>
      <c r="B162" s="132" t="s">
        <v>831</v>
      </c>
      <c r="C162" s="78">
        <f t="shared" ref="C162:C163" si="154">E162+J162+O162+T162+Y162</f>
        <v>1.2</v>
      </c>
      <c r="D162" s="96">
        <f t="shared" ref="D162:D163" si="155">F162+K162+P162+U162+Z162</f>
        <v>8874</v>
      </c>
      <c r="E162" s="92">
        <v>1.2</v>
      </c>
      <c r="F162" s="130">
        <f t="shared" ref="F162:F163" si="156">G162+H162+I162</f>
        <v>8874</v>
      </c>
      <c r="G162" s="130">
        <v>0</v>
      </c>
      <c r="H162" s="93">
        <v>8448</v>
      </c>
      <c r="I162" s="130">
        <v>426</v>
      </c>
      <c r="J162" s="78">
        <v>0</v>
      </c>
      <c r="K162" s="118">
        <f t="shared" ref="K162:K167" si="157">SUM(L162:N162)</f>
        <v>0</v>
      </c>
      <c r="L162" s="118">
        <v>0</v>
      </c>
      <c r="M162" s="118">
        <v>0</v>
      </c>
      <c r="N162" s="118">
        <v>0</v>
      </c>
      <c r="O162" s="117">
        <v>0</v>
      </c>
      <c r="P162" s="118">
        <f t="shared" ref="P162:P165" si="158">Q162+R162+S162</f>
        <v>0</v>
      </c>
      <c r="Q162" s="118">
        <v>0</v>
      </c>
      <c r="R162" s="118">
        <v>0</v>
      </c>
      <c r="S162" s="118">
        <v>0</v>
      </c>
      <c r="T162" s="117">
        <v>0</v>
      </c>
      <c r="U162" s="118">
        <f t="shared" si="144"/>
        <v>0</v>
      </c>
      <c r="V162" s="118">
        <v>0</v>
      </c>
      <c r="W162" s="118">
        <v>0</v>
      </c>
      <c r="X162" s="118">
        <v>0</v>
      </c>
      <c r="Y162" s="117">
        <v>0</v>
      </c>
      <c r="Z162" s="118">
        <f t="shared" ref="Z162:Z163" si="159">AA162+AB162+AC162</f>
        <v>0</v>
      </c>
      <c r="AA162" s="118">
        <v>0</v>
      </c>
      <c r="AB162" s="118">
        <v>0</v>
      </c>
      <c r="AC162" s="118">
        <v>0</v>
      </c>
    </row>
    <row r="163" spans="1:29" s="121" customFormat="1" ht="46.5" customHeight="1" outlineLevel="1" x14ac:dyDescent="0.2">
      <c r="A163" s="115" t="s">
        <v>1254</v>
      </c>
      <c r="B163" s="132" t="s">
        <v>832</v>
      </c>
      <c r="C163" s="78">
        <f t="shared" si="154"/>
        <v>0.85</v>
      </c>
      <c r="D163" s="96">
        <f t="shared" si="155"/>
        <v>18436</v>
      </c>
      <c r="E163" s="92">
        <v>0.85</v>
      </c>
      <c r="F163" s="130">
        <f t="shared" si="156"/>
        <v>18436</v>
      </c>
      <c r="G163" s="130">
        <v>0</v>
      </c>
      <c r="H163" s="93">
        <v>17551</v>
      </c>
      <c r="I163" s="130">
        <v>885</v>
      </c>
      <c r="J163" s="78">
        <v>0</v>
      </c>
      <c r="K163" s="118">
        <f t="shared" si="157"/>
        <v>0</v>
      </c>
      <c r="L163" s="118">
        <v>0</v>
      </c>
      <c r="M163" s="118">
        <v>0</v>
      </c>
      <c r="N163" s="118">
        <v>0</v>
      </c>
      <c r="O163" s="117">
        <v>0</v>
      </c>
      <c r="P163" s="118">
        <f t="shared" si="158"/>
        <v>0</v>
      </c>
      <c r="Q163" s="118">
        <v>0</v>
      </c>
      <c r="R163" s="118">
        <v>0</v>
      </c>
      <c r="S163" s="118">
        <v>0</v>
      </c>
      <c r="T163" s="117">
        <v>0</v>
      </c>
      <c r="U163" s="118">
        <f t="shared" si="144"/>
        <v>0</v>
      </c>
      <c r="V163" s="118">
        <v>0</v>
      </c>
      <c r="W163" s="118">
        <v>0</v>
      </c>
      <c r="X163" s="118">
        <v>0</v>
      </c>
      <c r="Y163" s="117">
        <v>0</v>
      </c>
      <c r="Z163" s="118">
        <f t="shared" si="159"/>
        <v>0</v>
      </c>
      <c r="AA163" s="118">
        <v>0</v>
      </c>
      <c r="AB163" s="118">
        <v>0</v>
      </c>
      <c r="AC163" s="118">
        <v>0</v>
      </c>
    </row>
    <row r="164" spans="1:29" s="121" customFormat="1" ht="46.5" customHeight="1" outlineLevel="1" x14ac:dyDescent="0.2">
      <c r="A164" s="115" t="s">
        <v>1255</v>
      </c>
      <c r="B164" s="132" t="s">
        <v>863</v>
      </c>
      <c r="C164" s="78">
        <f t="shared" ref="C164" si="160">E164+J164+O164+T164+Y164</f>
        <v>4.71</v>
      </c>
      <c r="D164" s="96">
        <f t="shared" ref="D164" si="161">F164+K164+P164+U164+Z164</f>
        <v>323</v>
      </c>
      <c r="E164" s="92">
        <v>0</v>
      </c>
      <c r="F164" s="130">
        <f t="shared" ref="F164" si="162">G164+H164+I164</f>
        <v>0</v>
      </c>
      <c r="G164" s="130">
        <v>0</v>
      </c>
      <c r="H164" s="93">
        <v>0</v>
      </c>
      <c r="I164" s="130">
        <v>0</v>
      </c>
      <c r="J164" s="78">
        <v>4.71</v>
      </c>
      <c r="K164" s="118">
        <f t="shared" ref="K164" si="163">SUM(L164:N164)</f>
        <v>323</v>
      </c>
      <c r="L164" s="118">
        <v>0</v>
      </c>
      <c r="M164" s="118">
        <v>0</v>
      </c>
      <c r="N164" s="118">
        <v>323</v>
      </c>
      <c r="O164" s="117">
        <v>0</v>
      </c>
      <c r="P164" s="118">
        <f t="shared" ref="P164" si="164">Q164+R164+S164</f>
        <v>0</v>
      </c>
      <c r="Q164" s="118">
        <v>0</v>
      </c>
      <c r="R164" s="118">
        <v>0</v>
      </c>
      <c r="S164" s="118">
        <v>0</v>
      </c>
      <c r="T164" s="117">
        <v>0</v>
      </c>
      <c r="U164" s="118">
        <f t="shared" si="144"/>
        <v>0</v>
      </c>
      <c r="V164" s="118">
        <v>0</v>
      </c>
      <c r="W164" s="118">
        <v>0</v>
      </c>
      <c r="X164" s="118">
        <v>0</v>
      </c>
      <c r="Y164" s="117">
        <v>0</v>
      </c>
      <c r="Z164" s="118">
        <f t="shared" ref="Z164" si="165">AA164+AB164+AC164</f>
        <v>0</v>
      </c>
      <c r="AA164" s="118">
        <v>0</v>
      </c>
      <c r="AB164" s="118">
        <v>0</v>
      </c>
      <c r="AC164" s="118">
        <v>0</v>
      </c>
    </row>
    <row r="165" spans="1:29" s="121" customFormat="1" ht="119.25" customHeight="1" outlineLevel="1" x14ac:dyDescent="0.2">
      <c r="A165" s="115" t="s">
        <v>1256</v>
      </c>
      <c r="B165" s="132" t="s">
        <v>1027</v>
      </c>
      <c r="C165" s="78">
        <f t="shared" si="139"/>
        <v>0</v>
      </c>
      <c r="D165" s="96">
        <f>F165+K165+P165+U165+Z165</f>
        <v>10513</v>
      </c>
      <c r="E165" s="92">
        <v>0</v>
      </c>
      <c r="F165" s="130">
        <f t="shared" si="141"/>
        <v>595</v>
      </c>
      <c r="G165" s="130">
        <v>0</v>
      </c>
      <c r="H165" s="93">
        <v>0</v>
      </c>
      <c r="I165" s="93">
        <v>595</v>
      </c>
      <c r="J165" s="78">
        <v>0</v>
      </c>
      <c r="K165" s="118">
        <f t="shared" si="157"/>
        <v>1086</v>
      </c>
      <c r="L165" s="118">
        <v>0</v>
      </c>
      <c r="M165" s="118">
        <v>0</v>
      </c>
      <c r="N165" s="118">
        <f>2100+51+920-1151+23-857</f>
        <v>1086</v>
      </c>
      <c r="O165" s="117">
        <v>0</v>
      </c>
      <c r="P165" s="118">
        <f t="shared" si="158"/>
        <v>1844</v>
      </c>
      <c r="Q165" s="118">
        <v>0</v>
      </c>
      <c r="R165" s="118">
        <v>0</v>
      </c>
      <c r="S165" s="118">
        <f>3000-1156</f>
        <v>1844</v>
      </c>
      <c r="T165" s="117">
        <v>0</v>
      </c>
      <c r="U165" s="118">
        <f t="shared" ref="U165" si="166">V165+W165+X165</f>
        <v>3494</v>
      </c>
      <c r="V165" s="118">
        <v>0</v>
      </c>
      <c r="W165" s="118">
        <v>0</v>
      </c>
      <c r="X165" s="118">
        <f>3000+494</f>
        <v>3494</v>
      </c>
      <c r="Y165" s="117">
        <v>0</v>
      </c>
      <c r="Z165" s="118">
        <f t="shared" si="145"/>
        <v>3494</v>
      </c>
      <c r="AA165" s="118">
        <v>0</v>
      </c>
      <c r="AB165" s="118">
        <v>0</v>
      </c>
      <c r="AC165" s="118">
        <f>4896-1402</f>
        <v>3494</v>
      </c>
    </row>
    <row r="166" spans="1:29" s="121" customFormat="1" ht="37.5" customHeight="1" outlineLevel="1" x14ac:dyDescent="0.2">
      <c r="A166" s="115" t="s">
        <v>1257</v>
      </c>
      <c r="B166" s="132" t="s">
        <v>589</v>
      </c>
      <c r="C166" s="78">
        <f t="shared" ref="C166" si="167">E166+J166+O166+T166+Y166</f>
        <v>0</v>
      </c>
      <c r="D166" s="96">
        <f>F166+K166+P166+U166+Z166</f>
        <v>2748</v>
      </c>
      <c r="E166" s="92">
        <v>0</v>
      </c>
      <c r="F166" s="130">
        <f t="shared" ref="F166" si="168">G166+H166+I166</f>
        <v>2748</v>
      </c>
      <c r="G166" s="130">
        <v>0</v>
      </c>
      <c r="H166" s="93">
        <v>0</v>
      </c>
      <c r="I166" s="93">
        <v>2748</v>
      </c>
      <c r="J166" s="78">
        <v>0</v>
      </c>
      <c r="K166" s="118">
        <f t="shared" si="157"/>
        <v>0</v>
      </c>
      <c r="L166" s="118">
        <v>0</v>
      </c>
      <c r="M166" s="118">
        <v>0</v>
      </c>
      <c r="N166" s="118">
        <v>0</v>
      </c>
      <c r="O166" s="117">
        <v>0</v>
      </c>
      <c r="P166" s="118">
        <f t="shared" ref="P166:P167" si="169">Q166+R166+S166</f>
        <v>0</v>
      </c>
      <c r="Q166" s="118">
        <v>0</v>
      </c>
      <c r="R166" s="118">
        <v>0</v>
      </c>
      <c r="S166" s="118">
        <v>0</v>
      </c>
      <c r="T166" s="117">
        <v>0</v>
      </c>
      <c r="U166" s="118">
        <f t="shared" ref="U166:U167" si="170">V166+W166+X166</f>
        <v>0</v>
      </c>
      <c r="V166" s="118">
        <v>0</v>
      </c>
      <c r="W166" s="118">
        <v>0</v>
      </c>
      <c r="X166" s="118">
        <v>0</v>
      </c>
      <c r="Y166" s="117">
        <v>0</v>
      </c>
      <c r="Z166" s="118">
        <f t="shared" ref="Z166" si="171">AA166+AB166+AC166</f>
        <v>0</v>
      </c>
      <c r="AA166" s="118">
        <v>0</v>
      </c>
      <c r="AB166" s="118">
        <v>0</v>
      </c>
      <c r="AC166" s="118">
        <v>0</v>
      </c>
    </row>
    <row r="167" spans="1:29" s="121" customFormat="1" ht="70.900000000000006" customHeight="1" outlineLevel="1" x14ac:dyDescent="0.2">
      <c r="A167" s="115" t="s">
        <v>1258</v>
      </c>
      <c r="B167" s="132" t="s">
        <v>590</v>
      </c>
      <c r="C167" s="78">
        <f t="shared" ref="C167:C227" si="172">E167+J167+O167+T167+Y167</f>
        <v>0</v>
      </c>
      <c r="D167" s="96">
        <f>F167+K167+P167+U167+Z167</f>
        <v>5326</v>
      </c>
      <c r="E167" s="92">
        <v>0</v>
      </c>
      <c r="F167" s="130">
        <f t="shared" ref="F167:F226" si="173">G167+H167+I167</f>
        <v>709</v>
      </c>
      <c r="G167" s="130">
        <v>0</v>
      </c>
      <c r="H167" s="93">
        <v>0</v>
      </c>
      <c r="I167" s="93">
        <v>709</v>
      </c>
      <c r="J167" s="78">
        <v>0</v>
      </c>
      <c r="K167" s="118">
        <f t="shared" si="157"/>
        <v>837</v>
      </c>
      <c r="L167" s="118">
        <v>0</v>
      </c>
      <c r="M167" s="118">
        <v>0</v>
      </c>
      <c r="N167" s="118">
        <v>837</v>
      </c>
      <c r="O167" s="117">
        <v>0</v>
      </c>
      <c r="P167" s="118">
        <f t="shared" si="169"/>
        <v>1260</v>
      </c>
      <c r="Q167" s="118">
        <v>0</v>
      </c>
      <c r="R167" s="118">
        <v>0</v>
      </c>
      <c r="S167" s="118">
        <f>837+423</f>
        <v>1260</v>
      </c>
      <c r="T167" s="117">
        <v>0</v>
      </c>
      <c r="U167" s="118">
        <f t="shared" si="170"/>
        <v>1260</v>
      </c>
      <c r="V167" s="118">
        <v>0</v>
      </c>
      <c r="W167" s="118">
        <v>0</v>
      </c>
      <c r="X167" s="118">
        <f>837+423</f>
        <v>1260</v>
      </c>
      <c r="Y167" s="117">
        <v>0</v>
      </c>
      <c r="Z167" s="118">
        <f t="shared" ref="Z167" si="174">AA167+AB167+AC167</f>
        <v>1260</v>
      </c>
      <c r="AA167" s="118">
        <v>0</v>
      </c>
      <c r="AB167" s="118">
        <v>0</v>
      </c>
      <c r="AC167" s="118">
        <f>837+423</f>
        <v>1260</v>
      </c>
    </row>
    <row r="168" spans="1:29" s="121" customFormat="1" ht="46.9" customHeight="1" outlineLevel="1" x14ac:dyDescent="0.2">
      <c r="A168" s="115" t="s">
        <v>1259</v>
      </c>
      <c r="B168" s="132" t="s">
        <v>617</v>
      </c>
      <c r="C168" s="78">
        <f t="shared" si="172"/>
        <v>0</v>
      </c>
      <c r="D168" s="96">
        <f t="shared" ref="D168:D230" si="175">F168+K168+P168+U168+Z168</f>
        <v>202</v>
      </c>
      <c r="E168" s="92">
        <v>0</v>
      </c>
      <c r="F168" s="130">
        <f t="shared" si="173"/>
        <v>202</v>
      </c>
      <c r="G168" s="130">
        <v>0</v>
      </c>
      <c r="H168" s="93">
        <v>192</v>
      </c>
      <c r="I168" s="93">
        <v>10</v>
      </c>
      <c r="J168" s="78">
        <v>0</v>
      </c>
      <c r="K168" s="118">
        <v>0</v>
      </c>
      <c r="L168" s="118">
        <v>0</v>
      </c>
      <c r="M168" s="118">
        <v>0</v>
      </c>
      <c r="N168" s="118">
        <v>0</v>
      </c>
      <c r="O168" s="117">
        <v>0</v>
      </c>
      <c r="P168" s="118">
        <f>S168</f>
        <v>0</v>
      </c>
      <c r="Q168" s="118">
        <v>0</v>
      </c>
      <c r="R168" s="118">
        <v>0</v>
      </c>
      <c r="S168" s="118">
        <v>0</v>
      </c>
      <c r="T168" s="117">
        <v>0</v>
      </c>
      <c r="U168" s="118">
        <v>0</v>
      </c>
      <c r="V168" s="118">
        <v>0</v>
      </c>
      <c r="W168" s="118">
        <v>0</v>
      </c>
      <c r="X168" s="118">
        <v>0</v>
      </c>
      <c r="Y168" s="117">
        <v>0</v>
      </c>
      <c r="Z168" s="118">
        <v>0</v>
      </c>
      <c r="AA168" s="118">
        <v>0</v>
      </c>
      <c r="AB168" s="118">
        <v>0</v>
      </c>
      <c r="AC168" s="118">
        <v>0</v>
      </c>
    </row>
    <row r="169" spans="1:29" s="121" customFormat="1" ht="66.599999999999994" customHeight="1" outlineLevel="1" x14ac:dyDescent="0.2">
      <c r="A169" s="115" t="s">
        <v>1260</v>
      </c>
      <c r="B169" s="132" t="s">
        <v>618</v>
      </c>
      <c r="C169" s="78">
        <f t="shared" si="172"/>
        <v>0</v>
      </c>
      <c r="D169" s="96">
        <f t="shared" si="175"/>
        <v>106</v>
      </c>
      <c r="E169" s="92">
        <v>0</v>
      </c>
      <c r="F169" s="130">
        <f t="shared" si="173"/>
        <v>106</v>
      </c>
      <c r="G169" s="130">
        <v>0</v>
      </c>
      <c r="H169" s="93">
        <v>101</v>
      </c>
      <c r="I169" s="93">
        <v>5</v>
      </c>
      <c r="J169" s="78">
        <v>0</v>
      </c>
      <c r="K169" s="118">
        <v>0</v>
      </c>
      <c r="L169" s="118">
        <v>0</v>
      </c>
      <c r="M169" s="118">
        <v>0</v>
      </c>
      <c r="N169" s="118">
        <v>0</v>
      </c>
      <c r="O169" s="117">
        <v>0</v>
      </c>
      <c r="P169" s="118">
        <f t="shared" ref="P169:P230" si="176">S169</f>
        <v>0</v>
      </c>
      <c r="Q169" s="118">
        <v>0</v>
      </c>
      <c r="R169" s="118">
        <v>0</v>
      </c>
      <c r="S169" s="118">
        <v>0</v>
      </c>
      <c r="T169" s="117">
        <v>0</v>
      </c>
      <c r="U169" s="118">
        <v>0</v>
      </c>
      <c r="V169" s="118">
        <v>0</v>
      </c>
      <c r="W169" s="118">
        <v>0</v>
      </c>
      <c r="X169" s="118">
        <v>0</v>
      </c>
      <c r="Y169" s="117">
        <v>0</v>
      </c>
      <c r="Z169" s="118">
        <v>0</v>
      </c>
      <c r="AA169" s="118">
        <v>0</v>
      </c>
      <c r="AB169" s="118">
        <v>0</v>
      </c>
      <c r="AC169" s="118">
        <v>0</v>
      </c>
    </row>
    <row r="170" spans="1:29" s="121" customFormat="1" ht="73.900000000000006" customHeight="1" outlineLevel="1" x14ac:dyDescent="0.2">
      <c r="A170" s="115" t="s">
        <v>1261</v>
      </c>
      <c r="B170" s="132" t="s">
        <v>619</v>
      </c>
      <c r="C170" s="78">
        <f t="shared" si="172"/>
        <v>0</v>
      </c>
      <c r="D170" s="96">
        <f t="shared" si="175"/>
        <v>1288</v>
      </c>
      <c r="E170" s="92">
        <v>0</v>
      </c>
      <c r="F170" s="130">
        <f t="shared" si="173"/>
        <v>1288</v>
      </c>
      <c r="G170" s="130">
        <v>0</v>
      </c>
      <c r="H170" s="93">
        <v>1226</v>
      </c>
      <c r="I170" s="93">
        <v>62</v>
      </c>
      <c r="J170" s="78">
        <v>0</v>
      </c>
      <c r="K170" s="118">
        <v>0</v>
      </c>
      <c r="L170" s="118">
        <v>0</v>
      </c>
      <c r="M170" s="118">
        <v>0</v>
      </c>
      <c r="N170" s="118">
        <v>0</v>
      </c>
      <c r="O170" s="117">
        <v>0</v>
      </c>
      <c r="P170" s="118">
        <f t="shared" si="176"/>
        <v>0</v>
      </c>
      <c r="Q170" s="118">
        <v>0</v>
      </c>
      <c r="R170" s="118">
        <v>0</v>
      </c>
      <c r="S170" s="118">
        <v>0</v>
      </c>
      <c r="T170" s="117">
        <v>0</v>
      </c>
      <c r="U170" s="118">
        <v>0</v>
      </c>
      <c r="V170" s="118">
        <v>0</v>
      </c>
      <c r="W170" s="118">
        <v>0</v>
      </c>
      <c r="X170" s="118">
        <v>0</v>
      </c>
      <c r="Y170" s="117">
        <v>0</v>
      </c>
      <c r="Z170" s="118">
        <v>0</v>
      </c>
      <c r="AA170" s="118">
        <v>0</v>
      </c>
      <c r="AB170" s="118">
        <v>0</v>
      </c>
      <c r="AC170" s="118">
        <v>0</v>
      </c>
    </row>
    <row r="171" spans="1:29" s="121" customFormat="1" ht="123" customHeight="1" outlineLevel="1" x14ac:dyDescent="0.2">
      <c r="A171" s="115" t="s">
        <v>1262</v>
      </c>
      <c r="B171" s="132" t="s">
        <v>620</v>
      </c>
      <c r="C171" s="78">
        <f t="shared" si="172"/>
        <v>0</v>
      </c>
      <c r="D171" s="96">
        <f t="shared" si="175"/>
        <v>628</v>
      </c>
      <c r="E171" s="92">
        <v>0</v>
      </c>
      <c r="F171" s="130">
        <f t="shared" si="173"/>
        <v>628</v>
      </c>
      <c r="G171" s="130">
        <v>0</v>
      </c>
      <c r="H171" s="93">
        <v>598</v>
      </c>
      <c r="I171" s="93">
        <v>30</v>
      </c>
      <c r="J171" s="78">
        <v>0</v>
      </c>
      <c r="K171" s="118">
        <v>0</v>
      </c>
      <c r="L171" s="118">
        <v>0</v>
      </c>
      <c r="M171" s="118">
        <v>0</v>
      </c>
      <c r="N171" s="118">
        <v>0</v>
      </c>
      <c r="O171" s="117">
        <v>0</v>
      </c>
      <c r="P171" s="118">
        <f t="shared" si="176"/>
        <v>0</v>
      </c>
      <c r="Q171" s="118">
        <v>0</v>
      </c>
      <c r="R171" s="118">
        <v>0</v>
      </c>
      <c r="S171" s="118">
        <v>0</v>
      </c>
      <c r="T171" s="117">
        <v>0</v>
      </c>
      <c r="U171" s="118">
        <v>0</v>
      </c>
      <c r="V171" s="118">
        <v>0</v>
      </c>
      <c r="W171" s="118">
        <v>0</v>
      </c>
      <c r="X171" s="118">
        <v>0</v>
      </c>
      <c r="Y171" s="117">
        <v>0</v>
      </c>
      <c r="Z171" s="118">
        <v>0</v>
      </c>
      <c r="AA171" s="118">
        <v>0</v>
      </c>
      <c r="AB171" s="118">
        <v>0</v>
      </c>
      <c r="AC171" s="118">
        <v>0</v>
      </c>
    </row>
    <row r="172" spans="1:29" s="121" customFormat="1" ht="75" customHeight="1" outlineLevel="1" x14ac:dyDescent="0.2">
      <c r="A172" s="115" t="s">
        <v>1263</v>
      </c>
      <c r="B172" s="132" t="s">
        <v>621</v>
      </c>
      <c r="C172" s="78">
        <f t="shared" si="172"/>
        <v>0</v>
      </c>
      <c r="D172" s="96">
        <f t="shared" si="175"/>
        <v>243</v>
      </c>
      <c r="E172" s="92">
        <v>0</v>
      </c>
      <c r="F172" s="130">
        <f t="shared" si="173"/>
        <v>243</v>
      </c>
      <c r="G172" s="130">
        <v>0</v>
      </c>
      <c r="H172" s="93">
        <v>231</v>
      </c>
      <c r="I172" s="93">
        <v>12</v>
      </c>
      <c r="J172" s="78">
        <v>0</v>
      </c>
      <c r="K172" s="118">
        <v>0</v>
      </c>
      <c r="L172" s="118">
        <v>0</v>
      </c>
      <c r="M172" s="118">
        <v>0</v>
      </c>
      <c r="N172" s="118">
        <v>0</v>
      </c>
      <c r="O172" s="117">
        <v>0</v>
      </c>
      <c r="P172" s="118">
        <f t="shared" si="176"/>
        <v>0</v>
      </c>
      <c r="Q172" s="118">
        <v>0</v>
      </c>
      <c r="R172" s="118">
        <v>0</v>
      </c>
      <c r="S172" s="118">
        <v>0</v>
      </c>
      <c r="T172" s="117">
        <v>0</v>
      </c>
      <c r="U172" s="118">
        <v>0</v>
      </c>
      <c r="V172" s="118">
        <v>0</v>
      </c>
      <c r="W172" s="118">
        <v>0</v>
      </c>
      <c r="X172" s="118">
        <v>0</v>
      </c>
      <c r="Y172" s="117">
        <v>0</v>
      </c>
      <c r="Z172" s="118">
        <v>0</v>
      </c>
      <c r="AA172" s="118">
        <v>0</v>
      </c>
      <c r="AB172" s="118">
        <v>0</v>
      </c>
      <c r="AC172" s="118">
        <v>0</v>
      </c>
    </row>
    <row r="173" spans="1:29" s="121" customFormat="1" ht="70.900000000000006" customHeight="1" outlineLevel="1" x14ac:dyDescent="0.2">
      <c r="A173" s="115" t="s">
        <v>1264</v>
      </c>
      <c r="B173" s="132" t="s">
        <v>622</v>
      </c>
      <c r="C173" s="78">
        <f t="shared" si="172"/>
        <v>0</v>
      </c>
      <c r="D173" s="96">
        <f t="shared" si="175"/>
        <v>428</v>
      </c>
      <c r="E173" s="92">
        <v>0</v>
      </c>
      <c r="F173" s="130">
        <f t="shared" si="173"/>
        <v>428</v>
      </c>
      <c r="G173" s="130">
        <v>0</v>
      </c>
      <c r="H173" s="93">
        <v>407</v>
      </c>
      <c r="I173" s="93">
        <v>21</v>
      </c>
      <c r="J173" s="78">
        <v>0</v>
      </c>
      <c r="K173" s="118">
        <v>0</v>
      </c>
      <c r="L173" s="118">
        <v>0</v>
      </c>
      <c r="M173" s="118">
        <v>0</v>
      </c>
      <c r="N173" s="118">
        <v>0</v>
      </c>
      <c r="O173" s="117">
        <v>0</v>
      </c>
      <c r="P173" s="118">
        <f t="shared" si="176"/>
        <v>0</v>
      </c>
      <c r="Q173" s="118">
        <v>0</v>
      </c>
      <c r="R173" s="118">
        <v>0</v>
      </c>
      <c r="S173" s="118">
        <v>0</v>
      </c>
      <c r="T173" s="117">
        <v>0</v>
      </c>
      <c r="U173" s="118">
        <v>0</v>
      </c>
      <c r="V173" s="118">
        <v>0</v>
      </c>
      <c r="W173" s="118">
        <v>0</v>
      </c>
      <c r="X173" s="118">
        <v>0</v>
      </c>
      <c r="Y173" s="117">
        <v>0</v>
      </c>
      <c r="Z173" s="118">
        <v>0</v>
      </c>
      <c r="AA173" s="118">
        <v>0</v>
      </c>
      <c r="AB173" s="118">
        <v>0</v>
      </c>
      <c r="AC173" s="118">
        <v>0</v>
      </c>
    </row>
    <row r="174" spans="1:29" s="121" customFormat="1" ht="59.45" customHeight="1" outlineLevel="1" x14ac:dyDescent="0.2">
      <c r="A174" s="115" t="s">
        <v>1265</v>
      </c>
      <c r="B174" s="132" t="s">
        <v>623</v>
      </c>
      <c r="C174" s="78">
        <f t="shared" si="172"/>
        <v>0</v>
      </c>
      <c r="D174" s="96">
        <f t="shared" si="175"/>
        <v>20</v>
      </c>
      <c r="E174" s="92">
        <v>0</v>
      </c>
      <c r="F174" s="130">
        <f t="shared" si="173"/>
        <v>20</v>
      </c>
      <c r="G174" s="130">
        <v>0</v>
      </c>
      <c r="H174" s="93">
        <v>19</v>
      </c>
      <c r="I174" s="93">
        <v>1</v>
      </c>
      <c r="J174" s="78">
        <v>0</v>
      </c>
      <c r="K174" s="118">
        <v>0</v>
      </c>
      <c r="L174" s="118">
        <v>0</v>
      </c>
      <c r="M174" s="118">
        <v>0</v>
      </c>
      <c r="N174" s="118">
        <v>0</v>
      </c>
      <c r="O174" s="117">
        <v>0</v>
      </c>
      <c r="P174" s="118">
        <f t="shared" si="176"/>
        <v>0</v>
      </c>
      <c r="Q174" s="118">
        <v>0</v>
      </c>
      <c r="R174" s="118">
        <v>0</v>
      </c>
      <c r="S174" s="118">
        <v>0</v>
      </c>
      <c r="T174" s="117">
        <v>0</v>
      </c>
      <c r="U174" s="118">
        <v>0</v>
      </c>
      <c r="V174" s="118">
        <v>0</v>
      </c>
      <c r="W174" s="118">
        <v>0</v>
      </c>
      <c r="X174" s="118">
        <v>0</v>
      </c>
      <c r="Y174" s="117">
        <v>0</v>
      </c>
      <c r="Z174" s="118">
        <v>0</v>
      </c>
      <c r="AA174" s="118">
        <v>0</v>
      </c>
      <c r="AB174" s="118">
        <v>0</v>
      </c>
      <c r="AC174" s="118">
        <v>0</v>
      </c>
    </row>
    <row r="175" spans="1:29" s="121" customFormat="1" ht="100.9" customHeight="1" outlineLevel="1" x14ac:dyDescent="0.2">
      <c r="A175" s="115" t="s">
        <v>1266</v>
      </c>
      <c r="B175" s="132" t="s">
        <v>624</v>
      </c>
      <c r="C175" s="78">
        <f t="shared" si="172"/>
        <v>0</v>
      </c>
      <c r="D175" s="96">
        <f t="shared" si="175"/>
        <v>57</v>
      </c>
      <c r="E175" s="92">
        <v>0</v>
      </c>
      <c r="F175" s="130">
        <f t="shared" si="173"/>
        <v>57</v>
      </c>
      <c r="G175" s="130">
        <v>0</v>
      </c>
      <c r="H175" s="93">
        <v>54</v>
      </c>
      <c r="I175" s="93">
        <v>3</v>
      </c>
      <c r="J175" s="78">
        <v>0</v>
      </c>
      <c r="K175" s="118">
        <v>0</v>
      </c>
      <c r="L175" s="118">
        <v>0</v>
      </c>
      <c r="M175" s="118">
        <v>0</v>
      </c>
      <c r="N175" s="118">
        <v>0</v>
      </c>
      <c r="O175" s="117">
        <v>0</v>
      </c>
      <c r="P175" s="118">
        <f t="shared" si="176"/>
        <v>0</v>
      </c>
      <c r="Q175" s="118">
        <v>0</v>
      </c>
      <c r="R175" s="118">
        <v>0</v>
      </c>
      <c r="S175" s="118">
        <v>0</v>
      </c>
      <c r="T175" s="117">
        <v>0</v>
      </c>
      <c r="U175" s="118">
        <v>0</v>
      </c>
      <c r="V175" s="118">
        <v>0</v>
      </c>
      <c r="W175" s="118">
        <v>0</v>
      </c>
      <c r="X175" s="118">
        <v>0</v>
      </c>
      <c r="Y175" s="117">
        <v>0</v>
      </c>
      <c r="Z175" s="118">
        <v>0</v>
      </c>
      <c r="AA175" s="118">
        <v>0</v>
      </c>
      <c r="AB175" s="118">
        <v>0</v>
      </c>
      <c r="AC175" s="118">
        <v>0</v>
      </c>
    </row>
    <row r="176" spans="1:29" s="121" customFormat="1" ht="51" customHeight="1" outlineLevel="1" x14ac:dyDescent="0.2">
      <c r="A176" s="115" t="s">
        <v>1267</v>
      </c>
      <c r="B176" s="132" t="s">
        <v>625</v>
      </c>
      <c r="C176" s="78">
        <f t="shared" si="172"/>
        <v>0</v>
      </c>
      <c r="D176" s="96">
        <f t="shared" si="175"/>
        <v>33</v>
      </c>
      <c r="E176" s="92">
        <v>0</v>
      </c>
      <c r="F176" s="130">
        <f t="shared" si="173"/>
        <v>33</v>
      </c>
      <c r="G176" s="130">
        <v>0</v>
      </c>
      <c r="H176" s="93">
        <v>31</v>
      </c>
      <c r="I176" s="93">
        <v>2</v>
      </c>
      <c r="J176" s="78">
        <v>0</v>
      </c>
      <c r="K176" s="118">
        <v>0</v>
      </c>
      <c r="L176" s="118">
        <v>0</v>
      </c>
      <c r="M176" s="118">
        <v>0</v>
      </c>
      <c r="N176" s="118">
        <v>0</v>
      </c>
      <c r="O176" s="117">
        <v>0</v>
      </c>
      <c r="P176" s="118">
        <f t="shared" si="176"/>
        <v>0</v>
      </c>
      <c r="Q176" s="118">
        <v>0</v>
      </c>
      <c r="R176" s="118">
        <v>0</v>
      </c>
      <c r="S176" s="118">
        <v>0</v>
      </c>
      <c r="T176" s="117">
        <v>0</v>
      </c>
      <c r="U176" s="118">
        <v>0</v>
      </c>
      <c r="V176" s="118">
        <v>0</v>
      </c>
      <c r="W176" s="118">
        <v>0</v>
      </c>
      <c r="X176" s="118">
        <v>0</v>
      </c>
      <c r="Y176" s="117">
        <v>0</v>
      </c>
      <c r="Z176" s="118">
        <v>0</v>
      </c>
      <c r="AA176" s="118">
        <v>0</v>
      </c>
      <c r="AB176" s="118">
        <v>0</v>
      </c>
      <c r="AC176" s="118">
        <v>0</v>
      </c>
    </row>
    <row r="177" spans="1:29" s="121" customFormat="1" ht="78" customHeight="1" outlineLevel="1" x14ac:dyDescent="0.2">
      <c r="A177" s="115" t="s">
        <v>1268</v>
      </c>
      <c r="B177" s="132" t="s">
        <v>626</v>
      </c>
      <c r="C177" s="78">
        <f t="shared" si="172"/>
        <v>0</v>
      </c>
      <c r="D177" s="96">
        <f t="shared" si="175"/>
        <v>630</v>
      </c>
      <c r="E177" s="92">
        <v>0</v>
      </c>
      <c r="F177" s="130">
        <f t="shared" si="173"/>
        <v>630</v>
      </c>
      <c r="G177" s="130">
        <v>0</v>
      </c>
      <c r="H177" s="93">
        <v>600</v>
      </c>
      <c r="I177" s="93">
        <v>30</v>
      </c>
      <c r="J177" s="78">
        <v>0</v>
      </c>
      <c r="K177" s="118">
        <v>0</v>
      </c>
      <c r="L177" s="118">
        <v>0</v>
      </c>
      <c r="M177" s="118">
        <v>0</v>
      </c>
      <c r="N177" s="118">
        <v>0</v>
      </c>
      <c r="O177" s="117">
        <v>0</v>
      </c>
      <c r="P177" s="118">
        <f t="shared" si="176"/>
        <v>0</v>
      </c>
      <c r="Q177" s="118">
        <v>0</v>
      </c>
      <c r="R177" s="118">
        <v>0</v>
      </c>
      <c r="S177" s="118">
        <v>0</v>
      </c>
      <c r="T177" s="117">
        <v>0</v>
      </c>
      <c r="U177" s="118">
        <v>0</v>
      </c>
      <c r="V177" s="118">
        <v>0</v>
      </c>
      <c r="W177" s="118">
        <v>0</v>
      </c>
      <c r="X177" s="118">
        <v>0</v>
      </c>
      <c r="Y177" s="117">
        <v>0</v>
      </c>
      <c r="Z177" s="118">
        <v>0</v>
      </c>
      <c r="AA177" s="118">
        <v>0</v>
      </c>
      <c r="AB177" s="118">
        <v>0</v>
      </c>
      <c r="AC177" s="118">
        <v>0</v>
      </c>
    </row>
    <row r="178" spans="1:29" s="121" customFormat="1" ht="46.9" customHeight="1" outlineLevel="1" x14ac:dyDescent="0.2">
      <c r="A178" s="115" t="s">
        <v>1269</v>
      </c>
      <c r="B178" s="132" t="s">
        <v>627</v>
      </c>
      <c r="C178" s="78">
        <f t="shared" si="172"/>
        <v>0</v>
      </c>
      <c r="D178" s="96">
        <f t="shared" si="175"/>
        <v>139</v>
      </c>
      <c r="E178" s="92">
        <v>0</v>
      </c>
      <c r="F178" s="130">
        <f t="shared" si="173"/>
        <v>139</v>
      </c>
      <c r="G178" s="130">
        <v>0</v>
      </c>
      <c r="H178" s="93">
        <v>132</v>
      </c>
      <c r="I178" s="93">
        <v>7</v>
      </c>
      <c r="J178" s="78">
        <v>0</v>
      </c>
      <c r="K178" s="118">
        <v>0</v>
      </c>
      <c r="L178" s="118">
        <v>0</v>
      </c>
      <c r="M178" s="118">
        <v>0</v>
      </c>
      <c r="N178" s="118">
        <v>0</v>
      </c>
      <c r="O178" s="117">
        <v>0</v>
      </c>
      <c r="P178" s="118">
        <f t="shared" si="176"/>
        <v>0</v>
      </c>
      <c r="Q178" s="118">
        <v>0</v>
      </c>
      <c r="R178" s="118">
        <v>0</v>
      </c>
      <c r="S178" s="118">
        <v>0</v>
      </c>
      <c r="T178" s="117">
        <v>0</v>
      </c>
      <c r="U178" s="118">
        <v>0</v>
      </c>
      <c r="V178" s="118">
        <v>0</v>
      </c>
      <c r="W178" s="118">
        <v>0</v>
      </c>
      <c r="X178" s="118">
        <v>0</v>
      </c>
      <c r="Y178" s="117">
        <v>0</v>
      </c>
      <c r="Z178" s="118">
        <v>0</v>
      </c>
      <c r="AA178" s="118">
        <v>0</v>
      </c>
      <c r="AB178" s="118">
        <v>0</v>
      </c>
      <c r="AC178" s="118">
        <v>0</v>
      </c>
    </row>
    <row r="179" spans="1:29" s="121" customFormat="1" ht="58.9" customHeight="1" outlineLevel="1" x14ac:dyDescent="0.2">
      <c r="A179" s="115" t="s">
        <v>1270</v>
      </c>
      <c r="B179" s="132" t="s">
        <v>628</v>
      </c>
      <c r="C179" s="78">
        <f t="shared" si="172"/>
        <v>0</v>
      </c>
      <c r="D179" s="96">
        <f t="shared" si="175"/>
        <v>188</v>
      </c>
      <c r="E179" s="92">
        <v>0</v>
      </c>
      <c r="F179" s="130">
        <f t="shared" si="173"/>
        <v>188</v>
      </c>
      <c r="G179" s="130">
        <v>0</v>
      </c>
      <c r="H179" s="93">
        <v>179</v>
      </c>
      <c r="I179" s="93">
        <v>9</v>
      </c>
      <c r="J179" s="78">
        <v>0</v>
      </c>
      <c r="K179" s="118">
        <v>0</v>
      </c>
      <c r="L179" s="118">
        <v>0</v>
      </c>
      <c r="M179" s="118">
        <v>0</v>
      </c>
      <c r="N179" s="118">
        <v>0</v>
      </c>
      <c r="O179" s="117">
        <v>0</v>
      </c>
      <c r="P179" s="118">
        <f t="shared" si="176"/>
        <v>0</v>
      </c>
      <c r="Q179" s="118">
        <v>0</v>
      </c>
      <c r="R179" s="118">
        <v>0</v>
      </c>
      <c r="S179" s="118">
        <v>0</v>
      </c>
      <c r="T179" s="117">
        <v>0</v>
      </c>
      <c r="U179" s="118">
        <v>0</v>
      </c>
      <c r="V179" s="118">
        <v>0</v>
      </c>
      <c r="W179" s="118">
        <v>0</v>
      </c>
      <c r="X179" s="118">
        <v>0</v>
      </c>
      <c r="Y179" s="117">
        <v>0</v>
      </c>
      <c r="Z179" s="118">
        <v>0</v>
      </c>
      <c r="AA179" s="118">
        <v>0</v>
      </c>
      <c r="AB179" s="118">
        <v>0</v>
      </c>
      <c r="AC179" s="118">
        <v>0</v>
      </c>
    </row>
    <row r="180" spans="1:29" s="121" customFormat="1" ht="63.6" customHeight="1" outlineLevel="1" x14ac:dyDescent="0.2">
      <c r="A180" s="115" t="s">
        <v>1271</v>
      </c>
      <c r="B180" s="132" t="s">
        <v>629</v>
      </c>
      <c r="C180" s="78">
        <f t="shared" si="172"/>
        <v>0</v>
      </c>
      <c r="D180" s="96">
        <f t="shared" si="175"/>
        <v>415</v>
      </c>
      <c r="E180" s="92">
        <v>0</v>
      </c>
      <c r="F180" s="130">
        <f t="shared" si="173"/>
        <v>415</v>
      </c>
      <c r="G180" s="130">
        <v>0</v>
      </c>
      <c r="H180" s="93">
        <v>395</v>
      </c>
      <c r="I180" s="93">
        <v>20</v>
      </c>
      <c r="J180" s="78">
        <v>0</v>
      </c>
      <c r="K180" s="118">
        <v>0</v>
      </c>
      <c r="L180" s="118">
        <v>0</v>
      </c>
      <c r="M180" s="118">
        <v>0</v>
      </c>
      <c r="N180" s="118">
        <v>0</v>
      </c>
      <c r="O180" s="117">
        <v>0</v>
      </c>
      <c r="P180" s="118">
        <f t="shared" si="176"/>
        <v>0</v>
      </c>
      <c r="Q180" s="118">
        <v>0</v>
      </c>
      <c r="R180" s="118">
        <v>0</v>
      </c>
      <c r="S180" s="118">
        <v>0</v>
      </c>
      <c r="T180" s="117">
        <v>0</v>
      </c>
      <c r="U180" s="118">
        <v>0</v>
      </c>
      <c r="V180" s="118">
        <v>0</v>
      </c>
      <c r="W180" s="118">
        <v>0</v>
      </c>
      <c r="X180" s="118">
        <v>0</v>
      </c>
      <c r="Y180" s="117">
        <v>0</v>
      </c>
      <c r="Z180" s="118">
        <v>0</v>
      </c>
      <c r="AA180" s="118">
        <v>0</v>
      </c>
      <c r="AB180" s="118">
        <v>0</v>
      </c>
      <c r="AC180" s="118">
        <v>0</v>
      </c>
    </row>
    <row r="181" spans="1:29" s="121" customFormat="1" ht="75" customHeight="1" outlineLevel="1" x14ac:dyDescent="0.2">
      <c r="A181" s="115" t="s">
        <v>1272</v>
      </c>
      <c r="B181" s="132" t="s">
        <v>630</v>
      </c>
      <c r="C181" s="78">
        <f t="shared" si="172"/>
        <v>0</v>
      </c>
      <c r="D181" s="96">
        <f t="shared" si="175"/>
        <v>125</v>
      </c>
      <c r="E181" s="92">
        <v>0</v>
      </c>
      <c r="F181" s="130">
        <f t="shared" si="173"/>
        <v>125</v>
      </c>
      <c r="G181" s="130">
        <v>0</v>
      </c>
      <c r="H181" s="93">
        <v>119</v>
      </c>
      <c r="I181" s="93">
        <v>6</v>
      </c>
      <c r="J181" s="78">
        <v>0</v>
      </c>
      <c r="K181" s="118">
        <v>0</v>
      </c>
      <c r="L181" s="118">
        <v>0</v>
      </c>
      <c r="M181" s="118">
        <v>0</v>
      </c>
      <c r="N181" s="118">
        <v>0</v>
      </c>
      <c r="O181" s="117">
        <v>0</v>
      </c>
      <c r="P181" s="118">
        <f t="shared" si="176"/>
        <v>0</v>
      </c>
      <c r="Q181" s="118">
        <v>0</v>
      </c>
      <c r="R181" s="118">
        <v>0</v>
      </c>
      <c r="S181" s="118">
        <v>0</v>
      </c>
      <c r="T181" s="117">
        <v>0</v>
      </c>
      <c r="U181" s="118">
        <v>0</v>
      </c>
      <c r="V181" s="118">
        <v>0</v>
      </c>
      <c r="W181" s="118">
        <v>0</v>
      </c>
      <c r="X181" s="118">
        <v>0</v>
      </c>
      <c r="Y181" s="117">
        <v>0</v>
      </c>
      <c r="Z181" s="118">
        <v>0</v>
      </c>
      <c r="AA181" s="118">
        <v>0</v>
      </c>
      <c r="AB181" s="118">
        <v>0</v>
      </c>
      <c r="AC181" s="118">
        <v>0</v>
      </c>
    </row>
    <row r="182" spans="1:29" s="121" customFormat="1" ht="78.75" customHeight="1" outlineLevel="1" x14ac:dyDescent="0.2">
      <c r="A182" s="115" t="s">
        <v>1273</v>
      </c>
      <c r="B182" s="132" t="s">
        <v>631</v>
      </c>
      <c r="C182" s="78">
        <f t="shared" si="172"/>
        <v>0</v>
      </c>
      <c r="D182" s="96">
        <f t="shared" si="175"/>
        <v>230</v>
      </c>
      <c r="E182" s="92">
        <v>0</v>
      </c>
      <c r="F182" s="130">
        <f t="shared" si="173"/>
        <v>230</v>
      </c>
      <c r="G182" s="130">
        <v>0</v>
      </c>
      <c r="H182" s="93">
        <v>219</v>
      </c>
      <c r="I182" s="93">
        <v>11</v>
      </c>
      <c r="J182" s="78">
        <v>0</v>
      </c>
      <c r="K182" s="118">
        <v>0</v>
      </c>
      <c r="L182" s="118">
        <v>0</v>
      </c>
      <c r="M182" s="118">
        <v>0</v>
      </c>
      <c r="N182" s="118">
        <v>0</v>
      </c>
      <c r="O182" s="117">
        <v>0</v>
      </c>
      <c r="P182" s="118">
        <f t="shared" si="176"/>
        <v>0</v>
      </c>
      <c r="Q182" s="118">
        <v>0</v>
      </c>
      <c r="R182" s="118">
        <v>0</v>
      </c>
      <c r="S182" s="118">
        <v>0</v>
      </c>
      <c r="T182" s="117">
        <v>0</v>
      </c>
      <c r="U182" s="118">
        <v>0</v>
      </c>
      <c r="V182" s="118">
        <v>0</v>
      </c>
      <c r="W182" s="118">
        <v>0</v>
      </c>
      <c r="X182" s="118">
        <v>0</v>
      </c>
      <c r="Y182" s="117">
        <v>0</v>
      </c>
      <c r="Z182" s="118">
        <v>0</v>
      </c>
      <c r="AA182" s="118">
        <v>0</v>
      </c>
      <c r="AB182" s="118">
        <v>0</v>
      </c>
      <c r="AC182" s="118">
        <v>0</v>
      </c>
    </row>
    <row r="183" spans="1:29" s="121" customFormat="1" ht="73.900000000000006" customHeight="1" outlineLevel="1" x14ac:dyDescent="0.2">
      <c r="A183" s="115" t="s">
        <v>1274</v>
      </c>
      <c r="B183" s="132" t="s">
        <v>632</v>
      </c>
      <c r="C183" s="78">
        <f t="shared" si="172"/>
        <v>0</v>
      </c>
      <c r="D183" s="96">
        <f t="shared" si="175"/>
        <v>532</v>
      </c>
      <c r="E183" s="92">
        <v>0</v>
      </c>
      <c r="F183" s="130">
        <f t="shared" si="173"/>
        <v>532</v>
      </c>
      <c r="G183" s="130">
        <v>0</v>
      </c>
      <c r="H183" s="93">
        <v>507</v>
      </c>
      <c r="I183" s="93">
        <v>25</v>
      </c>
      <c r="J183" s="78">
        <v>0</v>
      </c>
      <c r="K183" s="118">
        <v>0</v>
      </c>
      <c r="L183" s="118">
        <v>0</v>
      </c>
      <c r="M183" s="118">
        <v>0</v>
      </c>
      <c r="N183" s="118">
        <v>0</v>
      </c>
      <c r="O183" s="117">
        <v>0</v>
      </c>
      <c r="P183" s="118">
        <f t="shared" si="176"/>
        <v>0</v>
      </c>
      <c r="Q183" s="118">
        <v>0</v>
      </c>
      <c r="R183" s="118">
        <v>0</v>
      </c>
      <c r="S183" s="118">
        <v>0</v>
      </c>
      <c r="T183" s="117">
        <v>0</v>
      </c>
      <c r="U183" s="118">
        <v>0</v>
      </c>
      <c r="V183" s="118">
        <v>0</v>
      </c>
      <c r="W183" s="118">
        <v>0</v>
      </c>
      <c r="X183" s="118">
        <v>0</v>
      </c>
      <c r="Y183" s="117">
        <v>0</v>
      </c>
      <c r="Z183" s="118">
        <v>0</v>
      </c>
      <c r="AA183" s="118">
        <v>0</v>
      </c>
      <c r="AB183" s="118">
        <v>0</v>
      </c>
      <c r="AC183" s="118">
        <v>0</v>
      </c>
    </row>
    <row r="184" spans="1:29" s="121" customFormat="1" ht="75" customHeight="1" outlineLevel="1" x14ac:dyDescent="0.2">
      <c r="A184" s="115" t="s">
        <v>1275</v>
      </c>
      <c r="B184" s="132" t="s">
        <v>633</v>
      </c>
      <c r="C184" s="78">
        <f t="shared" si="172"/>
        <v>0</v>
      </c>
      <c r="D184" s="96">
        <f t="shared" si="175"/>
        <v>1055</v>
      </c>
      <c r="E184" s="92">
        <v>0</v>
      </c>
      <c r="F184" s="130">
        <f t="shared" si="173"/>
        <v>1055</v>
      </c>
      <c r="G184" s="130">
        <v>0</v>
      </c>
      <c r="H184" s="93">
        <v>1005</v>
      </c>
      <c r="I184" s="93">
        <v>50</v>
      </c>
      <c r="J184" s="78">
        <v>0</v>
      </c>
      <c r="K184" s="118">
        <v>0</v>
      </c>
      <c r="L184" s="118">
        <v>0</v>
      </c>
      <c r="M184" s="118">
        <v>0</v>
      </c>
      <c r="N184" s="118">
        <v>0</v>
      </c>
      <c r="O184" s="117">
        <v>0</v>
      </c>
      <c r="P184" s="118">
        <f t="shared" si="176"/>
        <v>0</v>
      </c>
      <c r="Q184" s="118">
        <v>0</v>
      </c>
      <c r="R184" s="118">
        <v>0</v>
      </c>
      <c r="S184" s="118">
        <v>0</v>
      </c>
      <c r="T184" s="117">
        <v>0</v>
      </c>
      <c r="U184" s="118">
        <v>0</v>
      </c>
      <c r="V184" s="118">
        <v>0</v>
      </c>
      <c r="W184" s="118">
        <v>0</v>
      </c>
      <c r="X184" s="118">
        <v>0</v>
      </c>
      <c r="Y184" s="117">
        <v>0</v>
      </c>
      <c r="Z184" s="118">
        <v>0</v>
      </c>
      <c r="AA184" s="118">
        <v>0</v>
      </c>
      <c r="AB184" s="118">
        <v>0</v>
      </c>
      <c r="AC184" s="118">
        <v>0</v>
      </c>
    </row>
    <row r="185" spans="1:29" s="121" customFormat="1" ht="75" customHeight="1" outlineLevel="1" x14ac:dyDescent="0.2">
      <c r="A185" s="115" t="s">
        <v>1276</v>
      </c>
      <c r="B185" s="132" t="s">
        <v>634</v>
      </c>
      <c r="C185" s="78">
        <f t="shared" si="172"/>
        <v>0</v>
      </c>
      <c r="D185" s="96">
        <f t="shared" si="175"/>
        <v>386</v>
      </c>
      <c r="E185" s="92">
        <v>0</v>
      </c>
      <c r="F185" s="130">
        <f t="shared" si="173"/>
        <v>386</v>
      </c>
      <c r="G185" s="130">
        <v>0</v>
      </c>
      <c r="H185" s="93">
        <v>367</v>
      </c>
      <c r="I185" s="93">
        <v>19</v>
      </c>
      <c r="J185" s="78">
        <v>0</v>
      </c>
      <c r="K185" s="118">
        <v>0</v>
      </c>
      <c r="L185" s="118">
        <v>0</v>
      </c>
      <c r="M185" s="118">
        <v>0</v>
      </c>
      <c r="N185" s="118">
        <v>0</v>
      </c>
      <c r="O185" s="117">
        <v>0</v>
      </c>
      <c r="P185" s="118">
        <f t="shared" si="176"/>
        <v>0</v>
      </c>
      <c r="Q185" s="118">
        <v>0</v>
      </c>
      <c r="R185" s="118">
        <v>0</v>
      </c>
      <c r="S185" s="118">
        <v>0</v>
      </c>
      <c r="T185" s="117">
        <v>0</v>
      </c>
      <c r="U185" s="118">
        <v>0</v>
      </c>
      <c r="V185" s="118">
        <v>0</v>
      </c>
      <c r="W185" s="118">
        <v>0</v>
      </c>
      <c r="X185" s="118">
        <v>0</v>
      </c>
      <c r="Y185" s="117">
        <v>0</v>
      </c>
      <c r="Z185" s="118">
        <v>0</v>
      </c>
      <c r="AA185" s="118">
        <v>0</v>
      </c>
      <c r="AB185" s="118">
        <v>0</v>
      </c>
      <c r="AC185" s="118">
        <v>0</v>
      </c>
    </row>
    <row r="186" spans="1:29" s="121" customFormat="1" ht="73.900000000000006" customHeight="1" outlineLevel="1" x14ac:dyDescent="0.2">
      <c r="A186" s="115" t="s">
        <v>1277</v>
      </c>
      <c r="B186" s="132" t="s">
        <v>635</v>
      </c>
      <c r="C186" s="78">
        <f t="shared" si="172"/>
        <v>0</v>
      </c>
      <c r="D186" s="96">
        <f t="shared" si="175"/>
        <v>94</v>
      </c>
      <c r="E186" s="92">
        <v>0</v>
      </c>
      <c r="F186" s="130">
        <f t="shared" si="173"/>
        <v>94</v>
      </c>
      <c r="G186" s="130">
        <v>0</v>
      </c>
      <c r="H186" s="93">
        <v>90</v>
      </c>
      <c r="I186" s="93">
        <v>4</v>
      </c>
      <c r="J186" s="78">
        <v>0</v>
      </c>
      <c r="K186" s="118">
        <v>0</v>
      </c>
      <c r="L186" s="118">
        <v>0</v>
      </c>
      <c r="M186" s="118">
        <v>0</v>
      </c>
      <c r="N186" s="118">
        <v>0</v>
      </c>
      <c r="O186" s="117">
        <v>0</v>
      </c>
      <c r="P186" s="118">
        <f t="shared" si="176"/>
        <v>0</v>
      </c>
      <c r="Q186" s="118">
        <v>0</v>
      </c>
      <c r="R186" s="118">
        <v>0</v>
      </c>
      <c r="S186" s="118">
        <v>0</v>
      </c>
      <c r="T186" s="117">
        <v>0</v>
      </c>
      <c r="U186" s="118">
        <v>0</v>
      </c>
      <c r="V186" s="118">
        <v>0</v>
      </c>
      <c r="W186" s="118">
        <v>0</v>
      </c>
      <c r="X186" s="118">
        <v>0</v>
      </c>
      <c r="Y186" s="117">
        <v>0</v>
      </c>
      <c r="Z186" s="118">
        <v>0</v>
      </c>
      <c r="AA186" s="118">
        <v>0</v>
      </c>
      <c r="AB186" s="118">
        <v>0</v>
      </c>
      <c r="AC186" s="118">
        <v>0</v>
      </c>
    </row>
    <row r="187" spans="1:29" s="121" customFormat="1" ht="68.45" customHeight="1" outlineLevel="1" x14ac:dyDescent="0.2">
      <c r="A187" s="115" t="s">
        <v>1278</v>
      </c>
      <c r="B187" s="132" t="s">
        <v>636</v>
      </c>
      <c r="C187" s="78">
        <f t="shared" si="172"/>
        <v>0</v>
      </c>
      <c r="D187" s="96">
        <f t="shared" si="175"/>
        <v>41</v>
      </c>
      <c r="E187" s="92">
        <v>0</v>
      </c>
      <c r="F187" s="130">
        <f t="shared" si="173"/>
        <v>41</v>
      </c>
      <c r="G187" s="130">
        <v>0</v>
      </c>
      <c r="H187" s="93">
        <v>39</v>
      </c>
      <c r="I187" s="93">
        <v>2</v>
      </c>
      <c r="J187" s="78">
        <v>0</v>
      </c>
      <c r="K187" s="118">
        <v>0</v>
      </c>
      <c r="L187" s="118">
        <v>0</v>
      </c>
      <c r="M187" s="118">
        <v>0</v>
      </c>
      <c r="N187" s="118">
        <v>0</v>
      </c>
      <c r="O187" s="117">
        <v>0</v>
      </c>
      <c r="P187" s="118">
        <f t="shared" si="176"/>
        <v>0</v>
      </c>
      <c r="Q187" s="118">
        <v>0</v>
      </c>
      <c r="R187" s="118">
        <v>0</v>
      </c>
      <c r="S187" s="118">
        <v>0</v>
      </c>
      <c r="T187" s="117">
        <v>0</v>
      </c>
      <c r="U187" s="118">
        <v>0</v>
      </c>
      <c r="V187" s="118">
        <v>0</v>
      </c>
      <c r="W187" s="118">
        <v>0</v>
      </c>
      <c r="X187" s="118">
        <v>0</v>
      </c>
      <c r="Y187" s="117">
        <v>0</v>
      </c>
      <c r="Z187" s="118">
        <v>0</v>
      </c>
      <c r="AA187" s="118">
        <v>0</v>
      </c>
      <c r="AB187" s="118">
        <v>0</v>
      </c>
      <c r="AC187" s="118">
        <v>0</v>
      </c>
    </row>
    <row r="188" spans="1:29" s="121" customFormat="1" ht="66" customHeight="1" outlineLevel="1" x14ac:dyDescent="0.2">
      <c r="A188" s="115" t="s">
        <v>1279</v>
      </c>
      <c r="B188" s="132" t="s">
        <v>637</v>
      </c>
      <c r="C188" s="78">
        <f t="shared" si="172"/>
        <v>0</v>
      </c>
      <c r="D188" s="96">
        <f t="shared" si="175"/>
        <v>95</v>
      </c>
      <c r="E188" s="92">
        <v>0</v>
      </c>
      <c r="F188" s="130">
        <f t="shared" si="173"/>
        <v>95</v>
      </c>
      <c r="G188" s="130">
        <v>0</v>
      </c>
      <c r="H188" s="93">
        <v>90</v>
      </c>
      <c r="I188" s="93">
        <v>5</v>
      </c>
      <c r="J188" s="78">
        <v>0</v>
      </c>
      <c r="K188" s="118">
        <v>0</v>
      </c>
      <c r="L188" s="118">
        <v>0</v>
      </c>
      <c r="M188" s="118">
        <v>0</v>
      </c>
      <c r="N188" s="118">
        <v>0</v>
      </c>
      <c r="O188" s="117">
        <v>0</v>
      </c>
      <c r="P188" s="118">
        <f t="shared" si="176"/>
        <v>0</v>
      </c>
      <c r="Q188" s="118">
        <v>0</v>
      </c>
      <c r="R188" s="118">
        <v>0</v>
      </c>
      <c r="S188" s="118">
        <v>0</v>
      </c>
      <c r="T188" s="117">
        <v>0</v>
      </c>
      <c r="U188" s="118">
        <v>0</v>
      </c>
      <c r="V188" s="118">
        <v>0</v>
      </c>
      <c r="W188" s="118">
        <v>0</v>
      </c>
      <c r="X188" s="118">
        <v>0</v>
      </c>
      <c r="Y188" s="117">
        <v>0</v>
      </c>
      <c r="Z188" s="118">
        <v>0</v>
      </c>
      <c r="AA188" s="118">
        <v>0</v>
      </c>
      <c r="AB188" s="118">
        <v>0</v>
      </c>
      <c r="AC188" s="118">
        <v>0</v>
      </c>
    </row>
    <row r="189" spans="1:29" s="121" customFormat="1" ht="75" customHeight="1" outlineLevel="1" x14ac:dyDescent="0.2">
      <c r="A189" s="115" t="s">
        <v>1280</v>
      </c>
      <c r="B189" s="132" t="s">
        <v>638</v>
      </c>
      <c r="C189" s="78">
        <f t="shared" si="172"/>
        <v>0</v>
      </c>
      <c r="D189" s="96">
        <f t="shared" si="175"/>
        <v>1766</v>
      </c>
      <c r="E189" s="92">
        <v>0</v>
      </c>
      <c r="F189" s="130">
        <f t="shared" si="173"/>
        <v>1766</v>
      </c>
      <c r="G189" s="130">
        <v>0</v>
      </c>
      <c r="H189" s="93">
        <v>1681</v>
      </c>
      <c r="I189" s="93">
        <v>85</v>
      </c>
      <c r="J189" s="78">
        <v>0</v>
      </c>
      <c r="K189" s="118">
        <v>0</v>
      </c>
      <c r="L189" s="118">
        <v>0</v>
      </c>
      <c r="M189" s="118">
        <v>0</v>
      </c>
      <c r="N189" s="118">
        <v>0</v>
      </c>
      <c r="O189" s="117">
        <v>0</v>
      </c>
      <c r="P189" s="118">
        <f t="shared" si="176"/>
        <v>0</v>
      </c>
      <c r="Q189" s="118">
        <v>0</v>
      </c>
      <c r="R189" s="118">
        <v>0</v>
      </c>
      <c r="S189" s="118">
        <v>0</v>
      </c>
      <c r="T189" s="117">
        <v>0</v>
      </c>
      <c r="U189" s="118">
        <v>0</v>
      </c>
      <c r="V189" s="118">
        <v>0</v>
      </c>
      <c r="W189" s="118">
        <v>0</v>
      </c>
      <c r="X189" s="118">
        <v>0</v>
      </c>
      <c r="Y189" s="117">
        <v>0</v>
      </c>
      <c r="Z189" s="118">
        <v>0</v>
      </c>
      <c r="AA189" s="118">
        <v>0</v>
      </c>
      <c r="AB189" s="118">
        <v>0</v>
      </c>
      <c r="AC189" s="118">
        <v>0</v>
      </c>
    </row>
    <row r="190" spans="1:29" s="121" customFormat="1" ht="70.900000000000006" customHeight="1" outlineLevel="1" x14ac:dyDescent="0.2">
      <c r="A190" s="115" t="s">
        <v>1281</v>
      </c>
      <c r="B190" s="132" t="s">
        <v>639</v>
      </c>
      <c r="C190" s="78">
        <f t="shared" si="172"/>
        <v>0</v>
      </c>
      <c r="D190" s="96">
        <f t="shared" si="175"/>
        <v>342</v>
      </c>
      <c r="E190" s="92">
        <v>0</v>
      </c>
      <c r="F190" s="130">
        <f t="shared" si="173"/>
        <v>342</v>
      </c>
      <c r="G190" s="130">
        <v>0</v>
      </c>
      <c r="H190" s="93">
        <v>326</v>
      </c>
      <c r="I190" s="93">
        <v>16</v>
      </c>
      <c r="J190" s="78">
        <v>0</v>
      </c>
      <c r="K190" s="118">
        <v>0</v>
      </c>
      <c r="L190" s="118">
        <v>0</v>
      </c>
      <c r="M190" s="118">
        <v>0</v>
      </c>
      <c r="N190" s="118">
        <v>0</v>
      </c>
      <c r="O190" s="117">
        <v>0</v>
      </c>
      <c r="P190" s="118">
        <f t="shared" si="176"/>
        <v>0</v>
      </c>
      <c r="Q190" s="118">
        <v>0</v>
      </c>
      <c r="R190" s="118">
        <v>0</v>
      </c>
      <c r="S190" s="118">
        <v>0</v>
      </c>
      <c r="T190" s="117">
        <v>0</v>
      </c>
      <c r="U190" s="118">
        <v>0</v>
      </c>
      <c r="V190" s="118">
        <v>0</v>
      </c>
      <c r="W190" s="118">
        <v>0</v>
      </c>
      <c r="X190" s="118">
        <v>0</v>
      </c>
      <c r="Y190" s="117">
        <v>0</v>
      </c>
      <c r="Z190" s="118">
        <v>0</v>
      </c>
      <c r="AA190" s="118">
        <v>0</v>
      </c>
      <c r="AB190" s="118">
        <v>0</v>
      </c>
      <c r="AC190" s="118">
        <v>0</v>
      </c>
    </row>
    <row r="191" spans="1:29" s="121" customFormat="1" ht="51" customHeight="1" outlineLevel="1" x14ac:dyDescent="0.2">
      <c r="A191" s="115" t="s">
        <v>1282</v>
      </c>
      <c r="B191" s="132" t="s">
        <v>640</v>
      </c>
      <c r="C191" s="78">
        <f t="shared" si="172"/>
        <v>0</v>
      </c>
      <c r="D191" s="96">
        <f t="shared" si="175"/>
        <v>289</v>
      </c>
      <c r="E191" s="92">
        <v>0</v>
      </c>
      <c r="F191" s="130">
        <f t="shared" si="173"/>
        <v>289</v>
      </c>
      <c r="G191" s="130">
        <v>0</v>
      </c>
      <c r="H191" s="93">
        <v>276</v>
      </c>
      <c r="I191" s="93">
        <v>13</v>
      </c>
      <c r="J191" s="78">
        <v>0</v>
      </c>
      <c r="K191" s="118">
        <v>0</v>
      </c>
      <c r="L191" s="118">
        <v>0</v>
      </c>
      <c r="M191" s="118">
        <v>0</v>
      </c>
      <c r="N191" s="118">
        <v>0</v>
      </c>
      <c r="O191" s="117">
        <v>0</v>
      </c>
      <c r="P191" s="118">
        <f t="shared" si="176"/>
        <v>0</v>
      </c>
      <c r="Q191" s="118">
        <v>0</v>
      </c>
      <c r="R191" s="118">
        <v>0</v>
      </c>
      <c r="S191" s="118">
        <v>0</v>
      </c>
      <c r="T191" s="117">
        <v>0</v>
      </c>
      <c r="U191" s="118">
        <v>0</v>
      </c>
      <c r="V191" s="118">
        <v>0</v>
      </c>
      <c r="W191" s="118">
        <v>0</v>
      </c>
      <c r="X191" s="118">
        <v>0</v>
      </c>
      <c r="Y191" s="117">
        <v>0</v>
      </c>
      <c r="Z191" s="118">
        <v>0</v>
      </c>
      <c r="AA191" s="118">
        <v>0</v>
      </c>
      <c r="AB191" s="118">
        <v>0</v>
      </c>
      <c r="AC191" s="118">
        <v>0</v>
      </c>
    </row>
    <row r="192" spans="1:29" s="121" customFormat="1" ht="51" customHeight="1" outlineLevel="1" x14ac:dyDescent="0.2">
      <c r="A192" s="115" t="s">
        <v>1283</v>
      </c>
      <c r="B192" s="132" t="s">
        <v>641</v>
      </c>
      <c r="C192" s="78">
        <f t="shared" si="172"/>
        <v>0</v>
      </c>
      <c r="D192" s="96">
        <f t="shared" si="175"/>
        <v>1150</v>
      </c>
      <c r="E192" s="92">
        <v>0</v>
      </c>
      <c r="F192" s="130">
        <f t="shared" si="173"/>
        <v>1150</v>
      </c>
      <c r="G192" s="130">
        <v>0</v>
      </c>
      <c r="H192" s="93">
        <v>1095</v>
      </c>
      <c r="I192" s="93">
        <v>55</v>
      </c>
      <c r="J192" s="78">
        <v>0</v>
      </c>
      <c r="K192" s="118">
        <v>0</v>
      </c>
      <c r="L192" s="118">
        <v>0</v>
      </c>
      <c r="M192" s="118">
        <v>0</v>
      </c>
      <c r="N192" s="118">
        <v>0</v>
      </c>
      <c r="O192" s="117">
        <v>0</v>
      </c>
      <c r="P192" s="118">
        <f t="shared" si="176"/>
        <v>0</v>
      </c>
      <c r="Q192" s="118">
        <v>0</v>
      </c>
      <c r="R192" s="118">
        <v>0</v>
      </c>
      <c r="S192" s="118">
        <v>0</v>
      </c>
      <c r="T192" s="117">
        <v>0</v>
      </c>
      <c r="U192" s="118">
        <v>0</v>
      </c>
      <c r="V192" s="118">
        <v>0</v>
      </c>
      <c r="W192" s="118">
        <v>0</v>
      </c>
      <c r="X192" s="118">
        <v>0</v>
      </c>
      <c r="Y192" s="117">
        <v>0</v>
      </c>
      <c r="Z192" s="118">
        <v>0</v>
      </c>
      <c r="AA192" s="118">
        <v>0</v>
      </c>
      <c r="AB192" s="118">
        <v>0</v>
      </c>
      <c r="AC192" s="118">
        <v>0</v>
      </c>
    </row>
    <row r="193" spans="1:29" s="121" customFormat="1" ht="51" customHeight="1" outlineLevel="1" x14ac:dyDescent="0.2">
      <c r="A193" s="115" t="s">
        <v>1284</v>
      </c>
      <c r="B193" s="132" t="s">
        <v>642</v>
      </c>
      <c r="C193" s="78">
        <f t="shared" si="172"/>
        <v>0</v>
      </c>
      <c r="D193" s="96">
        <f t="shared" si="175"/>
        <v>286</v>
      </c>
      <c r="E193" s="92">
        <v>0</v>
      </c>
      <c r="F193" s="130">
        <f t="shared" si="173"/>
        <v>286</v>
      </c>
      <c r="G193" s="130">
        <v>0</v>
      </c>
      <c r="H193" s="93">
        <v>272</v>
      </c>
      <c r="I193" s="93">
        <v>14</v>
      </c>
      <c r="J193" s="78">
        <v>0</v>
      </c>
      <c r="K193" s="118">
        <v>0</v>
      </c>
      <c r="L193" s="118">
        <v>0</v>
      </c>
      <c r="M193" s="118">
        <v>0</v>
      </c>
      <c r="N193" s="118">
        <v>0</v>
      </c>
      <c r="O193" s="117">
        <v>0</v>
      </c>
      <c r="P193" s="118">
        <f t="shared" si="176"/>
        <v>0</v>
      </c>
      <c r="Q193" s="118">
        <v>0</v>
      </c>
      <c r="R193" s="118">
        <v>0</v>
      </c>
      <c r="S193" s="118">
        <v>0</v>
      </c>
      <c r="T193" s="117">
        <v>0</v>
      </c>
      <c r="U193" s="118">
        <v>0</v>
      </c>
      <c r="V193" s="118">
        <v>0</v>
      </c>
      <c r="W193" s="118">
        <v>0</v>
      </c>
      <c r="X193" s="118">
        <v>0</v>
      </c>
      <c r="Y193" s="117">
        <v>0</v>
      </c>
      <c r="Z193" s="118">
        <v>0</v>
      </c>
      <c r="AA193" s="118">
        <v>0</v>
      </c>
      <c r="AB193" s="118">
        <v>0</v>
      </c>
      <c r="AC193" s="118">
        <v>0</v>
      </c>
    </row>
    <row r="194" spans="1:29" s="121" customFormat="1" ht="64.900000000000006" customHeight="1" outlineLevel="1" x14ac:dyDescent="0.2">
      <c r="A194" s="115" t="s">
        <v>1285</v>
      </c>
      <c r="B194" s="132" t="s">
        <v>643</v>
      </c>
      <c r="C194" s="78">
        <f t="shared" si="172"/>
        <v>0</v>
      </c>
      <c r="D194" s="96">
        <f t="shared" si="175"/>
        <v>238</v>
      </c>
      <c r="E194" s="92">
        <v>0</v>
      </c>
      <c r="F194" s="130">
        <f t="shared" si="173"/>
        <v>238</v>
      </c>
      <c r="G194" s="130">
        <v>0</v>
      </c>
      <c r="H194" s="93">
        <v>227</v>
      </c>
      <c r="I194" s="93">
        <v>11</v>
      </c>
      <c r="J194" s="78">
        <v>0</v>
      </c>
      <c r="K194" s="118">
        <v>0</v>
      </c>
      <c r="L194" s="118">
        <v>0</v>
      </c>
      <c r="M194" s="118">
        <v>0</v>
      </c>
      <c r="N194" s="118">
        <v>0</v>
      </c>
      <c r="O194" s="117">
        <v>0</v>
      </c>
      <c r="P194" s="118">
        <f t="shared" si="176"/>
        <v>0</v>
      </c>
      <c r="Q194" s="118">
        <v>0</v>
      </c>
      <c r="R194" s="118">
        <v>0</v>
      </c>
      <c r="S194" s="118">
        <v>0</v>
      </c>
      <c r="T194" s="117">
        <v>0</v>
      </c>
      <c r="U194" s="118">
        <v>0</v>
      </c>
      <c r="V194" s="118">
        <v>0</v>
      </c>
      <c r="W194" s="118">
        <v>0</v>
      </c>
      <c r="X194" s="118">
        <v>0</v>
      </c>
      <c r="Y194" s="117">
        <v>0</v>
      </c>
      <c r="Z194" s="118">
        <v>0</v>
      </c>
      <c r="AA194" s="118">
        <v>0</v>
      </c>
      <c r="AB194" s="118">
        <v>0</v>
      </c>
      <c r="AC194" s="118">
        <v>0</v>
      </c>
    </row>
    <row r="195" spans="1:29" s="121" customFormat="1" ht="75" customHeight="1" outlineLevel="1" x14ac:dyDescent="0.2">
      <c r="A195" s="115" t="s">
        <v>1286</v>
      </c>
      <c r="B195" s="132" t="s">
        <v>644</v>
      </c>
      <c r="C195" s="78">
        <f t="shared" si="172"/>
        <v>0</v>
      </c>
      <c r="D195" s="96">
        <f t="shared" si="175"/>
        <v>1846</v>
      </c>
      <c r="E195" s="92">
        <v>0</v>
      </c>
      <c r="F195" s="130">
        <f>G195+H195+I195</f>
        <v>1846</v>
      </c>
      <c r="G195" s="130">
        <v>0</v>
      </c>
      <c r="H195" s="93">
        <v>1757</v>
      </c>
      <c r="I195" s="93">
        <v>89</v>
      </c>
      <c r="J195" s="78">
        <v>0</v>
      </c>
      <c r="K195" s="118">
        <v>0</v>
      </c>
      <c r="L195" s="118">
        <v>0</v>
      </c>
      <c r="M195" s="118">
        <v>0</v>
      </c>
      <c r="N195" s="118">
        <v>0</v>
      </c>
      <c r="O195" s="117">
        <v>0</v>
      </c>
      <c r="P195" s="118">
        <f t="shared" si="176"/>
        <v>0</v>
      </c>
      <c r="Q195" s="118">
        <v>0</v>
      </c>
      <c r="R195" s="118">
        <v>0</v>
      </c>
      <c r="S195" s="118">
        <v>0</v>
      </c>
      <c r="T195" s="117">
        <v>0</v>
      </c>
      <c r="U195" s="118">
        <v>0</v>
      </c>
      <c r="V195" s="118">
        <v>0</v>
      </c>
      <c r="W195" s="118">
        <v>0</v>
      </c>
      <c r="X195" s="118">
        <v>0</v>
      </c>
      <c r="Y195" s="117">
        <v>0</v>
      </c>
      <c r="Z195" s="118">
        <v>0</v>
      </c>
      <c r="AA195" s="118">
        <v>0</v>
      </c>
      <c r="AB195" s="118">
        <v>0</v>
      </c>
      <c r="AC195" s="118">
        <v>0</v>
      </c>
    </row>
    <row r="196" spans="1:29" s="121" customFormat="1" ht="57" customHeight="1" outlineLevel="1" x14ac:dyDescent="0.2">
      <c r="A196" s="115" t="s">
        <v>1287</v>
      </c>
      <c r="B196" s="132" t="s">
        <v>645</v>
      </c>
      <c r="C196" s="78">
        <f t="shared" si="172"/>
        <v>0</v>
      </c>
      <c r="D196" s="96">
        <f t="shared" si="175"/>
        <v>1668</v>
      </c>
      <c r="E196" s="92">
        <v>0</v>
      </c>
      <c r="F196" s="130">
        <f t="shared" si="173"/>
        <v>1668</v>
      </c>
      <c r="G196" s="130">
        <v>0</v>
      </c>
      <c r="H196" s="93">
        <v>1588</v>
      </c>
      <c r="I196" s="93">
        <v>80</v>
      </c>
      <c r="J196" s="78">
        <v>0</v>
      </c>
      <c r="K196" s="118">
        <v>0</v>
      </c>
      <c r="L196" s="118">
        <v>0</v>
      </c>
      <c r="M196" s="118">
        <v>0</v>
      </c>
      <c r="N196" s="118">
        <v>0</v>
      </c>
      <c r="O196" s="117">
        <v>0</v>
      </c>
      <c r="P196" s="118">
        <f t="shared" si="176"/>
        <v>0</v>
      </c>
      <c r="Q196" s="118">
        <v>0</v>
      </c>
      <c r="R196" s="118">
        <v>0</v>
      </c>
      <c r="S196" s="118">
        <v>0</v>
      </c>
      <c r="T196" s="117">
        <v>0</v>
      </c>
      <c r="U196" s="118">
        <v>0</v>
      </c>
      <c r="V196" s="118">
        <v>0</v>
      </c>
      <c r="W196" s="118">
        <v>0</v>
      </c>
      <c r="X196" s="118">
        <v>0</v>
      </c>
      <c r="Y196" s="117">
        <v>0</v>
      </c>
      <c r="Z196" s="118">
        <v>0</v>
      </c>
      <c r="AA196" s="118">
        <v>0</v>
      </c>
      <c r="AB196" s="118">
        <v>0</v>
      </c>
      <c r="AC196" s="118">
        <v>0</v>
      </c>
    </row>
    <row r="197" spans="1:29" s="121" customFormat="1" ht="64.900000000000006" customHeight="1" outlineLevel="1" x14ac:dyDescent="0.2">
      <c r="A197" s="115" t="s">
        <v>1288</v>
      </c>
      <c r="B197" s="132" t="s">
        <v>646</v>
      </c>
      <c r="C197" s="78">
        <f t="shared" si="172"/>
        <v>0</v>
      </c>
      <c r="D197" s="96">
        <f t="shared" si="175"/>
        <v>3481</v>
      </c>
      <c r="E197" s="92">
        <v>0</v>
      </c>
      <c r="F197" s="130">
        <f t="shared" si="173"/>
        <v>3481</v>
      </c>
      <c r="G197" s="130">
        <v>0</v>
      </c>
      <c r="H197" s="93">
        <v>3314</v>
      </c>
      <c r="I197" s="93">
        <v>167</v>
      </c>
      <c r="J197" s="78">
        <v>0</v>
      </c>
      <c r="K197" s="118">
        <v>0</v>
      </c>
      <c r="L197" s="118">
        <v>0</v>
      </c>
      <c r="M197" s="118">
        <v>0</v>
      </c>
      <c r="N197" s="118">
        <v>0</v>
      </c>
      <c r="O197" s="117">
        <v>0</v>
      </c>
      <c r="P197" s="118">
        <f t="shared" si="176"/>
        <v>0</v>
      </c>
      <c r="Q197" s="118">
        <v>0</v>
      </c>
      <c r="R197" s="118">
        <v>0</v>
      </c>
      <c r="S197" s="118">
        <v>0</v>
      </c>
      <c r="T197" s="117">
        <v>0</v>
      </c>
      <c r="U197" s="118">
        <v>0</v>
      </c>
      <c r="V197" s="118">
        <v>0</v>
      </c>
      <c r="W197" s="118">
        <v>0</v>
      </c>
      <c r="X197" s="118">
        <v>0</v>
      </c>
      <c r="Y197" s="117">
        <v>0</v>
      </c>
      <c r="Z197" s="118">
        <v>0</v>
      </c>
      <c r="AA197" s="118">
        <v>0</v>
      </c>
      <c r="AB197" s="118">
        <v>0</v>
      </c>
      <c r="AC197" s="118">
        <v>0</v>
      </c>
    </row>
    <row r="198" spans="1:29" s="121" customFormat="1" ht="37.9" customHeight="1" outlineLevel="1" x14ac:dyDescent="0.2">
      <c r="A198" s="115" t="s">
        <v>1289</v>
      </c>
      <c r="B198" s="132" t="s">
        <v>676</v>
      </c>
      <c r="C198" s="78">
        <f t="shared" si="172"/>
        <v>0</v>
      </c>
      <c r="D198" s="96">
        <f t="shared" si="175"/>
        <v>136</v>
      </c>
      <c r="E198" s="92">
        <v>0</v>
      </c>
      <c r="F198" s="130">
        <f t="shared" si="173"/>
        <v>136</v>
      </c>
      <c r="G198" s="130">
        <v>0</v>
      </c>
      <c r="H198" s="93">
        <v>130</v>
      </c>
      <c r="I198" s="93">
        <v>6</v>
      </c>
      <c r="J198" s="78">
        <v>0</v>
      </c>
      <c r="K198" s="118">
        <v>0</v>
      </c>
      <c r="L198" s="118">
        <v>0</v>
      </c>
      <c r="M198" s="118">
        <v>0</v>
      </c>
      <c r="N198" s="118">
        <v>0</v>
      </c>
      <c r="O198" s="117">
        <v>0</v>
      </c>
      <c r="P198" s="118">
        <f t="shared" si="176"/>
        <v>0</v>
      </c>
      <c r="Q198" s="118">
        <v>0</v>
      </c>
      <c r="R198" s="118">
        <v>0</v>
      </c>
      <c r="S198" s="118">
        <v>0</v>
      </c>
      <c r="T198" s="117">
        <v>0</v>
      </c>
      <c r="U198" s="118">
        <v>0</v>
      </c>
      <c r="V198" s="118">
        <v>0</v>
      </c>
      <c r="W198" s="118">
        <v>0</v>
      </c>
      <c r="X198" s="118">
        <v>0</v>
      </c>
      <c r="Y198" s="117">
        <v>0</v>
      </c>
      <c r="Z198" s="118">
        <v>0</v>
      </c>
      <c r="AA198" s="118">
        <v>0</v>
      </c>
      <c r="AB198" s="118">
        <v>0</v>
      </c>
      <c r="AC198" s="118">
        <v>0</v>
      </c>
    </row>
    <row r="199" spans="1:29" s="121" customFormat="1" ht="85.9" customHeight="1" outlineLevel="1" x14ac:dyDescent="0.2">
      <c r="A199" s="115" t="s">
        <v>1290</v>
      </c>
      <c r="B199" s="132" t="s">
        <v>647</v>
      </c>
      <c r="C199" s="78">
        <f t="shared" si="172"/>
        <v>0</v>
      </c>
      <c r="D199" s="96">
        <f t="shared" si="175"/>
        <v>310</v>
      </c>
      <c r="E199" s="92">
        <v>0</v>
      </c>
      <c r="F199" s="130">
        <f t="shared" si="173"/>
        <v>310</v>
      </c>
      <c r="G199" s="130">
        <v>0</v>
      </c>
      <c r="H199" s="93">
        <v>295</v>
      </c>
      <c r="I199" s="93">
        <v>15</v>
      </c>
      <c r="J199" s="78">
        <v>0</v>
      </c>
      <c r="K199" s="118">
        <v>0</v>
      </c>
      <c r="L199" s="118">
        <v>0</v>
      </c>
      <c r="M199" s="118">
        <v>0</v>
      </c>
      <c r="N199" s="118">
        <v>0</v>
      </c>
      <c r="O199" s="117">
        <v>0</v>
      </c>
      <c r="P199" s="118">
        <f t="shared" si="176"/>
        <v>0</v>
      </c>
      <c r="Q199" s="118">
        <v>0</v>
      </c>
      <c r="R199" s="118">
        <v>0</v>
      </c>
      <c r="S199" s="118">
        <v>0</v>
      </c>
      <c r="T199" s="117">
        <v>0</v>
      </c>
      <c r="U199" s="118">
        <v>0</v>
      </c>
      <c r="V199" s="118">
        <v>0</v>
      </c>
      <c r="W199" s="118">
        <v>0</v>
      </c>
      <c r="X199" s="118">
        <v>0</v>
      </c>
      <c r="Y199" s="117">
        <v>0</v>
      </c>
      <c r="Z199" s="118">
        <v>0</v>
      </c>
      <c r="AA199" s="118">
        <v>0</v>
      </c>
      <c r="AB199" s="118">
        <v>0</v>
      </c>
      <c r="AC199" s="118">
        <v>0</v>
      </c>
    </row>
    <row r="200" spans="1:29" s="121" customFormat="1" ht="87" customHeight="1" outlineLevel="1" x14ac:dyDescent="0.2">
      <c r="A200" s="115" t="s">
        <v>1291</v>
      </c>
      <c r="B200" s="132" t="s">
        <v>648</v>
      </c>
      <c r="C200" s="78">
        <f t="shared" si="172"/>
        <v>0</v>
      </c>
      <c r="D200" s="96">
        <f t="shared" si="175"/>
        <v>1492</v>
      </c>
      <c r="E200" s="92">
        <v>0</v>
      </c>
      <c r="F200" s="130">
        <f t="shared" si="173"/>
        <v>1492</v>
      </c>
      <c r="G200" s="130">
        <v>0</v>
      </c>
      <c r="H200" s="93">
        <v>1420</v>
      </c>
      <c r="I200" s="93">
        <v>72</v>
      </c>
      <c r="J200" s="78">
        <v>0</v>
      </c>
      <c r="K200" s="118">
        <v>0</v>
      </c>
      <c r="L200" s="118">
        <v>0</v>
      </c>
      <c r="M200" s="118">
        <v>0</v>
      </c>
      <c r="N200" s="118">
        <v>0</v>
      </c>
      <c r="O200" s="117">
        <v>0</v>
      </c>
      <c r="P200" s="118">
        <f t="shared" si="176"/>
        <v>0</v>
      </c>
      <c r="Q200" s="118">
        <v>0</v>
      </c>
      <c r="R200" s="118">
        <v>0</v>
      </c>
      <c r="S200" s="118">
        <v>0</v>
      </c>
      <c r="T200" s="117">
        <v>0</v>
      </c>
      <c r="U200" s="118">
        <v>0</v>
      </c>
      <c r="V200" s="118">
        <v>0</v>
      </c>
      <c r="W200" s="118">
        <v>0</v>
      </c>
      <c r="X200" s="118">
        <v>0</v>
      </c>
      <c r="Y200" s="117">
        <v>0</v>
      </c>
      <c r="Z200" s="118">
        <v>0</v>
      </c>
      <c r="AA200" s="118">
        <v>0</v>
      </c>
      <c r="AB200" s="118">
        <v>0</v>
      </c>
      <c r="AC200" s="118">
        <v>0</v>
      </c>
    </row>
    <row r="201" spans="1:29" s="121" customFormat="1" ht="67.900000000000006" customHeight="1" outlineLevel="1" x14ac:dyDescent="0.2">
      <c r="A201" s="115" t="s">
        <v>1292</v>
      </c>
      <c r="B201" s="132" t="s">
        <v>649</v>
      </c>
      <c r="C201" s="78">
        <f t="shared" si="172"/>
        <v>0</v>
      </c>
      <c r="D201" s="96">
        <f t="shared" si="175"/>
        <v>143</v>
      </c>
      <c r="E201" s="92">
        <v>0</v>
      </c>
      <c r="F201" s="130">
        <f t="shared" si="173"/>
        <v>143</v>
      </c>
      <c r="G201" s="130">
        <v>0</v>
      </c>
      <c r="H201" s="93">
        <v>136</v>
      </c>
      <c r="I201" s="93">
        <v>7</v>
      </c>
      <c r="J201" s="78">
        <v>0</v>
      </c>
      <c r="K201" s="118">
        <v>0</v>
      </c>
      <c r="L201" s="118">
        <v>0</v>
      </c>
      <c r="M201" s="118">
        <v>0</v>
      </c>
      <c r="N201" s="118">
        <v>0</v>
      </c>
      <c r="O201" s="117">
        <v>0</v>
      </c>
      <c r="P201" s="118">
        <f t="shared" si="176"/>
        <v>0</v>
      </c>
      <c r="Q201" s="118">
        <v>0</v>
      </c>
      <c r="R201" s="118">
        <v>0</v>
      </c>
      <c r="S201" s="118">
        <v>0</v>
      </c>
      <c r="T201" s="117">
        <v>0</v>
      </c>
      <c r="U201" s="118">
        <v>0</v>
      </c>
      <c r="V201" s="118">
        <v>0</v>
      </c>
      <c r="W201" s="118">
        <v>0</v>
      </c>
      <c r="X201" s="118">
        <v>0</v>
      </c>
      <c r="Y201" s="117">
        <v>0</v>
      </c>
      <c r="Z201" s="118">
        <v>0</v>
      </c>
      <c r="AA201" s="118">
        <v>0</v>
      </c>
      <c r="AB201" s="118">
        <v>0</v>
      </c>
      <c r="AC201" s="118">
        <v>0</v>
      </c>
    </row>
    <row r="202" spans="1:29" s="121" customFormat="1" ht="69" customHeight="1" outlineLevel="1" x14ac:dyDescent="0.2">
      <c r="A202" s="115" t="s">
        <v>1293</v>
      </c>
      <c r="B202" s="132" t="s">
        <v>650</v>
      </c>
      <c r="C202" s="78">
        <f t="shared" si="172"/>
        <v>0</v>
      </c>
      <c r="D202" s="96">
        <f t="shared" si="175"/>
        <v>442</v>
      </c>
      <c r="E202" s="92">
        <v>0</v>
      </c>
      <c r="F202" s="130">
        <f t="shared" si="173"/>
        <v>442</v>
      </c>
      <c r="G202" s="130">
        <v>0</v>
      </c>
      <c r="H202" s="93">
        <v>421</v>
      </c>
      <c r="I202" s="93">
        <v>21</v>
      </c>
      <c r="J202" s="78">
        <v>0</v>
      </c>
      <c r="K202" s="118">
        <v>0</v>
      </c>
      <c r="L202" s="118">
        <v>0</v>
      </c>
      <c r="M202" s="118">
        <v>0</v>
      </c>
      <c r="N202" s="118">
        <v>0</v>
      </c>
      <c r="O202" s="117">
        <v>0</v>
      </c>
      <c r="P202" s="118">
        <f t="shared" si="176"/>
        <v>0</v>
      </c>
      <c r="Q202" s="118">
        <v>0</v>
      </c>
      <c r="R202" s="118">
        <v>0</v>
      </c>
      <c r="S202" s="118">
        <v>0</v>
      </c>
      <c r="T202" s="117">
        <v>0</v>
      </c>
      <c r="U202" s="118">
        <v>0</v>
      </c>
      <c r="V202" s="118">
        <v>0</v>
      </c>
      <c r="W202" s="118">
        <v>0</v>
      </c>
      <c r="X202" s="118">
        <v>0</v>
      </c>
      <c r="Y202" s="117">
        <v>0</v>
      </c>
      <c r="Z202" s="118">
        <v>0</v>
      </c>
      <c r="AA202" s="118">
        <v>0</v>
      </c>
      <c r="AB202" s="118">
        <v>0</v>
      </c>
      <c r="AC202" s="118">
        <v>0</v>
      </c>
    </row>
    <row r="203" spans="1:29" s="121" customFormat="1" ht="88.15" customHeight="1" outlineLevel="1" x14ac:dyDescent="0.2">
      <c r="A203" s="115" t="s">
        <v>1294</v>
      </c>
      <c r="B203" s="132" t="s">
        <v>651</v>
      </c>
      <c r="C203" s="78">
        <f t="shared" si="172"/>
        <v>0</v>
      </c>
      <c r="D203" s="96">
        <f t="shared" si="175"/>
        <v>435</v>
      </c>
      <c r="E203" s="92">
        <v>0</v>
      </c>
      <c r="F203" s="130">
        <f t="shared" si="173"/>
        <v>435</v>
      </c>
      <c r="G203" s="130">
        <v>0</v>
      </c>
      <c r="H203" s="93">
        <v>414</v>
      </c>
      <c r="I203" s="93">
        <v>21</v>
      </c>
      <c r="J203" s="78">
        <v>0</v>
      </c>
      <c r="K203" s="118">
        <v>0</v>
      </c>
      <c r="L203" s="118">
        <v>0</v>
      </c>
      <c r="M203" s="118">
        <v>0</v>
      </c>
      <c r="N203" s="118">
        <v>0</v>
      </c>
      <c r="O203" s="117">
        <v>0</v>
      </c>
      <c r="P203" s="118">
        <f t="shared" si="176"/>
        <v>0</v>
      </c>
      <c r="Q203" s="118">
        <v>0</v>
      </c>
      <c r="R203" s="118">
        <v>0</v>
      </c>
      <c r="S203" s="118">
        <v>0</v>
      </c>
      <c r="T203" s="117">
        <v>0</v>
      </c>
      <c r="U203" s="118">
        <v>0</v>
      </c>
      <c r="V203" s="118">
        <v>0</v>
      </c>
      <c r="W203" s="118">
        <v>0</v>
      </c>
      <c r="X203" s="118">
        <v>0</v>
      </c>
      <c r="Y203" s="117">
        <v>0</v>
      </c>
      <c r="Z203" s="118">
        <v>0</v>
      </c>
      <c r="AA203" s="118">
        <v>0</v>
      </c>
      <c r="AB203" s="118">
        <v>0</v>
      </c>
      <c r="AC203" s="118">
        <v>0</v>
      </c>
    </row>
    <row r="204" spans="1:29" s="121" customFormat="1" ht="90" customHeight="1" outlineLevel="1" x14ac:dyDescent="0.2">
      <c r="A204" s="115" t="s">
        <v>1295</v>
      </c>
      <c r="B204" s="132" t="s">
        <v>652</v>
      </c>
      <c r="C204" s="78">
        <f t="shared" si="172"/>
        <v>0</v>
      </c>
      <c r="D204" s="96">
        <f t="shared" si="175"/>
        <v>269</v>
      </c>
      <c r="E204" s="92">
        <v>0</v>
      </c>
      <c r="F204" s="130">
        <f t="shared" si="173"/>
        <v>269</v>
      </c>
      <c r="G204" s="130">
        <v>0</v>
      </c>
      <c r="H204" s="93">
        <v>256</v>
      </c>
      <c r="I204" s="93">
        <v>13</v>
      </c>
      <c r="J204" s="78">
        <v>0</v>
      </c>
      <c r="K204" s="118">
        <v>0</v>
      </c>
      <c r="L204" s="118">
        <v>0</v>
      </c>
      <c r="M204" s="118">
        <v>0</v>
      </c>
      <c r="N204" s="118">
        <v>0</v>
      </c>
      <c r="O204" s="117">
        <v>0</v>
      </c>
      <c r="P204" s="118">
        <f t="shared" si="176"/>
        <v>0</v>
      </c>
      <c r="Q204" s="118">
        <v>0</v>
      </c>
      <c r="R204" s="118">
        <v>0</v>
      </c>
      <c r="S204" s="118">
        <v>0</v>
      </c>
      <c r="T204" s="117">
        <v>0</v>
      </c>
      <c r="U204" s="118">
        <v>0</v>
      </c>
      <c r="V204" s="118">
        <v>0</v>
      </c>
      <c r="W204" s="118">
        <v>0</v>
      </c>
      <c r="X204" s="118">
        <v>0</v>
      </c>
      <c r="Y204" s="117">
        <v>0</v>
      </c>
      <c r="Z204" s="118">
        <v>0</v>
      </c>
      <c r="AA204" s="118">
        <v>0</v>
      </c>
      <c r="AB204" s="118">
        <v>0</v>
      </c>
      <c r="AC204" s="118">
        <v>0</v>
      </c>
    </row>
    <row r="205" spans="1:29" s="121" customFormat="1" ht="49.9" customHeight="1" outlineLevel="1" x14ac:dyDescent="0.2">
      <c r="A205" s="115" t="s">
        <v>1296</v>
      </c>
      <c r="B205" s="132" t="s">
        <v>653</v>
      </c>
      <c r="C205" s="78">
        <f t="shared" si="172"/>
        <v>0</v>
      </c>
      <c r="D205" s="96">
        <f t="shared" si="175"/>
        <v>207</v>
      </c>
      <c r="E205" s="92">
        <v>0</v>
      </c>
      <c r="F205" s="130">
        <f t="shared" si="173"/>
        <v>207</v>
      </c>
      <c r="G205" s="130">
        <v>0</v>
      </c>
      <c r="H205" s="93">
        <v>197</v>
      </c>
      <c r="I205" s="93">
        <v>10</v>
      </c>
      <c r="J205" s="78">
        <v>0</v>
      </c>
      <c r="K205" s="118">
        <v>0</v>
      </c>
      <c r="L205" s="118">
        <v>0</v>
      </c>
      <c r="M205" s="118">
        <v>0</v>
      </c>
      <c r="N205" s="118">
        <v>0</v>
      </c>
      <c r="O205" s="117">
        <v>0</v>
      </c>
      <c r="P205" s="118">
        <f t="shared" si="176"/>
        <v>0</v>
      </c>
      <c r="Q205" s="118">
        <v>0</v>
      </c>
      <c r="R205" s="118">
        <v>0</v>
      </c>
      <c r="S205" s="118">
        <v>0</v>
      </c>
      <c r="T205" s="117">
        <v>0</v>
      </c>
      <c r="U205" s="118">
        <v>0</v>
      </c>
      <c r="V205" s="118">
        <v>0</v>
      </c>
      <c r="W205" s="118">
        <v>0</v>
      </c>
      <c r="X205" s="118">
        <v>0</v>
      </c>
      <c r="Y205" s="117">
        <v>0</v>
      </c>
      <c r="Z205" s="118">
        <v>0</v>
      </c>
      <c r="AA205" s="118">
        <v>0</v>
      </c>
      <c r="AB205" s="118">
        <v>0</v>
      </c>
      <c r="AC205" s="118">
        <v>0</v>
      </c>
    </row>
    <row r="206" spans="1:29" s="121" customFormat="1" ht="69" customHeight="1" outlineLevel="1" x14ac:dyDescent="0.2">
      <c r="A206" s="115" t="s">
        <v>1297</v>
      </c>
      <c r="B206" s="132" t="s">
        <v>654</v>
      </c>
      <c r="C206" s="78">
        <f t="shared" si="172"/>
        <v>0</v>
      </c>
      <c r="D206" s="96">
        <f t="shared" si="175"/>
        <v>276</v>
      </c>
      <c r="E206" s="92">
        <v>0</v>
      </c>
      <c r="F206" s="130">
        <f t="shared" si="173"/>
        <v>276</v>
      </c>
      <c r="G206" s="130">
        <v>0</v>
      </c>
      <c r="H206" s="93">
        <v>263</v>
      </c>
      <c r="I206" s="93">
        <v>13</v>
      </c>
      <c r="J206" s="78">
        <v>0</v>
      </c>
      <c r="K206" s="118">
        <v>0</v>
      </c>
      <c r="L206" s="118">
        <v>0</v>
      </c>
      <c r="M206" s="118">
        <v>0</v>
      </c>
      <c r="N206" s="118">
        <v>0</v>
      </c>
      <c r="O206" s="117">
        <v>0</v>
      </c>
      <c r="P206" s="118">
        <f t="shared" si="176"/>
        <v>0</v>
      </c>
      <c r="Q206" s="118">
        <v>0</v>
      </c>
      <c r="R206" s="118">
        <v>0</v>
      </c>
      <c r="S206" s="118">
        <v>0</v>
      </c>
      <c r="T206" s="117">
        <v>0</v>
      </c>
      <c r="U206" s="118">
        <v>0</v>
      </c>
      <c r="V206" s="118">
        <v>0</v>
      </c>
      <c r="W206" s="118">
        <v>0</v>
      </c>
      <c r="X206" s="118">
        <v>0</v>
      </c>
      <c r="Y206" s="117">
        <v>0</v>
      </c>
      <c r="Z206" s="118">
        <v>0</v>
      </c>
      <c r="AA206" s="118">
        <v>0</v>
      </c>
      <c r="AB206" s="118">
        <v>0</v>
      </c>
      <c r="AC206" s="118">
        <v>0</v>
      </c>
    </row>
    <row r="207" spans="1:29" s="121" customFormat="1" ht="55.9" customHeight="1" outlineLevel="1" x14ac:dyDescent="0.2">
      <c r="A207" s="115" t="s">
        <v>1298</v>
      </c>
      <c r="B207" s="132" t="s">
        <v>655</v>
      </c>
      <c r="C207" s="78">
        <f t="shared" si="172"/>
        <v>0</v>
      </c>
      <c r="D207" s="96">
        <f t="shared" si="175"/>
        <v>1603</v>
      </c>
      <c r="E207" s="92">
        <v>0</v>
      </c>
      <c r="F207" s="130">
        <f t="shared" si="173"/>
        <v>1603</v>
      </c>
      <c r="G207" s="130">
        <v>0</v>
      </c>
      <c r="H207" s="93">
        <v>1526</v>
      </c>
      <c r="I207" s="93">
        <v>77</v>
      </c>
      <c r="J207" s="78">
        <v>0</v>
      </c>
      <c r="K207" s="118">
        <v>0</v>
      </c>
      <c r="L207" s="118">
        <v>0</v>
      </c>
      <c r="M207" s="118">
        <v>0</v>
      </c>
      <c r="N207" s="118">
        <v>0</v>
      </c>
      <c r="O207" s="117">
        <v>0</v>
      </c>
      <c r="P207" s="118">
        <f t="shared" si="176"/>
        <v>0</v>
      </c>
      <c r="Q207" s="118">
        <v>0</v>
      </c>
      <c r="R207" s="118">
        <v>0</v>
      </c>
      <c r="S207" s="118">
        <v>0</v>
      </c>
      <c r="T207" s="117">
        <v>0</v>
      </c>
      <c r="U207" s="118">
        <v>0</v>
      </c>
      <c r="V207" s="118">
        <v>0</v>
      </c>
      <c r="W207" s="118">
        <v>0</v>
      </c>
      <c r="X207" s="118">
        <v>0</v>
      </c>
      <c r="Y207" s="117">
        <v>0</v>
      </c>
      <c r="Z207" s="118">
        <v>0</v>
      </c>
      <c r="AA207" s="118">
        <v>0</v>
      </c>
      <c r="AB207" s="118">
        <v>0</v>
      </c>
      <c r="AC207" s="118">
        <v>0</v>
      </c>
    </row>
    <row r="208" spans="1:29" s="121" customFormat="1" ht="42" customHeight="1" outlineLevel="1" x14ac:dyDescent="0.2">
      <c r="A208" s="115" t="s">
        <v>1299</v>
      </c>
      <c r="B208" s="132" t="s">
        <v>656</v>
      </c>
      <c r="C208" s="78">
        <f t="shared" si="172"/>
        <v>0</v>
      </c>
      <c r="D208" s="96">
        <f t="shared" si="175"/>
        <v>3493</v>
      </c>
      <c r="E208" s="92">
        <v>0</v>
      </c>
      <c r="F208" s="130">
        <f t="shared" si="173"/>
        <v>3493</v>
      </c>
      <c r="G208" s="130">
        <v>0</v>
      </c>
      <c r="H208" s="93">
        <v>3325</v>
      </c>
      <c r="I208" s="93">
        <v>168</v>
      </c>
      <c r="J208" s="78">
        <v>0</v>
      </c>
      <c r="K208" s="118">
        <v>0</v>
      </c>
      <c r="L208" s="118">
        <v>0</v>
      </c>
      <c r="M208" s="118">
        <v>0</v>
      </c>
      <c r="N208" s="118">
        <v>0</v>
      </c>
      <c r="O208" s="117">
        <v>0</v>
      </c>
      <c r="P208" s="118">
        <f t="shared" si="176"/>
        <v>0</v>
      </c>
      <c r="Q208" s="118">
        <v>0</v>
      </c>
      <c r="R208" s="118">
        <v>0</v>
      </c>
      <c r="S208" s="118">
        <v>0</v>
      </c>
      <c r="T208" s="117">
        <v>0</v>
      </c>
      <c r="U208" s="118">
        <v>0</v>
      </c>
      <c r="V208" s="118">
        <v>0</v>
      </c>
      <c r="W208" s="118">
        <v>0</v>
      </c>
      <c r="X208" s="118">
        <v>0</v>
      </c>
      <c r="Y208" s="117">
        <v>0</v>
      </c>
      <c r="Z208" s="118">
        <v>0</v>
      </c>
      <c r="AA208" s="118">
        <v>0</v>
      </c>
      <c r="AB208" s="118">
        <v>0</v>
      </c>
      <c r="AC208" s="118">
        <v>0</v>
      </c>
    </row>
    <row r="209" spans="1:29" s="121" customFormat="1" ht="82.9" customHeight="1" outlineLevel="1" x14ac:dyDescent="0.2">
      <c r="A209" s="115" t="s">
        <v>1300</v>
      </c>
      <c r="B209" s="132" t="s">
        <v>845</v>
      </c>
      <c r="C209" s="78">
        <f t="shared" si="172"/>
        <v>0</v>
      </c>
      <c r="D209" s="96">
        <f t="shared" si="175"/>
        <v>413</v>
      </c>
      <c r="E209" s="92">
        <v>0</v>
      </c>
      <c r="F209" s="130">
        <f t="shared" si="173"/>
        <v>413</v>
      </c>
      <c r="G209" s="130">
        <v>0</v>
      </c>
      <c r="H209" s="93">
        <v>393</v>
      </c>
      <c r="I209" s="93">
        <v>20</v>
      </c>
      <c r="J209" s="78">
        <v>0</v>
      </c>
      <c r="K209" s="118">
        <v>0</v>
      </c>
      <c r="L209" s="118">
        <v>0</v>
      </c>
      <c r="M209" s="118">
        <v>0</v>
      </c>
      <c r="N209" s="118">
        <v>0</v>
      </c>
      <c r="O209" s="117">
        <v>0</v>
      </c>
      <c r="P209" s="118">
        <f t="shared" si="176"/>
        <v>0</v>
      </c>
      <c r="Q209" s="118">
        <v>0</v>
      </c>
      <c r="R209" s="118">
        <v>0</v>
      </c>
      <c r="S209" s="118">
        <v>0</v>
      </c>
      <c r="T209" s="117">
        <v>0</v>
      </c>
      <c r="U209" s="118">
        <v>0</v>
      </c>
      <c r="V209" s="118">
        <v>0</v>
      </c>
      <c r="W209" s="118">
        <v>0</v>
      </c>
      <c r="X209" s="118">
        <v>0</v>
      </c>
      <c r="Y209" s="117">
        <v>0</v>
      </c>
      <c r="Z209" s="118">
        <v>0</v>
      </c>
      <c r="AA209" s="118">
        <v>0</v>
      </c>
      <c r="AB209" s="118">
        <v>0</v>
      </c>
      <c r="AC209" s="118">
        <v>0</v>
      </c>
    </row>
    <row r="210" spans="1:29" s="121" customFormat="1" ht="84" customHeight="1" outlineLevel="1" x14ac:dyDescent="0.2">
      <c r="A210" s="115" t="s">
        <v>1301</v>
      </c>
      <c r="B210" s="132" t="s">
        <v>657</v>
      </c>
      <c r="C210" s="78">
        <f t="shared" si="172"/>
        <v>0</v>
      </c>
      <c r="D210" s="96">
        <f t="shared" si="175"/>
        <v>1112</v>
      </c>
      <c r="E210" s="92">
        <v>0</v>
      </c>
      <c r="F210" s="130">
        <f t="shared" si="173"/>
        <v>1112</v>
      </c>
      <c r="G210" s="130">
        <v>0</v>
      </c>
      <c r="H210" s="93">
        <v>1059</v>
      </c>
      <c r="I210" s="93">
        <v>53</v>
      </c>
      <c r="J210" s="78">
        <v>0</v>
      </c>
      <c r="K210" s="118">
        <v>0</v>
      </c>
      <c r="L210" s="118">
        <v>0</v>
      </c>
      <c r="M210" s="118">
        <v>0</v>
      </c>
      <c r="N210" s="118">
        <v>0</v>
      </c>
      <c r="O210" s="117">
        <v>0</v>
      </c>
      <c r="P210" s="118">
        <f t="shared" si="176"/>
        <v>0</v>
      </c>
      <c r="Q210" s="118">
        <v>0</v>
      </c>
      <c r="R210" s="118">
        <v>0</v>
      </c>
      <c r="S210" s="118">
        <v>0</v>
      </c>
      <c r="T210" s="117">
        <v>0</v>
      </c>
      <c r="U210" s="118">
        <v>0</v>
      </c>
      <c r="V210" s="118">
        <v>0</v>
      </c>
      <c r="W210" s="118">
        <v>0</v>
      </c>
      <c r="X210" s="118">
        <v>0</v>
      </c>
      <c r="Y210" s="117">
        <v>0</v>
      </c>
      <c r="Z210" s="118">
        <v>0</v>
      </c>
      <c r="AA210" s="118">
        <v>0</v>
      </c>
      <c r="AB210" s="118">
        <v>0</v>
      </c>
      <c r="AC210" s="118">
        <v>0</v>
      </c>
    </row>
    <row r="211" spans="1:29" s="121" customFormat="1" ht="67.900000000000006" customHeight="1" outlineLevel="1" x14ac:dyDescent="0.2">
      <c r="A211" s="115" t="s">
        <v>1302</v>
      </c>
      <c r="B211" s="132" t="s">
        <v>658</v>
      </c>
      <c r="C211" s="78">
        <f t="shared" si="172"/>
        <v>0</v>
      </c>
      <c r="D211" s="96">
        <f t="shared" si="175"/>
        <v>340</v>
      </c>
      <c r="E211" s="92">
        <v>0</v>
      </c>
      <c r="F211" s="130">
        <f t="shared" si="173"/>
        <v>340</v>
      </c>
      <c r="G211" s="130">
        <v>0</v>
      </c>
      <c r="H211" s="93">
        <v>324</v>
      </c>
      <c r="I211" s="93">
        <v>16</v>
      </c>
      <c r="J211" s="78">
        <v>0</v>
      </c>
      <c r="K211" s="118">
        <v>0</v>
      </c>
      <c r="L211" s="118">
        <v>0</v>
      </c>
      <c r="M211" s="118">
        <v>0</v>
      </c>
      <c r="N211" s="118">
        <v>0</v>
      </c>
      <c r="O211" s="117">
        <v>0</v>
      </c>
      <c r="P211" s="118">
        <f t="shared" si="176"/>
        <v>0</v>
      </c>
      <c r="Q211" s="118">
        <v>0</v>
      </c>
      <c r="R211" s="118">
        <v>0</v>
      </c>
      <c r="S211" s="118">
        <v>0</v>
      </c>
      <c r="T211" s="117">
        <v>0</v>
      </c>
      <c r="U211" s="118">
        <v>0</v>
      </c>
      <c r="V211" s="118">
        <v>0</v>
      </c>
      <c r="W211" s="118">
        <v>0</v>
      </c>
      <c r="X211" s="118">
        <v>0</v>
      </c>
      <c r="Y211" s="117">
        <v>0</v>
      </c>
      <c r="Z211" s="118">
        <v>0</v>
      </c>
      <c r="AA211" s="118">
        <v>0</v>
      </c>
      <c r="AB211" s="118">
        <v>0</v>
      </c>
      <c r="AC211" s="118">
        <v>0</v>
      </c>
    </row>
    <row r="212" spans="1:29" s="121" customFormat="1" ht="76.900000000000006" customHeight="1" outlineLevel="1" x14ac:dyDescent="0.2">
      <c r="A212" s="115" t="s">
        <v>1303</v>
      </c>
      <c r="B212" s="132" t="s">
        <v>659</v>
      </c>
      <c r="C212" s="78">
        <f t="shared" si="172"/>
        <v>0</v>
      </c>
      <c r="D212" s="96">
        <f t="shared" si="175"/>
        <v>1050</v>
      </c>
      <c r="E212" s="92">
        <v>0</v>
      </c>
      <c r="F212" s="130">
        <f t="shared" si="173"/>
        <v>1050</v>
      </c>
      <c r="G212" s="130">
        <v>0</v>
      </c>
      <c r="H212" s="93">
        <v>1000</v>
      </c>
      <c r="I212" s="93">
        <v>50</v>
      </c>
      <c r="J212" s="78">
        <v>0</v>
      </c>
      <c r="K212" s="118">
        <v>0</v>
      </c>
      <c r="L212" s="118">
        <v>0</v>
      </c>
      <c r="M212" s="118">
        <v>0</v>
      </c>
      <c r="N212" s="118">
        <v>0</v>
      </c>
      <c r="O212" s="117">
        <v>0</v>
      </c>
      <c r="P212" s="118">
        <f t="shared" si="176"/>
        <v>0</v>
      </c>
      <c r="Q212" s="118">
        <v>0</v>
      </c>
      <c r="R212" s="118">
        <v>0</v>
      </c>
      <c r="S212" s="118">
        <v>0</v>
      </c>
      <c r="T212" s="117">
        <v>0</v>
      </c>
      <c r="U212" s="118">
        <v>0</v>
      </c>
      <c r="V212" s="118">
        <v>0</v>
      </c>
      <c r="W212" s="118">
        <v>0</v>
      </c>
      <c r="X212" s="118">
        <v>0</v>
      </c>
      <c r="Y212" s="117">
        <v>0</v>
      </c>
      <c r="Z212" s="118">
        <v>0</v>
      </c>
      <c r="AA212" s="118">
        <v>0</v>
      </c>
      <c r="AB212" s="118">
        <v>0</v>
      </c>
      <c r="AC212" s="118">
        <v>0</v>
      </c>
    </row>
    <row r="213" spans="1:29" s="121" customFormat="1" ht="60" customHeight="1" outlineLevel="1" x14ac:dyDescent="0.2">
      <c r="A213" s="115" t="s">
        <v>1304</v>
      </c>
      <c r="B213" s="132" t="s">
        <v>660</v>
      </c>
      <c r="C213" s="78">
        <f t="shared" si="172"/>
        <v>0</v>
      </c>
      <c r="D213" s="96">
        <f t="shared" si="175"/>
        <v>452</v>
      </c>
      <c r="E213" s="92">
        <v>0</v>
      </c>
      <c r="F213" s="130">
        <f t="shared" si="173"/>
        <v>452</v>
      </c>
      <c r="G213" s="130">
        <v>0</v>
      </c>
      <c r="H213" s="93">
        <v>430</v>
      </c>
      <c r="I213" s="93">
        <v>22</v>
      </c>
      <c r="J213" s="78">
        <v>0</v>
      </c>
      <c r="K213" s="118">
        <v>0</v>
      </c>
      <c r="L213" s="118">
        <v>0</v>
      </c>
      <c r="M213" s="118">
        <v>0</v>
      </c>
      <c r="N213" s="118">
        <v>0</v>
      </c>
      <c r="O213" s="117">
        <v>0</v>
      </c>
      <c r="P213" s="118">
        <f t="shared" si="176"/>
        <v>0</v>
      </c>
      <c r="Q213" s="118">
        <v>0</v>
      </c>
      <c r="R213" s="118">
        <v>0</v>
      </c>
      <c r="S213" s="118">
        <v>0</v>
      </c>
      <c r="T213" s="117">
        <v>0</v>
      </c>
      <c r="U213" s="118">
        <v>0</v>
      </c>
      <c r="V213" s="118">
        <v>0</v>
      </c>
      <c r="W213" s="118">
        <v>0</v>
      </c>
      <c r="X213" s="118">
        <v>0</v>
      </c>
      <c r="Y213" s="117">
        <v>0</v>
      </c>
      <c r="Z213" s="118">
        <v>0</v>
      </c>
      <c r="AA213" s="118">
        <v>0</v>
      </c>
      <c r="AB213" s="118">
        <v>0</v>
      </c>
      <c r="AC213" s="118">
        <v>0</v>
      </c>
    </row>
    <row r="214" spans="1:29" s="121" customFormat="1" ht="63" customHeight="1" outlineLevel="1" x14ac:dyDescent="0.2">
      <c r="A214" s="115" t="s">
        <v>1305</v>
      </c>
      <c r="B214" s="132" t="s">
        <v>661</v>
      </c>
      <c r="C214" s="78">
        <f t="shared" si="172"/>
        <v>0</v>
      </c>
      <c r="D214" s="96">
        <f t="shared" si="175"/>
        <v>697</v>
      </c>
      <c r="E214" s="92">
        <v>0</v>
      </c>
      <c r="F214" s="130">
        <f t="shared" si="173"/>
        <v>697</v>
      </c>
      <c r="G214" s="130">
        <v>0</v>
      </c>
      <c r="H214" s="93">
        <v>664</v>
      </c>
      <c r="I214" s="93">
        <v>33</v>
      </c>
      <c r="J214" s="78">
        <v>0</v>
      </c>
      <c r="K214" s="118">
        <v>0</v>
      </c>
      <c r="L214" s="118">
        <v>0</v>
      </c>
      <c r="M214" s="118">
        <v>0</v>
      </c>
      <c r="N214" s="118">
        <v>0</v>
      </c>
      <c r="O214" s="117">
        <v>0</v>
      </c>
      <c r="P214" s="118">
        <f t="shared" si="176"/>
        <v>0</v>
      </c>
      <c r="Q214" s="118">
        <v>0</v>
      </c>
      <c r="R214" s="118">
        <v>0</v>
      </c>
      <c r="S214" s="118">
        <v>0</v>
      </c>
      <c r="T214" s="117">
        <v>0</v>
      </c>
      <c r="U214" s="118">
        <v>0</v>
      </c>
      <c r="V214" s="118">
        <v>0</v>
      </c>
      <c r="W214" s="118">
        <v>0</v>
      </c>
      <c r="X214" s="118">
        <v>0</v>
      </c>
      <c r="Y214" s="117">
        <v>0</v>
      </c>
      <c r="Z214" s="118">
        <v>0</v>
      </c>
      <c r="AA214" s="118">
        <v>0</v>
      </c>
      <c r="AB214" s="118">
        <v>0</v>
      </c>
      <c r="AC214" s="118">
        <v>0</v>
      </c>
    </row>
    <row r="215" spans="1:29" s="121" customFormat="1" ht="91.9" customHeight="1" outlineLevel="1" x14ac:dyDescent="0.2">
      <c r="A215" s="115" t="s">
        <v>1306</v>
      </c>
      <c r="B215" s="132" t="s">
        <v>838</v>
      </c>
      <c r="C215" s="78">
        <f t="shared" si="172"/>
        <v>0</v>
      </c>
      <c r="D215" s="96">
        <f t="shared" si="175"/>
        <v>461</v>
      </c>
      <c r="E215" s="92">
        <v>0</v>
      </c>
      <c r="F215" s="130">
        <f t="shared" si="173"/>
        <v>461</v>
      </c>
      <c r="G215" s="130">
        <v>0</v>
      </c>
      <c r="H215" s="93">
        <v>439</v>
      </c>
      <c r="I215" s="93">
        <v>22</v>
      </c>
      <c r="J215" s="78">
        <v>0</v>
      </c>
      <c r="K215" s="118">
        <v>0</v>
      </c>
      <c r="L215" s="118">
        <v>0</v>
      </c>
      <c r="M215" s="118">
        <v>0</v>
      </c>
      <c r="N215" s="118">
        <v>0</v>
      </c>
      <c r="O215" s="117">
        <v>0</v>
      </c>
      <c r="P215" s="118">
        <f t="shared" si="176"/>
        <v>0</v>
      </c>
      <c r="Q215" s="118">
        <v>0</v>
      </c>
      <c r="R215" s="118">
        <v>0</v>
      </c>
      <c r="S215" s="118">
        <v>0</v>
      </c>
      <c r="T215" s="117">
        <v>0</v>
      </c>
      <c r="U215" s="118">
        <v>0</v>
      </c>
      <c r="V215" s="118">
        <v>0</v>
      </c>
      <c r="W215" s="118">
        <v>0</v>
      </c>
      <c r="X215" s="118">
        <v>0</v>
      </c>
      <c r="Y215" s="117">
        <v>0</v>
      </c>
      <c r="Z215" s="118">
        <v>0</v>
      </c>
      <c r="AA215" s="118">
        <v>0</v>
      </c>
      <c r="AB215" s="118">
        <v>0</v>
      </c>
      <c r="AC215" s="118">
        <v>0</v>
      </c>
    </row>
    <row r="216" spans="1:29" s="121" customFormat="1" ht="54.75" customHeight="1" outlineLevel="1" x14ac:dyDescent="0.2">
      <c r="A216" s="115" t="s">
        <v>1307</v>
      </c>
      <c r="B216" s="132" t="s">
        <v>839</v>
      </c>
      <c r="C216" s="78">
        <f t="shared" si="172"/>
        <v>0</v>
      </c>
      <c r="D216" s="96">
        <f t="shared" si="175"/>
        <v>286</v>
      </c>
      <c r="E216" s="92">
        <v>0</v>
      </c>
      <c r="F216" s="130">
        <f t="shared" si="173"/>
        <v>286</v>
      </c>
      <c r="G216" s="130">
        <v>0</v>
      </c>
      <c r="H216" s="93">
        <v>272</v>
      </c>
      <c r="I216" s="93">
        <v>14</v>
      </c>
      <c r="J216" s="78">
        <v>0</v>
      </c>
      <c r="K216" s="118">
        <v>0</v>
      </c>
      <c r="L216" s="118">
        <v>0</v>
      </c>
      <c r="M216" s="118">
        <v>0</v>
      </c>
      <c r="N216" s="118">
        <v>0</v>
      </c>
      <c r="O216" s="117">
        <v>0</v>
      </c>
      <c r="P216" s="118">
        <f t="shared" si="176"/>
        <v>0</v>
      </c>
      <c r="Q216" s="118">
        <v>0</v>
      </c>
      <c r="R216" s="118">
        <v>0</v>
      </c>
      <c r="S216" s="118">
        <v>0</v>
      </c>
      <c r="T216" s="117">
        <v>0</v>
      </c>
      <c r="U216" s="118">
        <v>0</v>
      </c>
      <c r="V216" s="118">
        <v>0</v>
      </c>
      <c r="W216" s="118">
        <v>0</v>
      </c>
      <c r="X216" s="118">
        <v>0</v>
      </c>
      <c r="Y216" s="117">
        <v>0</v>
      </c>
      <c r="Z216" s="118">
        <v>0</v>
      </c>
      <c r="AA216" s="118">
        <v>0</v>
      </c>
      <c r="AB216" s="118">
        <v>0</v>
      </c>
      <c r="AC216" s="118">
        <v>0</v>
      </c>
    </row>
    <row r="217" spans="1:29" s="121" customFormat="1" ht="99" customHeight="1" outlineLevel="1" x14ac:dyDescent="0.2">
      <c r="A217" s="115" t="s">
        <v>1308</v>
      </c>
      <c r="B217" s="132" t="s">
        <v>840</v>
      </c>
      <c r="C217" s="78">
        <f t="shared" si="172"/>
        <v>0</v>
      </c>
      <c r="D217" s="96">
        <f t="shared" si="175"/>
        <v>1349</v>
      </c>
      <c r="E217" s="92">
        <v>0</v>
      </c>
      <c r="F217" s="130">
        <f t="shared" si="173"/>
        <v>1349</v>
      </c>
      <c r="G217" s="130">
        <v>0</v>
      </c>
      <c r="H217" s="93">
        <v>1284</v>
      </c>
      <c r="I217" s="93">
        <v>65</v>
      </c>
      <c r="J217" s="78">
        <v>0</v>
      </c>
      <c r="K217" s="118">
        <v>0</v>
      </c>
      <c r="L217" s="118">
        <v>0</v>
      </c>
      <c r="M217" s="118">
        <v>0</v>
      </c>
      <c r="N217" s="118">
        <v>0</v>
      </c>
      <c r="O217" s="117">
        <v>0</v>
      </c>
      <c r="P217" s="118">
        <f t="shared" si="176"/>
        <v>0</v>
      </c>
      <c r="Q217" s="118">
        <v>0</v>
      </c>
      <c r="R217" s="118">
        <v>0</v>
      </c>
      <c r="S217" s="118">
        <v>0</v>
      </c>
      <c r="T217" s="117">
        <v>0</v>
      </c>
      <c r="U217" s="118">
        <v>0</v>
      </c>
      <c r="V217" s="118">
        <v>0</v>
      </c>
      <c r="W217" s="118">
        <v>0</v>
      </c>
      <c r="X217" s="118">
        <v>0</v>
      </c>
      <c r="Y217" s="117">
        <v>0</v>
      </c>
      <c r="Z217" s="118">
        <v>0</v>
      </c>
      <c r="AA217" s="118">
        <v>0</v>
      </c>
      <c r="AB217" s="118">
        <v>0</v>
      </c>
      <c r="AC217" s="118">
        <v>0</v>
      </c>
    </row>
    <row r="218" spans="1:29" s="121" customFormat="1" ht="69" customHeight="1" outlineLevel="1" x14ac:dyDescent="0.2">
      <c r="A218" s="115" t="s">
        <v>1309</v>
      </c>
      <c r="B218" s="132" t="s">
        <v>662</v>
      </c>
      <c r="C218" s="78">
        <f t="shared" si="172"/>
        <v>0</v>
      </c>
      <c r="D218" s="96">
        <f t="shared" si="175"/>
        <v>142</v>
      </c>
      <c r="E218" s="92">
        <v>0</v>
      </c>
      <c r="F218" s="130">
        <f t="shared" si="173"/>
        <v>142</v>
      </c>
      <c r="G218" s="130">
        <v>0</v>
      </c>
      <c r="H218" s="93">
        <v>135</v>
      </c>
      <c r="I218" s="93">
        <v>7</v>
      </c>
      <c r="J218" s="78">
        <v>0</v>
      </c>
      <c r="K218" s="118">
        <v>0</v>
      </c>
      <c r="L218" s="118">
        <v>0</v>
      </c>
      <c r="M218" s="118">
        <v>0</v>
      </c>
      <c r="N218" s="118">
        <v>0</v>
      </c>
      <c r="O218" s="117">
        <v>0</v>
      </c>
      <c r="P218" s="118">
        <f t="shared" si="176"/>
        <v>0</v>
      </c>
      <c r="Q218" s="118">
        <v>0</v>
      </c>
      <c r="R218" s="118">
        <v>0</v>
      </c>
      <c r="S218" s="118">
        <v>0</v>
      </c>
      <c r="T218" s="117">
        <v>0</v>
      </c>
      <c r="U218" s="118">
        <v>0</v>
      </c>
      <c r="V218" s="118">
        <v>0</v>
      </c>
      <c r="W218" s="118">
        <v>0</v>
      </c>
      <c r="X218" s="118">
        <v>0</v>
      </c>
      <c r="Y218" s="117">
        <v>0</v>
      </c>
      <c r="Z218" s="118">
        <v>0</v>
      </c>
      <c r="AA218" s="118">
        <v>0</v>
      </c>
      <c r="AB218" s="118">
        <v>0</v>
      </c>
      <c r="AC218" s="118">
        <v>0</v>
      </c>
    </row>
    <row r="219" spans="1:29" s="121" customFormat="1" ht="76.900000000000006" customHeight="1" outlineLevel="1" x14ac:dyDescent="0.2">
      <c r="A219" s="115" t="s">
        <v>1310</v>
      </c>
      <c r="B219" s="132" t="s">
        <v>841</v>
      </c>
      <c r="C219" s="78">
        <f t="shared" si="172"/>
        <v>0</v>
      </c>
      <c r="D219" s="96">
        <f t="shared" si="175"/>
        <v>3782</v>
      </c>
      <c r="E219" s="92">
        <v>0</v>
      </c>
      <c r="F219" s="130">
        <f>G219+H219+I219</f>
        <v>3782</v>
      </c>
      <c r="G219" s="130">
        <v>0</v>
      </c>
      <c r="H219" s="93">
        <v>3601</v>
      </c>
      <c r="I219" s="93">
        <v>181</v>
      </c>
      <c r="J219" s="78">
        <v>0</v>
      </c>
      <c r="K219" s="118">
        <v>0</v>
      </c>
      <c r="L219" s="118">
        <v>0</v>
      </c>
      <c r="M219" s="118">
        <v>0</v>
      </c>
      <c r="N219" s="118">
        <v>0</v>
      </c>
      <c r="O219" s="117">
        <v>0</v>
      </c>
      <c r="P219" s="118">
        <f t="shared" si="176"/>
        <v>0</v>
      </c>
      <c r="Q219" s="118">
        <v>0</v>
      </c>
      <c r="R219" s="118">
        <v>0</v>
      </c>
      <c r="S219" s="118">
        <v>0</v>
      </c>
      <c r="T219" s="117">
        <v>0</v>
      </c>
      <c r="U219" s="118">
        <v>0</v>
      </c>
      <c r="V219" s="118">
        <v>0</v>
      </c>
      <c r="W219" s="118">
        <v>0</v>
      </c>
      <c r="X219" s="118">
        <v>0</v>
      </c>
      <c r="Y219" s="117">
        <v>0</v>
      </c>
      <c r="Z219" s="118">
        <v>0</v>
      </c>
      <c r="AA219" s="118">
        <v>0</v>
      </c>
      <c r="AB219" s="118">
        <v>0</v>
      </c>
      <c r="AC219" s="118">
        <v>0</v>
      </c>
    </row>
    <row r="220" spans="1:29" s="121" customFormat="1" ht="75" customHeight="1" outlineLevel="1" x14ac:dyDescent="0.2">
      <c r="A220" s="115" t="s">
        <v>1311</v>
      </c>
      <c r="B220" s="132" t="s">
        <v>663</v>
      </c>
      <c r="C220" s="78">
        <f t="shared" si="172"/>
        <v>0</v>
      </c>
      <c r="D220" s="96">
        <f t="shared" si="175"/>
        <v>3661</v>
      </c>
      <c r="E220" s="92">
        <v>0</v>
      </c>
      <c r="F220" s="130">
        <f t="shared" si="173"/>
        <v>3661</v>
      </c>
      <c r="G220" s="130">
        <v>0</v>
      </c>
      <c r="H220" s="93">
        <v>3485</v>
      </c>
      <c r="I220" s="93">
        <v>176</v>
      </c>
      <c r="J220" s="78">
        <v>0</v>
      </c>
      <c r="K220" s="118">
        <v>0</v>
      </c>
      <c r="L220" s="118">
        <v>0</v>
      </c>
      <c r="M220" s="118">
        <v>0</v>
      </c>
      <c r="N220" s="118">
        <v>0</v>
      </c>
      <c r="O220" s="117">
        <v>0</v>
      </c>
      <c r="P220" s="118">
        <f t="shared" si="176"/>
        <v>0</v>
      </c>
      <c r="Q220" s="118">
        <v>0</v>
      </c>
      <c r="R220" s="118">
        <v>0</v>
      </c>
      <c r="S220" s="118">
        <v>0</v>
      </c>
      <c r="T220" s="117">
        <v>0</v>
      </c>
      <c r="U220" s="118">
        <v>0</v>
      </c>
      <c r="V220" s="118">
        <v>0</v>
      </c>
      <c r="W220" s="118">
        <v>0</v>
      </c>
      <c r="X220" s="118">
        <v>0</v>
      </c>
      <c r="Y220" s="117">
        <v>0</v>
      </c>
      <c r="Z220" s="118">
        <v>0</v>
      </c>
      <c r="AA220" s="118">
        <v>0</v>
      </c>
      <c r="AB220" s="118">
        <v>0</v>
      </c>
      <c r="AC220" s="118">
        <v>0</v>
      </c>
    </row>
    <row r="221" spans="1:29" s="121" customFormat="1" ht="81" customHeight="1" outlineLevel="1" x14ac:dyDescent="0.2">
      <c r="A221" s="115" t="s">
        <v>1312</v>
      </c>
      <c r="B221" s="132" t="s">
        <v>842</v>
      </c>
      <c r="C221" s="78">
        <f t="shared" si="172"/>
        <v>0</v>
      </c>
      <c r="D221" s="96">
        <f t="shared" si="175"/>
        <v>1132</v>
      </c>
      <c r="E221" s="92">
        <v>0</v>
      </c>
      <c r="F221" s="130">
        <f t="shared" si="173"/>
        <v>1132</v>
      </c>
      <c r="G221" s="130">
        <v>0</v>
      </c>
      <c r="H221" s="93">
        <v>1078</v>
      </c>
      <c r="I221" s="93">
        <v>54</v>
      </c>
      <c r="J221" s="78">
        <v>0</v>
      </c>
      <c r="K221" s="118">
        <v>0</v>
      </c>
      <c r="L221" s="118">
        <v>0</v>
      </c>
      <c r="M221" s="118">
        <v>0</v>
      </c>
      <c r="N221" s="118">
        <v>0</v>
      </c>
      <c r="O221" s="117">
        <v>0</v>
      </c>
      <c r="P221" s="118">
        <f t="shared" si="176"/>
        <v>0</v>
      </c>
      <c r="Q221" s="118">
        <v>0</v>
      </c>
      <c r="R221" s="118">
        <v>0</v>
      </c>
      <c r="S221" s="118">
        <v>0</v>
      </c>
      <c r="T221" s="117">
        <v>0</v>
      </c>
      <c r="U221" s="118">
        <v>0</v>
      </c>
      <c r="V221" s="118">
        <v>0</v>
      </c>
      <c r="W221" s="118">
        <v>0</v>
      </c>
      <c r="X221" s="118">
        <v>0</v>
      </c>
      <c r="Y221" s="117">
        <v>0</v>
      </c>
      <c r="Z221" s="118">
        <v>0</v>
      </c>
      <c r="AA221" s="118">
        <v>0</v>
      </c>
      <c r="AB221" s="118">
        <v>0</v>
      </c>
      <c r="AC221" s="118">
        <v>0</v>
      </c>
    </row>
    <row r="222" spans="1:29" s="121" customFormat="1" ht="69.599999999999994" customHeight="1" outlineLevel="1" x14ac:dyDescent="0.2">
      <c r="A222" s="115" t="s">
        <v>1313</v>
      </c>
      <c r="B222" s="132" t="s">
        <v>664</v>
      </c>
      <c r="C222" s="78">
        <f t="shared" si="172"/>
        <v>0</v>
      </c>
      <c r="D222" s="96">
        <f t="shared" si="175"/>
        <v>1475</v>
      </c>
      <c r="E222" s="92">
        <v>0</v>
      </c>
      <c r="F222" s="130">
        <f>G222+H222+I222</f>
        <v>1475</v>
      </c>
      <c r="G222" s="130">
        <v>0</v>
      </c>
      <c r="H222" s="93">
        <v>1404</v>
      </c>
      <c r="I222" s="93">
        <v>71</v>
      </c>
      <c r="J222" s="78">
        <v>0</v>
      </c>
      <c r="K222" s="118">
        <v>0</v>
      </c>
      <c r="L222" s="118">
        <v>0</v>
      </c>
      <c r="M222" s="118">
        <v>0</v>
      </c>
      <c r="N222" s="118">
        <v>0</v>
      </c>
      <c r="O222" s="117">
        <v>0</v>
      </c>
      <c r="P222" s="118">
        <f t="shared" si="176"/>
        <v>0</v>
      </c>
      <c r="Q222" s="118">
        <v>0</v>
      </c>
      <c r="R222" s="118">
        <v>0</v>
      </c>
      <c r="S222" s="118">
        <v>0</v>
      </c>
      <c r="T222" s="117">
        <v>0</v>
      </c>
      <c r="U222" s="118">
        <v>0</v>
      </c>
      <c r="V222" s="118">
        <v>0</v>
      </c>
      <c r="W222" s="118">
        <v>0</v>
      </c>
      <c r="X222" s="118">
        <v>0</v>
      </c>
      <c r="Y222" s="117">
        <v>0</v>
      </c>
      <c r="Z222" s="118">
        <v>0</v>
      </c>
      <c r="AA222" s="118">
        <v>0</v>
      </c>
      <c r="AB222" s="118">
        <v>0</v>
      </c>
      <c r="AC222" s="118">
        <v>0</v>
      </c>
    </row>
    <row r="223" spans="1:29" s="121" customFormat="1" ht="57" customHeight="1" outlineLevel="1" x14ac:dyDescent="0.2">
      <c r="A223" s="115" t="s">
        <v>1314</v>
      </c>
      <c r="B223" s="132" t="s">
        <v>665</v>
      </c>
      <c r="C223" s="78">
        <f t="shared" si="172"/>
        <v>0</v>
      </c>
      <c r="D223" s="96">
        <f t="shared" si="175"/>
        <v>1148</v>
      </c>
      <c r="E223" s="92">
        <v>0</v>
      </c>
      <c r="F223" s="130">
        <f>G223+H223+I223</f>
        <v>1148</v>
      </c>
      <c r="G223" s="130">
        <v>0</v>
      </c>
      <c r="H223" s="93">
        <v>1093</v>
      </c>
      <c r="I223" s="93">
        <v>55</v>
      </c>
      <c r="J223" s="78">
        <v>0</v>
      </c>
      <c r="K223" s="118">
        <v>0</v>
      </c>
      <c r="L223" s="118">
        <v>0</v>
      </c>
      <c r="M223" s="118">
        <v>0</v>
      </c>
      <c r="N223" s="118">
        <v>0</v>
      </c>
      <c r="O223" s="117">
        <v>0</v>
      </c>
      <c r="P223" s="118">
        <f t="shared" si="176"/>
        <v>0</v>
      </c>
      <c r="Q223" s="118">
        <v>0</v>
      </c>
      <c r="R223" s="118">
        <v>0</v>
      </c>
      <c r="S223" s="118">
        <v>0</v>
      </c>
      <c r="T223" s="117">
        <v>0</v>
      </c>
      <c r="U223" s="118">
        <v>0</v>
      </c>
      <c r="V223" s="118">
        <v>0</v>
      </c>
      <c r="W223" s="118">
        <v>0</v>
      </c>
      <c r="X223" s="118">
        <v>0</v>
      </c>
      <c r="Y223" s="117">
        <v>0</v>
      </c>
      <c r="Z223" s="118">
        <v>0</v>
      </c>
      <c r="AA223" s="118">
        <v>0</v>
      </c>
      <c r="AB223" s="118">
        <v>0</v>
      </c>
      <c r="AC223" s="118">
        <v>0</v>
      </c>
    </row>
    <row r="224" spans="1:29" s="121" customFormat="1" ht="63" customHeight="1" outlineLevel="1" x14ac:dyDescent="0.2">
      <c r="A224" s="115" t="s">
        <v>1315</v>
      </c>
      <c r="B224" s="132" t="s">
        <v>843</v>
      </c>
      <c r="C224" s="78">
        <f t="shared" si="172"/>
        <v>0</v>
      </c>
      <c r="D224" s="96">
        <f t="shared" si="175"/>
        <v>828</v>
      </c>
      <c r="E224" s="92">
        <v>0</v>
      </c>
      <c r="F224" s="130">
        <f t="shared" si="173"/>
        <v>828</v>
      </c>
      <c r="G224" s="130">
        <v>0</v>
      </c>
      <c r="H224" s="93">
        <v>788</v>
      </c>
      <c r="I224" s="93">
        <v>40</v>
      </c>
      <c r="J224" s="78">
        <v>0</v>
      </c>
      <c r="K224" s="118">
        <v>0</v>
      </c>
      <c r="L224" s="118">
        <v>0</v>
      </c>
      <c r="M224" s="118">
        <v>0</v>
      </c>
      <c r="N224" s="118">
        <v>0</v>
      </c>
      <c r="O224" s="117">
        <v>0</v>
      </c>
      <c r="P224" s="118">
        <f t="shared" si="176"/>
        <v>0</v>
      </c>
      <c r="Q224" s="118">
        <v>0</v>
      </c>
      <c r="R224" s="118">
        <v>0</v>
      </c>
      <c r="S224" s="118">
        <v>0</v>
      </c>
      <c r="T224" s="117">
        <v>0</v>
      </c>
      <c r="U224" s="118">
        <v>0</v>
      </c>
      <c r="V224" s="118">
        <v>0</v>
      </c>
      <c r="W224" s="118">
        <v>0</v>
      </c>
      <c r="X224" s="118">
        <v>0</v>
      </c>
      <c r="Y224" s="117">
        <v>0</v>
      </c>
      <c r="Z224" s="118">
        <v>0</v>
      </c>
      <c r="AA224" s="118">
        <v>0</v>
      </c>
      <c r="AB224" s="118">
        <v>0</v>
      </c>
      <c r="AC224" s="118">
        <v>0</v>
      </c>
    </row>
    <row r="225" spans="1:29" s="121" customFormat="1" ht="115.9" customHeight="1" outlineLevel="1" x14ac:dyDescent="0.2">
      <c r="A225" s="115" t="s">
        <v>1316</v>
      </c>
      <c r="B225" s="132" t="s">
        <v>666</v>
      </c>
      <c r="C225" s="78">
        <f t="shared" si="172"/>
        <v>0</v>
      </c>
      <c r="D225" s="96">
        <f t="shared" si="175"/>
        <v>5055</v>
      </c>
      <c r="E225" s="92">
        <v>0</v>
      </c>
      <c r="F225" s="130">
        <f t="shared" si="173"/>
        <v>5055</v>
      </c>
      <c r="G225" s="130">
        <v>0</v>
      </c>
      <c r="H225" s="93">
        <v>4812</v>
      </c>
      <c r="I225" s="93">
        <v>243</v>
      </c>
      <c r="J225" s="78">
        <v>0</v>
      </c>
      <c r="K225" s="118">
        <v>0</v>
      </c>
      <c r="L225" s="118">
        <v>0</v>
      </c>
      <c r="M225" s="118">
        <v>0</v>
      </c>
      <c r="N225" s="118">
        <v>0</v>
      </c>
      <c r="O225" s="117">
        <v>0</v>
      </c>
      <c r="P225" s="118">
        <f t="shared" si="176"/>
        <v>0</v>
      </c>
      <c r="Q225" s="118">
        <v>0</v>
      </c>
      <c r="R225" s="118">
        <v>0</v>
      </c>
      <c r="S225" s="118">
        <v>0</v>
      </c>
      <c r="T225" s="117">
        <v>0</v>
      </c>
      <c r="U225" s="118">
        <v>0</v>
      </c>
      <c r="V225" s="118">
        <v>0</v>
      </c>
      <c r="W225" s="118">
        <v>0</v>
      </c>
      <c r="X225" s="118">
        <v>0</v>
      </c>
      <c r="Y225" s="117">
        <v>0</v>
      </c>
      <c r="Z225" s="118">
        <v>0</v>
      </c>
      <c r="AA225" s="118">
        <v>0</v>
      </c>
      <c r="AB225" s="118">
        <v>0</v>
      </c>
      <c r="AC225" s="118">
        <v>0</v>
      </c>
    </row>
    <row r="226" spans="1:29" s="121" customFormat="1" ht="99.75" customHeight="1" outlineLevel="1" x14ac:dyDescent="0.2">
      <c r="A226" s="115" t="s">
        <v>1317</v>
      </c>
      <c r="B226" s="132" t="s">
        <v>844</v>
      </c>
      <c r="C226" s="78">
        <f t="shared" si="172"/>
        <v>0</v>
      </c>
      <c r="D226" s="96">
        <f t="shared" si="175"/>
        <v>897</v>
      </c>
      <c r="E226" s="92">
        <v>0</v>
      </c>
      <c r="F226" s="130">
        <f t="shared" si="173"/>
        <v>897</v>
      </c>
      <c r="G226" s="130">
        <v>0</v>
      </c>
      <c r="H226" s="93">
        <v>854</v>
      </c>
      <c r="I226" s="93">
        <v>43</v>
      </c>
      <c r="J226" s="78">
        <v>0</v>
      </c>
      <c r="K226" s="118">
        <v>0</v>
      </c>
      <c r="L226" s="118">
        <v>0</v>
      </c>
      <c r="M226" s="118">
        <v>0</v>
      </c>
      <c r="N226" s="118">
        <v>0</v>
      </c>
      <c r="O226" s="117">
        <v>0</v>
      </c>
      <c r="P226" s="118">
        <f t="shared" si="176"/>
        <v>0</v>
      </c>
      <c r="Q226" s="118">
        <v>0</v>
      </c>
      <c r="R226" s="118">
        <v>0</v>
      </c>
      <c r="S226" s="118">
        <v>0</v>
      </c>
      <c r="T226" s="117">
        <v>0</v>
      </c>
      <c r="U226" s="118">
        <v>0</v>
      </c>
      <c r="V226" s="118">
        <v>0</v>
      </c>
      <c r="W226" s="118">
        <v>0</v>
      </c>
      <c r="X226" s="118">
        <v>0</v>
      </c>
      <c r="Y226" s="117">
        <v>0</v>
      </c>
      <c r="Z226" s="118">
        <v>0</v>
      </c>
      <c r="AA226" s="118">
        <v>0</v>
      </c>
      <c r="AB226" s="118">
        <v>0</v>
      </c>
      <c r="AC226" s="118">
        <v>0</v>
      </c>
    </row>
    <row r="227" spans="1:29" s="121" customFormat="1" ht="106.9" customHeight="1" outlineLevel="1" x14ac:dyDescent="0.2">
      <c r="A227" s="115" t="s">
        <v>1318</v>
      </c>
      <c r="B227" s="132" t="s">
        <v>667</v>
      </c>
      <c r="C227" s="78">
        <f t="shared" si="172"/>
        <v>0</v>
      </c>
      <c r="D227" s="96">
        <f t="shared" si="175"/>
        <v>551</v>
      </c>
      <c r="E227" s="92">
        <v>0</v>
      </c>
      <c r="F227" s="130">
        <f>G227+H227+I227</f>
        <v>551</v>
      </c>
      <c r="G227" s="130">
        <v>0</v>
      </c>
      <c r="H227" s="93">
        <v>525</v>
      </c>
      <c r="I227" s="93">
        <v>26</v>
      </c>
      <c r="J227" s="78">
        <v>0</v>
      </c>
      <c r="K227" s="118">
        <v>0</v>
      </c>
      <c r="L227" s="118">
        <v>0</v>
      </c>
      <c r="M227" s="118">
        <v>0</v>
      </c>
      <c r="N227" s="118">
        <v>0</v>
      </c>
      <c r="O227" s="117">
        <v>0</v>
      </c>
      <c r="P227" s="118">
        <f t="shared" si="176"/>
        <v>0</v>
      </c>
      <c r="Q227" s="118">
        <v>0</v>
      </c>
      <c r="R227" s="118">
        <v>0</v>
      </c>
      <c r="S227" s="118">
        <v>0</v>
      </c>
      <c r="T227" s="117">
        <v>0</v>
      </c>
      <c r="U227" s="118">
        <v>0</v>
      </c>
      <c r="V227" s="118">
        <v>0</v>
      </c>
      <c r="W227" s="118">
        <v>0</v>
      </c>
      <c r="X227" s="118">
        <v>0</v>
      </c>
      <c r="Y227" s="117">
        <v>0</v>
      </c>
      <c r="Z227" s="118">
        <v>0</v>
      </c>
      <c r="AA227" s="118">
        <v>0</v>
      </c>
      <c r="AB227" s="118">
        <v>0</v>
      </c>
      <c r="AC227" s="118">
        <v>0</v>
      </c>
    </row>
    <row r="228" spans="1:29" s="121" customFormat="1" ht="39" customHeight="1" outlineLevel="1" x14ac:dyDescent="0.2">
      <c r="A228" s="115" t="s">
        <v>1319</v>
      </c>
      <c r="B228" s="132" t="s">
        <v>669</v>
      </c>
      <c r="C228" s="78">
        <f>E228+J228+O228+T228+Y228</f>
        <v>0</v>
      </c>
      <c r="D228" s="96">
        <f>F228+K228+P228+U228+Z228</f>
        <v>221</v>
      </c>
      <c r="E228" s="92">
        <v>0</v>
      </c>
      <c r="F228" s="130">
        <f>G228+H228+I228</f>
        <v>221</v>
      </c>
      <c r="G228" s="130">
        <v>0</v>
      </c>
      <c r="H228" s="93">
        <v>210</v>
      </c>
      <c r="I228" s="93">
        <v>11</v>
      </c>
      <c r="J228" s="78">
        <v>0</v>
      </c>
      <c r="K228" s="118">
        <v>0</v>
      </c>
      <c r="L228" s="118">
        <v>0</v>
      </c>
      <c r="M228" s="118">
        <v>0</v>
      </c>
      <c r="N228" s="118">
        <v>0</v>
      </c>
      <c r="O228" s="117">
        <v>0</v>
      </c>
      <c r="P228" s="118">
        <f>S228</f>
        <v>0</v>
      </c>
      <c r="Q228" s="118">
        <v>0</v>
      </c>
      <c r="R228" s="118">
        <v>0</v>
      </c>
      <c r="S228" s="118">
        <v>0</v>
      </c>
      <c r="T228" s="117">
        <v>0</v>
      </c>
      <c r="U228" s="118">
        <v>0</v>
      </c>
      <c r="V228" s="118">
        <v>0</v>
      </c>
      <c r="W228" s="118">
        <v>0</v>
      </c>
      <c r="X228" s="118">
        <v>0</v>
      </c>
      <c r="Y228" s="117">
        <v>0</v>
      </c>
      <c r="Z228" s="118">
        <v>0</v>
      </c>
      <c r="AA228" s="118">
        <v>0</v>
      </c>
      <c r="AB228" s="118">
        <v>0</v>
      </c>
      <c r="AC228" s="118">
        <v>0</v>
      </c>
    </row>
    <row r="229" spans="1:29" s="121" customFormat="1" ht="105" customHeight="1" outlineLevel="1" x14ac:dyDescent="0.2">
      <c r="A229" s="115" t="s">
        <v>1320</v>
      </c>
      <c r="B229" s="132" t="s">
        <v>673</v>
      </c>
      <c r="C229" s="78">
        <f>E229+J229+O229+T229+Y229</f>
        <v>0</v>
      </c>
      <c r="D229" s="96">
        <f>F229+K229+P229+U229+Z229</f>
        <v>1624</v>
      </c>
      <c r="E229" s="92">
        <v>0</v>
      </c>
      <c r="F229" s="130">
        <f>G229+H229+I229</f>
        <v>1624</v>
      </c>
      <c r="G229" s="130">
        <v>0</v>
      </c>
      <c r="H229" s="93">
        <v>1546</v>
      </c>
      <c r="I229" s="93">
        <v>78</v>
      </c>
      <c r="J229" s="78">
        <v>0</v>
      </c>
      <c r="K229" s="118">
        <v>0</v>
      </c>
      <c r="L229" s="118">
        <v>0</v>
      </c>
      <c r="M229" s="118">
        <v>0</v>
      </c>
      <c r="N229" s="118">
        <v>0</v>
      </c>
      <c r="O229" s="117">
        <v>0</v>
      </c>
      <c r="P229" s="118">
        <f>S229</f>
        <v>0</v>
      </c>
      <c r="Q229" s="118">
        <v>0</v>
      </c>
      <c r="R229" s="118">
        <v>0</v>
      </c>
      <c r="S229" s="118">
        <v>0</v>
      </c>
      <c r="T229" s="117">
        <v>0</v>
      </c>
      <c r="U229" s="118">
        <v>0</v>
      </c>
      <c r="V229" s="118">
        <v>0</v>
      </c>
      <c r="W229" s="118">
        <v>0</v>
      </c>
      <c r="X229" s="118">
        <v>0</v>
      </c>
      <c r="Y229" s="117">
        <v>0</v>
      </c>
      <c r="Z229" s="118">
        <v>0</v>
      </c>
      <c r="AA229" s="118">
        <v>0</v>
      </c>
      <c r="AB229" s="118">
        <v>0</v>
      </c>
      <c r="AC229" s="118">
        <v>0</v>
      </c>
    </row>
    <row r="230" spans="1:29" s="121" customFormat="1" ht="57" customHeight="1" outlineLevel="1" x14ac:dyDescent="0.2">
      <c r="A230" s="115" t="s">
        <v>1321</v>
      </c>
      <c r="B230" s="132" t="s">
        <v>668</v>
      </c>
      <c r="C230" s="78">
        <f t="shared" ref="C230:C234" si="177">E230+J230+O230+T230+Y230</f>
        <v>0</v>
      </c>
      <c r="D230" s="96">
        <f t="shared" si="175"/>
        <v>164</v>
      </c>
      <c r="E230" s="92">
        <v>0</v>
      </c>
      <c r="F230" s="130">
        <f t="shared" ref="F230:F234" si="178">G230+H230+I230</f>
        <v>164</v>
      </c>
      <c r="G230" s="130">
        <v>0</v>
      </c>
      <c r="H230" s="93">
        <v>156</v>
      </c>
      <c r="I230" s="93">
        <v>8</v>
      </c>
      <c r="J230" s="78">
        <v>0</v>
      </c>
      <c r="K230" s="118">
        <v>0</v>
      </c>
      <c r="L230" s="118">
        <v>0</v>
      </c>
      <c r="M230" s="118">
        <v>0</v>
      </c>
      <c r="N230" s="118">
        <v>0</v>
      </c>
      <c r="O230" s="117">
        <v>0</v>
      </c>
      <c r="P230" s="118">
        <f t="shared" si="176"/>
        <v>0</v>
      </c>
      <c r="Q230" s="118">
        <v>0</v>
      </c>
      <c r="R230" s="118">
        <v>0</v>
      </c>
      <c r="S230" s="118">
        <v>0</v>
      </c>
      <c r="T230" s="117">
        <v>0</v>
      </c>
      <c r="U230" s="118">
        <v>0</v>
      </c>
      <c r="V230" s="118">
        <v>0</v>
      </c>
      <c r="W230" s="118">
        <v>0</v>
      </c>
      <c r="X230" s="118">
        <v>0</v>
      </c>
      <c r="Y230" s="117">
        <v>0</v>
      </c>
      <c r="Z230" s="118">
        <v>0</v>
      </c>
      <c r="AA230" s="118">
        <v>0</v>
      </c>
      <c r="AB230" s="118">
        <v>0</v>
      </c>
      <c r="AC230" s="118">
        <v>0</v>
      </c>
    </row>
    <row r="231" spans="1:29" s="121" customFormat="1" ht="49.9" customHeight="1" outlineLevel="1" x14ac:dyDescent="0.2">
      <c r="A231" s="115" t="s">
        <v>1322</v>
      </c>
      <c r="B231" s="132" t="s">
        <v>670</v>
      </c>
      <c r="C231" s="78">
        <f t="shared" si="177"/>
        <v>0</v>
      </c>
      <c r="D231" s="96">
        <f t="shared" ref="D231:D234" si="179">F231+K231+P231+U231+Z231</f>
        <v>108</v>
      </c>
      <c r="E231" s="92">
        <v>0</v>
      </c>
      <c r="F231" s="130">
        <f t="shared" si="178"/>
        <v>108</v>
      </c>
      <c r="G231" s="130">
        <v>0</v>
      </c>
      <c r="H231" s="93">
        <v>102</v>
      </c>
      <c r="I231" s="93">
        <v>6</v>
      </c>
      <c r="J231" s="78">
        <v>0</v>
      </c>
      <c r="K231" s="118">
        <v>0</v>
      </c>
      <c r="L231" s="118">
        <v>0</v>
      </c>
      <c r="M231" s="118">
        <v>0</v>
      </c>
      <c r="N231" s="118">
        <v>0</v>
      </c>
      <c r="O231" s="117">
        <v>0</v>
      </c>
      <c r="P231" s="118">
        <f t="shared" ref="P231:P234" si="180">S231</f>
        <v>0</v>
      </c>
      <c r="Q231" s="118">
        <v>0</v>
      </c>
      <c r="R231" s="118">
        <v>0</v>
      </c>
      <c r="S231" s="118">
        <v>0</v>
      </c>
      <c r="T231" s="117">
        <v>0</v>
      </c>
      <c r="U231" s="118">
        <v>0</v>
      </c>
      <c r="V231" s="118">
        <v>0</v>
      </c>
      <c r="W231" s="118">
        <v>0</v>
      </c>
      <c r="X231" s="118">
        <v>0</v>
      </c>
      <c r="Y231" s="117">
        <v>0</v>
      </c>
      <c r="Z231" s="118">
        <v>0</v>
      </c>
      <c r="AA231" s="118">
        <v>0</v>
      </c>
      <c r="AB231" s="118">
        <v>0</v>
      </c>
      <c r="AC231" s="118">
        <v>0</v>
      </c>
    </row>
    <row r="232" spans="1:29" s="121" customFormat="1" ht="52.9" customHeight="1" outlineLevel="1" x14ac:dyDescent="0.2">
      <c r="A232" s="115" t="s">
        <v>1323</v>
      </c>
      <c r="B232" s="132" t="s">
        <v>671</v>
      </c>
      <c r="C232" s="78">
        <f t="shared" si="177"/>
        <v>0</v>
      </c>
      <c r="D232" s="96">
        <f t="shared" si="179"/>
        <v>398</v>
      </c>
      <c r="E232" s="92">
        <v>0</v>
      </c>
      <c r="F232" s="130">
        <f t="shared" si="178"/>
        <v>398</v>
      </c>
      <c r="G232" s="130">
        <v>0</v>
      </c>
      <c r="H232" s="93">
        <v>379</v>
      </c>
      <c r="I232" s="93">
        <v>19</v>
      </c>
      <c r="J232" s="78">
        <v>0</v>
      </c>
      <c r="K232" s="118">
        <v>0</v>
      </c>
      <c r="L232" s="118">
        <v>0</v>
      </c>
      <c r="M232" s="118">
        <v>0</v>
      </c>
      <c r="N232" s="118">
        <v>0</v>
      </c>
      <c r="O232" s="117">
        <v>0</v>
      </c>
      <c r="P232" s="118">
        <f t="shared" si="180"/>
        <v>0</v>
      </c>
      <c r="Q232" s="118">
        <v>0</v>
      </c>
      <c r="R232" s="118">
        <v>0</v>
      </c>
      <c r="S232" s="118">
        <v>0</v>
      </c>
      <c r="T232" s="117">
        <v>0</v>
      </c>
      <c r="U232" s="118">
        <v>0</v>
      </c>
      <c r="V232" s="118">
        <v>0</v>
      </c>
      <c r="W232" s="118">
        <v>0</v>
      </c>
      <c r="X232" s="118">
        <v>0</v>
      </c>
      <c r="Y232" s="117">
        <v>0</v>
      </c>
      <c r="Z232" s="118">
        <v>0</v>
      </c>
      <c r="AA232" s="118">
        <v>0</v>
      </c>
      <c r="AB232" s="118">
        <v>0</v>
      </c>
      <c r="AC232" s="118">
        <v>0</v>
      </c>
    </row>
    <row r="233" spans="1:29" s="121" customFormat="1" ht="49.9" customHeight="1" outlineLevel="1" x14ac:dyDescent="0.2">
      <c r="A233" s="115" t="s">
        <v>1324</v>
      </c>
      <c r="B233" s="132" t="s">
        <v>672</v>
      </c>
      <c r="C233" s="78">
        <f t="shared" si="177"/>
        <v>0</v>
      </c>
      <c r="D233" s="96">
        <f t="shared" si="179"/>
        <v>173</v>
      </c>
      <c r="E233" s="92">
        <v>0</v>
      </c>
      <c r="F233" s="130">
        <f t="shared" si="178"/>
        <v>173</v>
      </c>
      <c r="G233" s="130">
        <v>0</v>
      </c>
      <c r="H233" s="93">
        <v>165</v>
      </c>
      <c r="I233" s="93">
        <v>8</v>
      </c>
      <c r="J233" s="78">
        <v>0</v>
      </c>
      <c r="K233" s="118">
        <v>0</v>
      </c>
      <c r="L233" s="118">
        <v>0</v>
      </c>
      <c r="M233" s="118">
        <v>0</v>
      </c>
      <c r="N233" s="118">
        <v>0</v>
      </c>
      <c r="O233" s="117">
        <v>0</v>
      </c>
      <c r="P233" s="118">
        <f t="shared" si="180"/>
        <v>0</v>
      </c>
      <c r="Q233" s="118">
        <v>0</v>
      </c>
      <c r="R233" s="118">
        <v>0</v>
      </c>
      <c r="S233" s="118">
        <v>0</v>
      </c>
      <c r="T233" s="117">
        <v>0</v>
      </c>
      <c r="U233" s="118">
        <v>0</v>
      </c>
      <c r="V233" s="118">
        <v>0</v>
      </c>
      <c r="W233" s="118">
        <v>0</v>
      </c>
      <c r="X233" s="118">
        <v>0</v>
      </c>
      <c r="Y233" s="117">
        <v>0</v>
      </c>
      <c r="Z233" s="118">
        <v>0</v>
      </c>
      <c r="AA233" s="118">
        <v>0</v>
      </c>
      <c r="AB233" s="118">
        <v>0</v>
      </c>
      <c r="AC233" s="118">
        <v>0</v>
      </c>
    </row>
    <row r="234" spans="1:29" s="121" customFormat="1" ht="67.900000000000006" customHeight="1" outlineLevel="1" x14ac:dyDescent="0.2">
      <c r="A234" s="115" t="s">
        <v>1325</v>
      </c>
      <c r="B234" s="132" t="s">
        <v>674</v>
      </c>
      <c r="C234" s="78">
        <f t="shared" si="177"/>
        <v>0</v>
      </c>
      <c r="D234" s="96">
        <f t="shared" si="179"/>
        <v>6317</v>
      </c>
      <c r="E234" s="92">
        <v>0</v>
      </c>
      <c r="F234" s="130">
        <f t="shared" si="178"/>
        <v>6317</v>
      </c>
      <c r="G234" s="130">
        <v>0</v>
      </c>
      <c r="H234" s="93">
        <v>6014</v>
      </c>
      <c r="I234" s="93">
        <v>303</v>
      </c>
      <c r="J234" s="78">
        <v>0</v>
      </c>
      <c r="K234" s="118">
        <v>0</v>
      </c>
      <c r="L234" s="118">
        <v>0</v>
      </c>
      <c r="M234" s="118">
        <v>0</v>
      </c>
      <c r="N234" s="118">
        <v>0</v>
      </c>
      <c r="O234" s="117">
        <v>0</v>
      </c>
      <c r="P234" s="118">
        <f t="shared" si="180"/>
        <v>0</v>
      </c>
      <c r="Q234" s="118">
        <v>0</v>
      </c>
      <c r="R234" s="118">
        <v>0</v>
      </c>
      <c r="S234" s="118">
        <v>0</v>
      </c>
      <c r="T234" s="117">
        <v>0</v>
      </c>
      <c r="U234" s="118">
        <v>0</v>
      </c>
      <c r="V234" s="118">
        <v>0</v>
      </c>
      <c r="W234" s="118">
        <v>0</v>
      </c>
      <c r="X234" s="118">
        <v>0</v>
      </c>
      <c r="Y234" s="117">
        <v>0</v>
      </c>
      <c r="Z234" s="118">
        <v>0</v>
      </c>
      <c r="AA234" s="118">
        <v>0</v>
      </c>
      <c r="AB234" s="118">
        <v>0</v>
      </c>
      <c r="AC234" s="118">
        <v>0</v>
      </c>
    </row>
    <row r="235" spans="1:29" s="121" customFormat="1" ht="31.5" customHeight="1" outlineLevel="1" x14ac:dyDescent="0.2">
      <c r="A235" s="115" t="s">
        <v>1326</v>
      </c>
      <c r="B235" s="132" t="s">
        <v>710</v>
      </c>
      <c r="C235" s="78">
        <f t="shared" ref="C235" si="181">E235+J235+O235+T235+Y235</f>
        <v>0</v>
      </c>
      <c r="D235" s="96">
        <f t="shared" ref="D235" si="182">F235+K235+P235+U235+Z235</f>
        <v>1207</v>
      </c>
      <c r="E235" s="92">
        <v>0</v>
      </c>
      <c r="F235" s="130">
        <f t="shared" ref="F235" si="183">G235+H235+I235</f>
        <v>330</v>
      </c>
      <c r="G235" s="130">
        <v>0</v>
      </c>
      <c r="H235" s="93">
        <v>0</v>
      </c>
      <c r="I235" s="93">
        <v>330</v>
      </c>
      <c r="J235" s="78">
        <v>0</v>
      </c>
      <c r="K235" s="118">
        <f>L235+M235+N235</f>
        <v>277</v>
      </c>
      <c r="L235" s="118">
        <v>0</v>
      </c>
      <c r="M235" s="118">
        <v>0</v>
      </c>
      <c r="N235" s="118">
        <f>300-23</f>
        <v>277</v>
      </c>
      <c r="O235" s="117">
        <v>0</v>
      </c>
      <c r="P235" s="118">
        <f t="shared" ref="P235:P236" si="184">S235</f>
        <v>200</v>
      </c>
      <c r="Q235" s="118">
        <v>0</v>
      </c>
      <c r="R235" s="118">
        <v>0</v>
      </c>
      <c r="S235" s="118">
        <f>400-200</f>
        <v>200</v>
      </c>
      <c r="T235" s="117">
        <v>0</v>
      </c>
      <c r="U235" s="118">
        <f>X235+W235+V235</f>
        <v>200</v>
      </c>
      <c r="V235" s="118">
        <v>0</v>
      </c>
      <c r="W235" s="118">
        <v>0</v>
      </c>
      <c r="X235" s="118">
        <f>400-200</f>
        <v>200</v>
      </c>
      <c r="Y235" s="117">
        <v>0</v>
      </c>
      <c r="Z235" s="118">
        <f>AC235+AB235+AA235</f>
        <v>200</v>
      </c>
      <c r="AA235" s="118">
        <v>0</v>
      </c>
      <c r="AB235" s="118">
        <v>0</v>
      </c>
      <c r="AC235" s="118">
        <f>400-200</f>
        <v>200</v>
      </c>
    </row>
    <row r="236" spans="1:29" s="121" customFormat="1" ht="32.25" customHeight="1" outlineLevel="1" x14ac:dyDescent="0.2">
      <c r="A236" s="115" t="s">
        <v>1327</v>
      </c>
      <c r="B236" s="132" t="s">
        <v>802</v>
      </c>
      <c r="C236" s="78">
        <f t="shared" ref="C236:C237" si="185">E236+J236+O236+T236+Y236</f>
        <v>0</v>
      </c>
      <c r="D236" s="96">
        <f t="shared" ref="D236:D237" si="186">F236+K236+P236+U236+Z236</f>
        <v>16512</v>
      </c>
      <c r="E236" s="92">
        <v>0</v>
      </c>
      <c r="F236" s="130">
        <f t="shared" ref="F236:F237" si="187">G236+H236+I236</f>
        <v>0</v>
      </c>
      <c r="G236" s="130">
        <v>0</v>
      </c>
      <c r="H236" s="93">
        <v>0</v>
      </c>
      <c r="I236" s="93">
        <v>0</v>
      </c>
      <c r="J236" s="78">
        <v>0</v>
      </c>
      <c r="K236" s="118">
        <f>L236+M236+N236</f>
        <v>0</v>
      </c>
      <c r="L236" s="118">
        <v>0</v>
      </c>
      <c r="M236" s="118">
        <v>0</v>
      </c>
      <c r="N236" s="118">
        <v>0</v>
      </c>
      <c r="O236" s="117">
        <v>0</v>
      </c>
      <c r="P236" s="118">
        <f t="shared" si="184"/>
        <v>0</v>
      </c>
      <c r="Q236" s="118">
        <v>0</v>
      </c>
      <c r="R236" s="118">
        <v>0</v>
      </c>
      <c r="S236" s="118">
        <v>0</v>
      </c>
      <c r="T236" s="117">
        <v>0</v>
      </c>
      <c r="U236" s="118">
        <f>X236+W236+V236</f>
        <v>8256</v>
      </c>
      <c r="V236" s="118">
        <v>0</v>
      </c>
      <c r="W236" s="118">
        <v>0</v>
      </c>
      <c r="X236" s="118">
        <v>8256</v>
      </c>
      <c r="Y236" s="117">
        <v>0</v>
      </c>
      <c r="Z236" s="118">
        <f>AA236+AB236+AC236+AD236</f>
        <v>8256</v>
      </c>
      <c r="AA236" s="118">
        <v>0</v>
      </c>
      <c r="AB236" s="118">
        <v>0</v>
      </c>
      <c r="AC236" s="118">
        <v>8256</v>
      </c>
    </row>
    <row r="237" spans="1:29" s="121" customFormat="1" ht="79.5" customHeight="1" outlineLevel="1" x14ac:dyDescent="0.2">
      <c r="A237" s="115" t="s">
        <v>1328</v>
      </c>
      <c r="B237" s="132" t="s">
        <v>30</v>
      </c>
      <c r="C237" s="78">
        <f t="shared" si="185"/>
        <v>0</v>
      </c>
      <c r="D237" s="96">
        <f t="shared" si="186"/>
        <v>678</v>
      </c>
      <c r="E237" s="92">
        <v>0</v>
      </c>
      <c r="F237" s="130">
        <f t="shared" si="187"/>
        <v>97</v>
      </c>
      <c r="G237" s="130">
        <v>0</v>
      </c>
      <c r="H237" s="93">
        <v>0</v>
      </c>
      <c r="I237" s="93">
        <v>97</v>
      </c>
      <c r="J237" s="78">
        <v>0</v>
      </c>
      <c r="K237" s="118">
        <f t="shared" ref="K237" si="188">L237+M237+N237</f>
        <v>174</v>
      </c>
      <c r="L237" s="118">
        <v>0</v>
      </c>
      <c r="M237" s="118">
        <v>0</v>
      </c>
      <c r="N237" s="118">
        <f>143+31</f>
        <v>174</v>
      </c>
      <c r="O237" s="117">
        <v>0</v>
      </c>
      <c r="P237" s="118">
        <f t="shared" ref="P237" si="189">S237</f>
        <v>288</v>
      </c>
      <c r="Q237" s="118">
        <v>0</v>
      </c>
      <c r="R237" s="118">
        <v>0</v>
      </c>
      <c r="S237" s="118">
        <f>119+169</f>
        <v>288</v>
      </c>
      <c r="T237" s="117">
        <v>0</v>
      </c>
      <c r="U237" s="118">
        <f>V237+W237+X237</f>
        <v>119</v>
      </c>
      <c r="V237" s="118">
        <v>0</v>
      </c>
      <c r="W237" s="118">
        <v>0</v>
      </c>
      <c r="X237" s="118">
        <v>119</v>
      </c>
      <c r="Y237" s="117">
        <v>0</v>
      </c>
      <c r="Z237" s="118">
        <v>0</v>
      </c>
      <c r="AA237" s="118">
        <v>0</v>
      </c>
      <c r="AB237" s="118">
        <v>0</v>
      </c>
      <c r="AC237" s="118">
        <v>0</v>
      </c>
    </row>
    <row r="238" spans="1:29" s="121" customFormat="1" ht="114" customHeight="1" outlineLevel="1" x14ac:dyDescent="0.2">
      <c r="A238" s="115" t="s">
        <v>1329</v>
      </c>
      <c r="B238" s="132" t="s">
        <v>819</v>
      </c>
      <c r="C238" s="78">
        <f t="shared" ref="C238" si="190">E238+J238+O238+T238+Y238</f>
        <v>0</v>
      </c>
      <c r="D238" s="96">
        <f t="shared" ref="D238" si="191">F238+K238+P238+U238+Z238</f>
        <v>30</v>
      </c>
      <c r="E238" s="92">
        <v>0</v>
      </c>
      <c r="F238" s="130">
        <f t="shared" ref="F238" si="192">G238+H238+I238</f>
        <v>30</v>
      </c>
      <c r="G238" s="130">
        <v>0</v>
      </c>
      <c r="H238" s="93">
        <v>0</v>
      </c>
      <c r="I238" s="93">
        <v>30</v>
      </c>
      <c r="J238" s="78">
        <v>0</v>
      </c>
      <c r="K238" s="118">
        <v>0</v>
      </c>
      <c r="L238" s="118">
        <v>0</v>
      </c>
      <c r="M238" s="118">
        <v>0</v>
      </c>
      <c r="N238" s="118">
        <v>0</v>
      </c>
      <c r="O238" s="117">
        <v>0</v>
      </c>
      <c r="P238" s="118">
        <f t="shared" ref="P238" si="193">S238</f>
        <v>0</v>
      </c>
      <c r="Q238" s="118">
        <v>0</v>
      </c>
      <c r="R238" s="118">
        <v>0</v>
      </c>
      <c r="S238" s="118">
        <v>0</v>
      </c>
      <c r="T238" s="117">
        <v>0</v>
      </c>
      <c r="U238" s="118">
        <v>0</v>
      </c>
      <c r="V238" s="118">
        <v>0</v>
      </c>
      <c r="W238" s="118">
        <v>0</v>
      </c>
      <c r="X238" s="118">
        <v>0</v>
      </c>
      <c r="Y238" s="117">
        <v>0</v>
      </c>
      <c r="Z238" s="118">
        <v>0</v>
      </c>
      <c r="AA238" s="118">
        <v>0</v>
      </c>
      <c r="AB238" s="118">
        <v>0</v>
      </c>
      <c r="AC238" s="118">
        <v>0</v>
      </c>
    </row>
    <row r="239" spans="1:29" s="121" customFormat="1" ht="60" outlineLevel="1" x14ac:dyDescent="0.2">
      <c r="A239" s="115" t="s">
        <v>1330</v>
      </c>
      <c r="B239" s="132" t="s">
        <v>864</v>
      </c>
      <c r="C239" s="78">
        <f t="shared" ref="C239" si="194">E239+J239+O239+T239+Y239</f>
        <v>0</v>
      </c>
      <c r="D239" s="96">
        <f t="shared" ref="D239" si="195">F239+K239+P239+U239+Z239</f>
        <v>4534</v>
      </c>
      <c r="E239" s="92">
        <v>0</v>
      </c>
      <c r="F239" s="130">
        <f t="shared" ref="F239" si="196">G239+H239+I239</f>
        <v>0</v>
      </c>
      <c r="G239" s="130">
        <v>0</v>
      </c>
      <c r="H239" s="93">
        <v>0</v>
      </c>
      <c r="I239" s="93">
        <v>0</v>
      </c>
      <c r="J239" s="78">
        <v>0</v>
      </c>
      <c r="K239" s="118">
        <v>0</v>
      </c>
      <c r="L239" s="118">
        <v>0</v>
      </c>
      <c r="M239" s="118">
        <v>0</v>
      </c>
      <c r="N239" s="118">
        <v>0</v>
      </c>
      <c r="O239" s="117">
        <v>0</v>
      </c>
      <c r="P239" s="118">
        <f t="shared" ref="P239" si="197">S239</f>
        <v>4534</v>
      </c>
      <c r="Q239" s="118">
        <v>0</v>
      </c>
      <c r="R239" s="118">
        <v>0</v>
      </c>
      <c r="S239" s="118">
        <f>6277-1151-592</f>
        <v>4534</v>
      </c>
      <c r="T239" s="117">
        <v>0</v>
      </c>
      <c r="U239" s="118">
        <v>0</v>
      </c>
      <c r="V239" s="118">
        <v>0</v>
      </c>
      <c r="W239" s="118">
        <v>0</v>
      </c>
      <c r="X239" s="118">
        <v>0</v>
      </c>
      <c r="Y239" s="117">
        <v>0</v>
      </c>
      <c r="Z239" s="118">
        <v>0</v>
      </c>
      <c r="AA239" s="118">
        <v>0</v>
      </c>
      <c r="AB239" s="118">
        <v>0</v>
      </c>
      <c r="AC239" s="118">
        <v>0</v>
      </c>
    </row>
    <row r="240" spans="1:29" s="121" customFormat="1" ht="73.5" customHeight="1" outlineLevel="1" x14ac:dyDescent="0.2">
      <c r="A240" s="115" t="s">
        <v>1331</v>
      </c>
      <c r="B240" s="132" t="s">
        <v>31</v>
      </c>
      <c r="C240" s="78">
        <f t="shared" ref="C240" si="198">E240+J240+O240+T240+Y240</f>
        <v>0</v>
      </c>
      <c r="D240" s="96">
        <f t="shared" ref="D240" si="199">F240+K240+P240+U240+Z240</f>
        <v>1851</v>
      </c>
      <c r="E240" s="92">
        <v>0</v>
      </c>
      <c r="F240" s="130">
        <f t="shared" ref="F240" si="200">G240+H240+I240</f>
        <v>0</v>
      </c>
      <c r="G240" s="130">
        <v>0</v>
      </c>
      <c r="H240" s="93">
        <v>0</v>
      </c>
      <c r="I240" s="93">
        <v>0</v>
      </c>
      <c r="J240" s="78">
        <v>0</v>
      </c>
      <c r="K240" s="118">
        <f t="shared" ref="K240:K242" si="201">L240+M240+N240</f>
        <v>534</v>
      </c>
      <c r="L240" s="118">
        <v>0</v>
      </c>
      <c r="M240" s="118">
        <v>0</v>
      </c>
      <c r="N240" s="118">
        <f>565-31</f>
        <v>534</v>
      </c>
      <c r="O240" s="117">
        <v>0</v>
      </c>
      <c r="P240" s="118">
        <f t="shared" ref="P240" si="202">S240</f>
        <v>317</v>
      </c>
      <c r="Q240" s="118">
        <v>0</v>
      </c>
      <c r="R240" s="118">
        <v>0</v>
      </c>
      <c r="S240" s="118">
        <v>317</v>
      </c>
      <c r="T240" s="117">
        <v>0</v>
      </c>
      <c r="U240" s="118">
        <f>V240+W240+X240</f>
        <v>500</v>
      </c>
      <c r="V240" s="118">
        <v>0</v>
      </c>
      <c r="W240" s="118">
        <v>0</v>
      </c>
      <c r="X240" s="118">
        <v>500</v>
      </c>
      <c r="Y240" s="117">
        <v>0</v>
      </c>
      <c r="Z240" s="118">
        <f>AA240+AB240+AC240</f>
        <v>500</v>
      </c>
      <c r="AA240" s="118">
        <v>0</v>
      </c>
      <c r="AB240" s="118">
        <v>0</v>
      </c>
      <c r="AC240" s="118">
        <v>500</v>
      </c>
    </row>
    <row r="241" spans="1:30" s="121" customFormat="1" ht="48" outlineLevel="1" x14ac:dyDescent="0.2">
      <c r="A241" s="115" t="s">
        <v>1332</v>
      </c>
      <c r="B241" s="132" t="s">
        <v>865</v>
      </c>
      <c r="C241" s="78">
        <f t="shared" ref="C241:C242" si="203">E241+J241+O241+T241+Y241</f>
        <v>0</v>
      </c>
      <c r="D241" s="96">
        <f t="shared" ref="D241:D242" si="204">F241+K241+P241+U241+Z241</f>
        <v>0</v>
      </c>
      <c r="E241" s="92">
        <v>0</v>
      </c>
      <c r="F241" s="130">
        <f t="shared" ref="F241:F242" si="205">G241+H241+I241</f>
        <v>0</v>
      </c>
      <c r="G241" s="130">
        <v>0</v>
      </c>
      <c r="H241" s="93">
        <v>0</v>
      </c>
      <c r="I241" s="93">
        <v>0</v>
      </c>
      <c r="J241" s="78">
        <v>0</v>
      </c>
      <c r="K241" s="142">
        <f>L241+M241+N241</f>
        <v>0</v>
      </c>
      <c r="L241" s="142">
        <v>0</v>
      </c>
      <c r="M241" s="142">
        <v>0</v>
      </c>
      <c r="N241" s="142">
        <f>7540-7540</f>
        <v>0</v>
      </c>
      <c r="O241" s="117">
        <v>0</v>
      </c>
      <c r="P241" s="118">
        <f t="shared" ref="P241" si="206">S241</f>
        <v>0</v>
      </c>
      <c r="Q241" s="118">
        <v>0</v>
      </c>
      <c r="R241" s="118">
        <v>0</v>
      </c>
      <c r="S241" s="118">
        <v>0</v>
      </c>
      <c r="T241" s="117">
        <v>0</v>
      </c>
      <c r="U241" s="118">
        <f>V241+W241+X241</f>
        <v>0</v>
      </c>
      <c r="V241" s="118">
        <v>0</v>
      </c>
      <c r="W241" s="118">
        <v>0</v>
      </c>
      <c r="X241" s="118">
        <v>0</v>
      </c>
      <c r="Y241" s="117">
        <v>0</v>
      </c>
      <c r="Z241" s="118">
        <v>0</v>
      </c>
      <c r="AA241" s="118">
        <v>0</v>
      </c>
      <c r="AB241" s="118">
        <v>0</v>
      </c>
      <c r="AC241" s="118">
        <v>0</v>
      </c>
    </row>
    <row r="242" spans="1:30" s="121" customFormat="1" ht="61.5" customHeight="1" outlineLevel="1" x14ac:dyDescent="0.2">
      <c r="A242" s="115" t="s">
        <v>1333</v>
      </c>
      <c r="B242" s="132" t="s">
        <v>852</v>
      </c>
      <c r="C242" s="78">
        <f t="shared" si="203"/>
        <v>0</v>
      </c>
      <c r="D242" s="96">
        <f t="shared" si="204"/>
        <v>872</v>
      </c>
      <c r="E242" s="92">
        <v>0</v>
      </c>
      <c r="F242" s="130">
        <f t="shared" si="205"/>
        <v>0</v>
      </c>
      <c r="G242" s="130">
        <v>0</v>
      </c>
      <c r="H242" s="93">
        <v>0</v>
      </c>
      <c r="I242" s="130">
        <v>0</v>
      </c>
      <c r="J242" s="78">
        <v>0</v>
      </c>
      <c r="K242" s="118">
        <f t="shared" si="201"/>
        <v>872</v>
      </c>
      <c r="L242" s="118">
        <v>0</v>
      </c>
      <c r="M242" s="118">
        <v>0</v>
      </c>
      <c r="N242" s="118">
        <v>872</v>
      </c>
      <c r="O242" s="117">
        <v>0</v>
      </c>
      <c r="P242" s="118">
        <f t="shared" ref="P242" si="207">Q242+R242+S242</f>
        <v>0</v>
      </c>
      <c r="Q242" s="118">
        <v>0</v>
      </c>
      <c r="R242" s="118">
        <v>0</v>
      </c>
      <c r="S242" s="118">
        <v>0</v>
      </c>
      <c r="T242" s="117">
        <v>0</v>
      </c>
      <c r="U242" s="118">
        <f t="shared" ref="U242" si="208">V242+W242+X242</f>
        <v>0</v>
      </c>
      <c r="V242" s="118">
        <v>0</v>
      </c>
      <c r="W242" s="118">
        <v>0</v>
      </c>
      <c r="X242" s="118">
        <v>0</v>
      </c>
      <c r="Y242" s="117">
        <v>0</v>
      </c>
      <c r="Z242" s="118">
        <f t="shared" ref="Z242" si="209">AA242+AB242+AC242</f>
        <v>0</v>
      </c>
      <c r="AA242" s="118">
        <v>0</v>
      </c>
      <c r="AB242" s="118">
        <v>0</v>
      </c>
      <c r="AC242" s="118">
        <v>0</v>
      </c>
    </row>
    <row r="243" spans="1:30" s="114" customFormat="1" ht="71.45" customHeight="1" outlineLevel="1" x14ac:dyDescent="0.2">
      <c r="A243" s="90" t="s">
        <v>1684</v>
      </c>
      <c r="B243" s="116" t="s">
        <v>1642</v>
      </c>
      <c r="C243" s="117">
        <f t="shared" ref="C243" si="210">E243+J243+O243+T243+Y243</f>
        <v>0</v>
      </c>
      <c r="D243" s="93">
        <f t="shared" ref="D243:E246" si="211">F243+K243+P243+U243+Z243</f>
        <v>17289</v>
      </c>
      <c r="E243" s="92">
        <f t="shared" si="211"/>
        <v>0</v>
      </c>
      <c r="F243" s="93">
        <f>G243+H243+I243</f>
        <v>0</v>
      </c>
      <c r="G243" s="93">
        <v>0</v>
      </c>
      <c r="H243" s="93">
        <v>0</v>
      </c>
      <c r="I243" s="93">
        <v>0</v>
      </c>
      <c r="J243" s="117">
        <v>0</v>
      </c>
      <c r="K243" s="118">
        <f t="shared" ref="K243" si="212">L243+M243+N243</f>
        <v>0</v>
      </c>
      <c r="L243" s="118">
        <v>0</v>
      </c>
      <c r="M243" s="118">
        <v>0</v>
      </c>
      <c r="N243" s="118">
        <v>0</v>
      </c>
      <c r="O243" s="117">
        <v>0</v>
      </c>
      <c r="P243" s="118">
        <f>Q243+R243+S243</f>
        <v>3782</v>
      </c>
      <c r="Q243" s="118">
        <v>0</v>
      </c>
      <c r="R243" s="118">
        <v>0</v>
      </c>
      <c r="S243" s="118">
        <v>3782</v>
      </c>
      <c r="T243" s="120">
        <v>0</v>
      </c>
      <c r="U243" s="119">
        <v>0</v>
      </c>
      <c r="V243" s="119">
        <v>0</v>
      </c>
      <c r="W243" s="119">
        <v>0</v>
      </c>
      <c r="X243" s="119">
        <v>0</v>
      </c>
      <c r="Y243" s="117">
        <v>0</v>
      </c>
      <c r="Z243" s="118">
        <f>AA243+AB243+AC243</f>
        <v>13507</v>
      </c>
      <c r="AA243" s="118">
        <v>0</v>
      </c>
      <c r="AB243" s="118">
        <v>0</v>
      </c>
      <c r="AC243" s="118">
        <v>13507</v>
      </c>
    </row>
    <row r="244" spans="1:30" s="114" customFormat="1" ht="71.45" customHeight="1" outlineLevel="1" x14ac:dyDescent="0.2">
      <c r="A244" s="115" t="s">
        <v>1334</v>
      </c>
      <c r="B244" s="116" t="s">
        <v>1705</v>
      </c>
      <c r="C244" s="117">
        <f t="shared" ref="C244" si="213">E244+J244+O244+T244+Y244</f>
        <v>7.51</v>
      </c>
      <c r="D244" s="93">
        <f t="shared" si="211"/>
        <v>25000</v>
      </c>
      <c r="E244" s="92">
        <f t="shared" si="211"/>
        <v>0</v>
      </c>
      <c r="F244" s="93">
        <f>G244+H244+I244</f>
        <v>0</v>
      </c>
      <c r="G244" s="93">
        <v>0</v>
      </c>
      <c r="H244" s="93">
        <v>0</v>
      </c>
      <c r="I244" s="93">
        <v>0</v>
      </c>
      <c r="J244" s="117">
        <v>0</v>
      </c>
      <c r="K244" s="118">
        <f t="shared" ref="K244" si="214">L244+M244+N244</f>
        <v>0</v>
      </c>
      <c r="L244" s="118">
        <v>0</v>
      </c>
      <c r="M244" s="118">
        <v>0</v>
      </c>
      <c r="N244" s="118">
        <v>0</v>
      </c>
      <c r="O244" s="117">
        <v>7.51</v>
      </c>
      <c r="P244" s="118">
        <f>Q244+R244+S244</f>
        <v>25000</v>
      </c>
      <c r="Q244" s="118">
        <v>0</v>
      </c>
      <c r="R244" s="118">
        <v>0</v>
      </c>
      <c r="S244" s="118">
        <v>25000</v>
      </c>
      <c r="T244" s="120">
        <v>0</v>
      </c>
      <c r="U244" s="119">
        <v>0</v>
      </c>
      <c r="V244" s="119">
        <v>0</v>
      </c>
      <c r="W244" s="119">
        <v>0</v>
      </c>
      <c r="X244" s="119">
        <v>0</v>
      </c>
      <c r="Y244" s="117">
        <v>0</v>
      </c>
      <c r="Z244" s="118">
        <f>AA244+AB244+AC244</f>
        <v>0</v>
      </c>
      <c r="AA244" s="118">
        <v>0</v>
      </c>
      <c r="AB244" s="118">
        <v>0</v>
      </c>
      <c r="AC244" s="118">
        <v>0</v>
      </c>
    </row>
    <row r="245" spans="1:30" s="114" customFormat="1" ht="71.45" customHeight="1" outlineLevel="1" x14ac:dyDescent="0.2">
      <c r="A245" s="115" t="s">
        <v>1335</v>
      </c>
      <c r="B245" s="116" t="s">
        <v>1707</v>
      </c>
      <c r="C245" s="117">
        <f t="shared" ref="C245" si="215">E245+J245+O245+T245+Y245</f>
        <v>94.9</v>
      </c>
      <c r="D245" s="93">
        <f t="shared" si="211"/>
        <v>318471</v>
      </c>
      <c r="E245" s="92">
        <f t="shared" si="211"/>
        <v>0</v>
      </c>
      <c r="F245" s="93">
        <f>G245+H245+I245</f>
        <v>0</v>
      </c>
      <c r="G245" s="93">
        <v>0</v>
      </c>
      <c r="H245" s="93">
        <v>0</v>
      </c>
      <c r="I245" s="93">
        <v>0</v>
      </c>
      <c r="J245" s="117">
        <v>0</v>
      </c>
      <c r="K245" s="118">
        <f t="shared" ref="K245" si="216">L245+M245+N245</f>
        <v>0</v>
      </c>
      <c r="L245" s="118">
        <v>0</v>
      </c>
      <c r="M245" s="118">
        <v>0</v>
      </c>
      <c r="N245" s="118">
        <v>0</v>
      </c>
      <c r="O245" s="117">
        <v>94.9</v>
      </c>
      <c r="P245" s="118">
        <f>Q245+R245+S245</f>
        <v>318471</v>
      </c>
      <c r="Q245" s="118">
        <v>0</v>
      </c>
      <c r="R245" s="118">
        <v>300000</v>
      </c>
      <c r="S245" s="118">
        <v>18471</v>
      </c>
      <c r="T245" s="120">
        <v>0</v>
      </c>
      <c r="U245" s="119">
        <v>0</v>
      </c>
      <c r="V245" s="119">
        <v>0</v>
      </c>
      <c r="W245" s="119">
        <v>0</v>
      </c>
      <c r="X245" s="119">
        <v>0</v>
      </c>
      <c r="Y245" s="117">
        <v>0</v>
      </c>
      <c r="Z245" s="118">
        <f>AA245+AB245+AC245</f>
        <v>0</v>
      </c>
      <c r="AA245" s="118">
        <v>0</v>
      </c>
      <c r="AB245" s="118">
        <v>0</v>
      </c>
      <c r="AC245" s="118">
        <v>0</v>
      </c>
    </row>
    <row r="246" spans="1:30" s="114" customFormat="1" ht="71.45" customHeight="1" outlineLevel="1" x14ac:dyDescent="0.2">
      <c r="A246" s="115" t="s">
        <v>1336</v>
      </c>
      <c r="B246" s="116" t="s">
        <v>1712</v>
      </c>
      <c r="C246" s="117">
        <f t="shared" ref="C246" si="217">E246+J246+O246+T246+Y246</f>
        <v>10.35</v>
      </c>
      <c r="D246" s="93">
        <f t="shared" si="211"/>
        <v>21815</v>
      </c>
      <c r="E246" s="92">
        <f t="shared" si="211"/>
        <v>0</v>
      </c>
      <c r="F246" s="93">
        <f>G246+H246+I246</f>
        <v>0</v>
      </c>
      <c r="G246" s="93">
        <v>0</v>
      </c>
      <c r="H246" s="93">
        <v>0</v>
      </c>
      <c r="I246" s="93">
        <v>0</v>
      </c>
      <c r="J246" s="117">
        <v>0</v>
      </c>
      <c r="K246" s="118">
        <f t="shared" ref="K246" si="218">L246+M246+N246</f>
        <v>0</v>
      </c>
      <c r="L246" s="118">
        <v>0</v>
      </c>
      <c r="M246" s="118">
        <v>0</v>
      </c>
      <c r="N246" s="118">
        <v>0</v>
      </c>
      <c r="O246" s="117">
        <v>10.35</v>
      </c>
      <c r="P246" s="118">
        <f>Q246+R246+S246</f>
        <v>21815</v>
      </c>
      <c r="Q246" s="118">
        <v>0</v>
      </c>
      <c r="R246" s="118">
        <v>20550</v>
      </c>
      <c r="S246" s="118">
        <v>1265</v>
      </c>
      <c r="T246" s="120">
        <v>0</v>
      </c>
      <c r="U246" s="119">
        <v>0</v>
      </c>
      <c r="V246" s="119">
        <v>0</v>
      </c>
      <c r="W246" s="119">
        <v>0</v>
      </c>
      <c r="X246" s="119">
        <v>0</v>
      </c>
      <c r="Y246" s="117">
        <v>0</v>
      </c>
      <c r="Z246" s="118">
        <f>AA246+AB246+AC246</f>
        <v>0</v>
      </c>
      <c r="AA246" s="118">
        <v>0</v>
      </c>
      <c r="AB246" s="118">
        <v>0</v>
      </c>
      <c r="AC246" s="118">
        <v>0</v>
      </c>
    </row>
    <row r="247" spans="1:30" s="114" customFormat="1" ht="71.45" customHeight="1" outlineLevel="1" x14ac:dyDescent="0.2">
      <c r="A247" s="115" t="s">
        <v>1337</v>
      </c>
      <c r="B247" s="116" t="s">
        <v>1713</v>
      </c>
      <c r="C247" s="117">
        <f t="shared" ref="C247" si="219">E247+J247+O247+T247+Y247</f>
        <v>0</v>
      </c>
      <c r="D247" s="93">
        <f t="shared" ref="D247" si="220">F247+K247+P247+U247+Z247</f>
        <v>14279</v>
      </c>
      <c r="E247" s="92">
        <f t="shared" ref="E247" si="221">G247+L247+Q247+V247+AA247</f>
        <v>0</v>
      </c>
      <c r="F247" s="93">
        <f>G247+H247+I247</f>
        <v>0</v>
      </c>
      <c r="G247" s="93">
        <v>0</v>
      </c>
      <c r="H247" s="93">
        <v>0</v>
      </c>
      <c r="I247" s="93">
        <v>0</v>
      </c>
      <c r="J247" s="117">
        <v>0</v>
      </c>
      <c r="K247" s="118">
        <f t="shared" ref="K247" si="222">L247+M247+N247</f>
        <v>0</v>
      </c>
      <c r="L247" s="118">
        <v>0</v>
      </c>
      <c r="M247" s="118">
        <v>0</v>
      </c>
      <c r="N247" s="118">
        <v>0</v>
      </c>
      <c r="O247" s="117">
        <v>0</v>
      </c>
      <c r="P247" s="118">
        <f>Q247+R247+S247</f>
        <v>14279</v>
      </c>
      <c r="Q247" s="118">
        <v>0</v>
      </c>
      <c r="R247" s="118">
        <v>13450</v>
      </c>
      <c r="S247" s="118">
        <v>829</v>
      </c>
      <c r="T247" s="120">
        <v>0</v>
      </c>
      <c r="U247" s="119">
        <v>0</v>
      </c>
      <c r="V247" s="119">
        <v>0</v>
      </c>
      <c r="W247" s="119">
        <v>0</v>
      </c>
      <c r="X247" s="119">
        <v>0</v>
      </c>
      <c r="Y247" s="117">
        <v>0</v>
      </c>
      <c r="Z247" s="118">
        <f>AA247+AB247+AC247</f>
        <v>0</v>
      </c>
      <c r="AA247" s="118">
        <v>0</v>
      </c>
      <c r="AB247" s="118">
        <v>0</v>
      </c>
      <c r="AC247" s="118">
        <v>0</v>
      </c>
    </row>
    <row r="248" spans="1:30" s="121" customFormat="1" ht="18.75" customHeight="1" outlineLevel="1" x14ac:dyDescent="0.2">
      <c r="A248" s="115"/>
      <c r="B248" s="132" t="s">
        <v>591</v>
      </c>
      <c r="C248" s="78">
        <f t="shared" ref="C248" si="223">E248+J248+O248+T248+Y248</f>
        <v>0</v>
      </c>
      <c r="D248" s="96">
        <f>F248+K248+P248+U248+Z248+0.4</f>
        <v>12277.4</v>
      </c>
      <c r="E248" s="92">
        <v>0</v>
      </c>
      <c r="F248" s="130">
        <f t="shared" ref="F248" si="224">G248+H248+I248</f>
        <v>12277</v>
      </c>
      <c r="G248" s="130">
        <v>0</v>
      </c>
      <c r="H248" s="93">
        <f>11554+132+2+1</f>
        <v>11689</v>
      </c>
      <c r="I248" s="93">
        <f>583+7-3+1</f>
        <v>588</v>
      </c>
      <c r="J248" s="78">
        <v>0</v>
      </c>
      <c r="K248" s="118">
        <f>L248+M248+N248</f>
        <v>0</v>
      </c>
      <c r="L248" s="118">
        <v>0</v>
      </c>
      <c r="M248" s="118">
        <v>0</v>
      </c>
      <c r="N248" s="118">
        <v>0</v>
      </c>
      <c r="O248" s="117">
        <v>0</v>
      </c>
      <c r="P248" s="118">
        <f t="shared" ref="P248" si="225">S248</f>
        <v>0</v>
      </c>
      <c r="Q248" s="118">
        <v>0</v>
      </c>
      <c r="R248" s="118">
        <v>0</v>
      </c>
      <c r="S248" s="118">
        <v>0</v>
      </c>
      <c r="T248" s="117">
        <v>0</v>
      </c>
      <c r="U248" s="118">
        <v>0</v>
      </c>
      <c r="V248" s="118">
        <v>0</v>
      </c>
      <c r="W248" s="118">
        <v>0</v>
      </c>
      <c r="X248" s="118">
        <v>0</v>
      </c>
      <c r="Y248" s="117">
        <v>0</v>
      </c>
      <c r="Z248" s="118">
        <v>0</v>
      </c>
      <c r="AA248" s="118">
        <v>0</v>
      </c>
      <c r="AB248" s="118">
        <v>0</v>
      </c>
      <c r="AC248" s="118">
        <v>0</v>
      </c>
    </row>
    <row r="249" spans="1:30" s="121" customFormat="1" ht="30" customHeight="1" outlineLevel="1" x14ac:dyDescent="0.2">
      <c r="A249" s="379" t="s">
        <v>857</v>
      </c>
      <c r="B249" s="379"/>
      <c r="C249" s="379"/>
      <c r="D249" s="379"/>
      <c r="E249" s="379"/>
      <c r="F249" s="379"/>
      <c r="G249" s="379"/>
      <c r="H249" s="379"/>
      <c r="I249" s="379"/>
      <c r="J249" s="379"/>
      <c r="K249" s="379"/>
      <c r="L249" s="379"/>
      <c r="M249" s="379"/>
      <c r="N249" s="379"/>
      <c r="O249" s="379"/>
      <c r="P249" s="379"/>
      <c r="Q249" s="379"/>
      <c r="R249" s="379"/>
      <c r="S249" s="379"/>
      <c r="T249" s="379"/>
      <c r="U249" s="379"/>
      <c r="V249" s="379"/>
      <c r="W249" s="379"/>
      <c r="X249" s="379"/>
      <c r="Y249" s="379"/>
      <c r="Z249" s="379"/>
      <c r="AA249" s="379"/>
      <c r="AB249" s="379"/>
      <c r="AC249" s="379"/>
    </row>
    <row r="250" spans="1:30" s="114" customFormat="1" ht="39" customHeight="1" outlineLevel="1" x14ac:dyDescent="0.2">
      <c r="A250" s="115" t="s">
        <v>1338</v>
      </c>
      <c r="B250" s="136" t="s">
        <v>606</v>
      </c>
      <c r="C250" s="78">
        <f t="shared" ref="C250:C260" si="226">E250+J250+O250+T250+Y250</f>
        <v>33.700000000000003</v>
      </c>
      <c r="D250" s="96">
        <f t="shared" ref="D250:D260" si="227">F250+K250+P250+U250+Z250</f>
        <v>80424</v>
      </c>
      <c r="E250" s="78">
        <v>33.700000000000003</v>
      </c>
      <c r="F250" s="130">
        <f t="shared" ref="F250:F261" si="228">G250+H250+I250</f>
        <v>80424</v>
      </c>
      <c r="G250" s="130">
        <v>0</v>
      </c>
      <c r="H250" s="93">
        <v>76564</v>
      </c>
      <c r="I250" s="93">
        <v>3860</v>
      </c>
      <c r="J250" s="78">
        <v>0</v>
      </c>
      <c r="K250" s="118">
        <f>L250+M250+N250</f>
        <v>0</v>
      </c>
      <c r="L250" s="118">
        <v>0</v>
      </c>
      <c r="M250" s="118">
        <v>0</v>
      </c>
      <c r="N250" s="118">
        <v>0</v>
      </c>
      <c r="O250" s="117">
        <v>0</v>
      </c>
      <c r="P250" s="118">
        <f t="shared" ref="P250:P264" si="229">Q250+R250+S250</f>
        <v>0</v>
      </c>
      <c r="Q250" s="118">
        <v>0</v>
      </c>
      <c r="R250" s="118">
        <v>0</v>
      </c>
      <c r="S250" s="118">
        <v>0</v>
      </c>
      <c r="T250" s="117">
        <v>0</v>
      </c>
      <c r="U250" s="118">
        <f t="shared" ref="U250:U261" si="230">V250+W250+X250</f>
        <v>0</v>
      </c>
      <c r="V250" s="118">
        <v>0</v>
      </c>
      <c r="W250" s="118">
        <v>0</v>
      </c>
      <c r="X250" s="118">
        <v>0</v>
      </c>
      <c r="Y250" s="117">
        <v>0</v>
      </c>
      <c r="Z250" s="118">
        <f t="shared" ref="Z250:Z261" si="231">AA250+AB250+AC250</f>
        <v>0</v>
      </c>
      <c r="AA250" s="118">
        <v>0</v>
      </c>
      <c r="AB250" s="118">
        <v>0</v>
      </c>
      <c r="AC250" s="118">
        <v>0</v>
      </c>
      <c r="AD250" s="114" t="s">
        <v>711</v>
      </c>
    </row>
    <row r="251" spans="1:30" s="121" customFormat="1" ht="51" customHeight="1" outlineLevel="1" x14ac:dyDescent="0.2">
      <c r="A251" s="115" t="s">
        <v>1339</v>
      </c>
      <c r="B251" s="132" t="s">
        <v>567</v>
      </c>
      <c r="C251" s="78">
        <f t="shared" si="226"/>
        <v>14.33</v>
      </c>
      <c r="D251" s="96">
        <f t="shared" si="227"/>
        <v>31759</v>
      </c>
      <c r="E251" s="92">
        <v>14.33</v>
      </c>
      <c r="F251" s="130">
        <f t="shared" si="228"/>
        <v>31759</v>
      </c>
      <c r="G251" s="130">
        <v>0</v>
      </c>
      <c r="H251" s="93">
        <v>30235</v>
      </c>
      <c r="I251" s="130">
        <v>1524</v>
      </c>
      <c r="J251" s="78">
        <v>0</v>
      </c>
      <c r="K251" s="118">
        <f t="shared" ref="K251:K294" si="232">L251+M251+N251</f>
        <v>0</v>
      </c>
      <c r="L251" s="118">
        <v>0</v>
      </c>
      <c r="M251" s="118">
        <v>0</v>
      </c>
      <c r="N251" s="118">
        <v>0</v>
      </c>
      <c r="O251" s="117">
        <v>0</v>
      </c>
      <c r="P251" s="118">
        <f t="shared" si="229"/>
        <v>0</v>
      </c>
      <c r="Q251" s="118">
        <v>0</v>
      </c>
      <c r="R251" s="118">
        <v>0</v>
      </c>
      <c r="S251" s="118">
        <v>0</v>
      </c>
      <c r="T251" s="117">
        <v>0</v>
      </c>
      <c r="U251" s="118">
        <f t="shared" si="230"/>
        <v>0</v>
      </c>
      <c r="V251" s="118">
        <v>0</v>
      </c>
      <c r="W251" s="118">
        <v>0</v>
      </c>
      <c r="X251" s="118">
        <v>0</v>
      </c>
      <c r="Y251" s="117">
        <v>0</v>
      </c>
      <c r="Z251" s="118">
        <f t="shared" si="231"/>
        <v>0</v>
      </c>
      <c r="AA251" s="118">
        <v>0</v>
      </c>
      <c r="AB251" s="118">
        <v>0</v>
      </c>
      <c r="AC251" s="118">
        <v>0</v>
      </c>
    </row>
    <row r="252" spans="1:30" s="114" customFormat="1" ht="63.6" customHeight="1" outlineLevel="1" x14ac:dyDescent="0.2">
      <c r="A252" s="115" t="s">
        <v>1340</v>
      </c>
      <c r="B252" s="136" t="s">
        <v>607</v>
      </c>
      <c r="C252" s="78">
        <f t="shared" si="226"/>
        <v>12.3</v>
      </c>
      <c r="D252" s="96">
        <f t="shared" si="227"/>
        <v>24595</v>
      </c>
      <c r="E252" s="137">
        <v>12.3</v>
      </c>
      <c r="F252" s="130">
        <f t="shared" si="228"/>
        <v>24595</v>
      </c>
      <c r="G252" s="130">
        <v>0</v>
      </c>
      <c r="H252" s="93">
        <v>23414</v>
      </c>
      <c r="I252" s="93">
        <v>1181</v>
      </c>
      <c r="J252" s="78">
        <v>0</v>
      </c>
      <c r="K252" s="118">
        <f t="shared" si="232"/>
        <v>0</v>
      </c>
      <c r="L252" s="118">
        <v>0</v>
      </c>
      <c r="M252" s="118">
        <v>0</v>
      </c>
      <c r="N252" s="118">
        <v>0</v>
      </c>
      <c r="O252" s="117">
        <v>0</v>
      </c>
      <c r="P252" s="118">
        <f t="shared" si="229"/>
        <v>0</v>
      </c>
      <c r="Q252" s="118">
        <v>0</v>
      </c>
      <c r="R252" s="118">
        <v>0</v>
      </c>
      <c r="S252" s="118">
        <v>0</v>
      </c>
      <c r="T252" s="117">
        <v>0</v>
      </c>
      <c r="U252" s="118">
        <f t="shared" si="230"/>
        <v>0</v>
      </c>
      <c r="V252" s="118">
        <v>0</v>
      </c>
      <c r="W252" s="118">
        <v>0</v>
      </c>
      <c r="X252" s="118">
        <v>0</v>
      </c>
      <c r="Y252" s="117">
        <v>0</v>
      </c>
      <c r="Z252" s="118">
        <f t="shared" si="231"/>
        <v>0</v>
      </c>
      <c r="AA252" s="118">
        <v>0</v>
      </c>
      <c r="AB252" s="118">
        <v>0</v>
      </c>
      <c r="AC252" s="118">
        <v>0</v>
      </c>
    </row>
    <row r="253" spans="1:30" s="114" customFormat="1" ht="84" customHeight="1" outlineLevel="1" x14ac:dyDescent="0.2">
      <c r="A253" s="115" t="s">
        <v>1341</v>
      </c>
      <c r="B253" s="136" t="s">
        <v>608</v>
      </c>
      <c r="C253" s="78">
        <f t="shared" si="226"/>
        <v>39.11</v>
      </c>
      <c r="D253" s="96">
        <f t="shared" si="227"/>
        <v>90005</v>
      </c>
      <c r="E253" s="137">
        <v>39.11</v>
      </c>
      <c r="F253" s="130">
        <f t="shared" si="228"/>
        <v>90005</v>
      </c>
      <c r="G253" s="130">
        <v>0</v>
      </c>
      <c r="H253" s="93">
        <v>85685</v>
      </c>
      <c r="I253" s="93">
        <v>4320</v>
      </c>
      <c r="J253" s="78">
        <v>0</v>
      </c>
      <c r="K253" s="118">
        <f t="shared" si="232"/>
        <v>0</v>
      </c>
      <c r="L253" s="118">
        <v>0</v>
      </c>
      <c r="M253" s="118">
        <v>0</v>
      </c>
      <c r="N253" s="118">
        <v>0</v>
      </c>
      <c r="O253" s="117">
        <v>0</v>
      </c>
      <c r="P253" s="118">
        <f t="shared" si="229"/>
        <v>0</v>
      </c>
      <c r="Q253" s="118">
        <v>0</v>
      </c>
      <c r="R253" s="118">
        <v>0</v>
      </c>
      <c r="S253" s="118">
        <v>0</v>
      </c>
      <c r="T253" s="117">
        <v>0</v>
      </c>
      <c r="U253" s="118">
        <f t="shared" si="230"/>
        <v>0</v>
      </c>
      <c r="V253" s="118">
        <v>0</v>
      </c>
      <c r="W253" s="118">
        <v>0</v>
      </c>
      <c r="X253" s="118">
        <v>0</v>
      </c>
      <c r="Y253" s="117">
        <v>0</v>
      </c>
      <c r="Z253" s="118">
        <f t="shared" si="231"/>
        <v>0</v>
      </c>
      <c r="AA253" s="118">
        <v>0</v>
      </c>
      <c r="AB253" s="118">
        <v>0</v>
      </c>
      <c r="AC253" s="118">
        <v>0</v>
      </c>
    </row>
    <row r="254" spans="1:30" s="121" customFormat="1" ht="36" customHeight="1" outlineLevel="1" x14ac:dyDescent="0.2">
      <c r="A254" s="115" t="s">
        <v>1342</v>
      </c>
      <c r="B254" s="132" t="s">
        <v>570</v>
      </c>
      <c r="C254" s="78">
        <f t="shared" si="226"/>
        <v>6.66</v>
      </c>
      <c r="D254" s="96">
        <f t="shared" si="227"/>
        <v>14226</v>
      </c>
      <c r="E254" s="92">
        <v>6.66</v>
      </c>
      <c r="F254" s="130">
        <f t="shared" si="228"/>
        <v>14226</v>
      </c>
      <c r="G254" s="130">
        <v>0</v>
      </c>
      <c r="H254" s="93">
        <v>13543</v>
      </c>
      <c r="I254" s="130">
        <v>683</v>
      </c>
      <c r="J254" s="78">
        <v>0</v>
      </c>
      <c r="K254" s="118">
        <f t="shared" si="232"/>
        <v>0</v>
      </c>
      <c r="L254" s="118">
        <v>0</v>
      </c>
      <c r="M254" s="118">
        <v>0</v>
      </c>
      <c r="N254" s="118">
        <v>0</v>
      </c>
      <c r="O254" s="117">
        <v>0</v>
      </c>
      <c r="P254" s="118">
        <f t="shared" si="229"/>
        <v>0</v>
      </c>
      <c r="Q254" s="118">
        <v>0</v>
      </c>
      <c r="R254" s="118">
        <v>0</v>
      </c>
      <c r="S254" s="118">
        <v>0</v>
      </c>
      <c r="T254" s="117">
        <v>0</v>
      </c>
      <c r="U254" s="118">
        <f t="shared" si="230"/>
        <v>0</v>
      </c>
      <c r="V254" s="118">
        <v>0</v>
      </c>
      <c r="W254" s="118">
        <v>0</v>
      </c>
      <c r="X254" s="118">
        <v>0</v>
      </c>
      <c r="Y254" s="117">
        <v>0</v>
      </c>
      <c r="Z254" s="118">
        <f t="shared" si="231"/>
        <v>0</v>
      </c>
      <c r="AA254" s="118">
        <v>0</v>
      </c>
      <c r="AB254" s="118">
        <v>0</v>
      </c>
      <c r="AC254" s="118">
        <v>0</v>
      </c>
    </row>
    <row r="255" spans="1:30" s="114" customFormat="1" ht="49.15" customHeight="1" outlineLevel="1" x14ac:dyDescent="0.2">
      <c r="A255" s="115" t="s">
        <v>1343</v>
      </c>
      <c r="B255" s="136" t="s">
        <v>609</v>
      </c>
      <c r="C255" s="78">
        <f t="shared" si="226"/>
        <v>26.66</v>
      </c>
      <c r="D255" s="96">
        <f t="shared" si="227"/>
        <v>67036</v>
      </c>
      <c r="E255" s="137">
        <v>26.66</v>
      </c>
      <c r="F255" s="130">
        <f t="shared" si="228"/>
        <v>67036</v>
      </c>
      <c r="G255" s="130">
        <v>0</v>
      </c>
      <c r="H255" s="93">
        <v>63818</v>
      </c>
      <c r="I255" s="93">
        <v>3218</v>
      </c>
      <c r="J255" s="78">
        <v>0</v>
      </c>
      <c r="K255" s="118">
        <f t="shared" si="232"/>
        <v>0</v>
      </c>
      <c r="L255" s="118">
        <v>0</v>
      </c>
      <c r="M255" s="118">
        <v>0</v>
      </c>
      <c r="N255" s="118">
        <v>0</v>
      </c>
      <c r="O255" s="117">
        <v>0</v>
      </c>
      <c r="P255" s="118">
        <f t="shared" si="229"/>
        <v>0</v>
      </c>
      <c r="Q255" s="118">
        <v>0</v>
      </c>
      <c r="R255" s="118">
        <v>0</v>
      </c>
      <c r="S255" s="118">
        <v>0</v>
      </c>
      <c r="T255" s="117">
        <v>0</v>
      </c>
      <c r="U255" s="118">
        <f t="shared" si="230"/>
        <v>0</v>
      </c>
      <c r="V255" s="118">
        <v>0</v>
      </c>
      <c r="W255" s="118">
        <v>0</v>
      </c>
      <c r="X255" s="118">
        <v>0</v>
      </c>
      <c r="Y255" s="117">
        <v>0</v>
      </c>
      <c r="Z255" s="118">
        <f t="shared" si="231"/>
        <v>0</v>
      </c>
      <c r="AA255" s="118">
        <v>0</v>
      </c>
      <c r="AB255" s="118">
        <v>0</v>
      </c>
      <c r="AC255" s="118">
        <v>0</v>
      </c>
    </row>
    <row r="256" spans="1:30" s="114" customFormat="1" ht="53.45" customHeight="1" outlineLevel="1" x14ac:dyDescent="0.2">
      <c r="A256" s="115" t="s">
        <v>1697</v>
      </c>
      <c r="B256" s="136" t="s">
        <v>569</v>
      </c>
      <c r="C256" s="78">
        <f t="shared" si="226"/>
        <v>51.6</v>
      </c>
      <c r="D256" s="96">
        <f t="shared" si="227"/>
        <v>106911</v>
      </c>
      <c r="E256" s="137">
        <v>51.6</v>
      </c>
      <c r="F256" s="130">
        <f t="shared" si="228"/>
        <v>106911</v>
      </c>
      <c r="G256" s="130">
        <v>0</v>
      </c>
      <c r="H256" s="93">
        <v>101779</v>
      </c>
      <c r="I256" s="93">
        <v>5132</v>
      </c>
      <c r="J256" s="78">
        <v>0</v>
      </c>
      <c r="K256" s="118">
        <f t="shared" si="232"/>
        <v>0</v>
      </c>
      <c r="L256" s="118">
        <v>0</v>
      </c>
      <c r="M256" s="118">
        <v>0</v>
      </c>
      <c r="N256" s="118">
        <v>0</v>
      </c>
      <c r="O256" s="117">
        <v>0</v>
      </c>
      <c r="P256" s="118">
        <f t="shared" si="229"/>
        <v>0</v>
      </c>
      <c r="Q256" s="118">
        <v>0</v>
      </c>
      <c r="R256" s="118">
        <v>0</v>
      </c>
      <c r="S256" s="118">
        <v>0</v>
      </c>
      <c r="T256" s="117">
        <v>0</v>
      </c>
      <c r="U256" s="118">
        <f t="shared" si="230"/>
        <v>0</v>
      </c>
      <c r="V256" s="118">
        <v>0</v>
      </c>
      <c r="W256" s="118">
        <v>0</v>
      </c>
      <c r="X256" s="118">
        <v>0</v>
      </c>
      <c r="Y256" s="117">
        <v>0</v>
      </c>
      <c r="Z256" s="118">
        <f t="shared" si="231"/>
        <v>0</v>
      </c>
      <c r="AA256" s="118">
        <v>0</v>
      </c>
      <c r="AB256" s="118">
        <v>0</v>
      </c>
      <c r="AC256" s="118">
        <v>0</v>
      </c>
    </row>
    <row r="257" spans="1:29" s="114" customFormat="1" ht="47.45" customHeight="1" outlineLevel="1" x14ac:dyDescent="0.2">
      <c r="A257" s="115" t="s">
        <v>1344</v>
      </c>
      <c r="B257" s="136" t="s">
        <v>610</v>
      </c>
      <c r="C257" s="78">
        <f t="shared" si="226"/>
        <v>29.7</v>
      </c>
      <c r="D257" s="96">
        <f t="shared" si="227"/>
        <v>76629</v>
      </c>
      <c r="E257" s="78">
        <v>29.7</v>
      </c>
      <c r="F257" s="130">
        <f t="shared" si="228"/>
        <v>76629</v>
      </c>
      <c r="G257" s="130">
        <v>0</v>
      </c>
      <c r="H257" s="93">
        <v>72951</v>
      </c>
      <c r="I257" s="93">
        <v>3678</v>
      </c>
      <c r="J257" s="78">
        <v>0</v>
      </c>
      <c r="K257" s="118">
        <f t="shared" si="232"/>
        <v>0</v>
      </c>
      <c r="L257" s="118">
        <v>0</v>
      </c>
      <c r="M257" s="118">
        <v>0</v>
      </c>
      <c r="N257" s="118">
        <v>0</v>
      </c>
      <c r="O257" s="117">
        <v>0</v>
      </c>
      <c r="P257" s="118">
        <f t="shared" si="229"/>
        <v>0</v>
      </c>
      <c r="Q257" s="118">
        <v>0</v>
      </c>
      <c r="R257" s="118">
        <v>0</v>
      </c>
      <c r="S257" s="118">
        <v>0</v>
      </c>
      <c r="T257" s="117">
        <v>0</v>
      </c>
      <c r="U257" s="118">
        <f t="shared" si="230"/>
        <v>0</v>
      </c>
      <c r="V257" s="118">
        <v>0</v>
      </c>
      <c r="W257" s="118">
        <v>0</v>
      </c>
      <c r="X257" s="118">
        <v>0</v>
      </c>
      <c r="Y257" s="117">
        <v>0</v>
      </c>
      <c r="Z257" s="118">
        <f t="shared" si="231"/>
        <v>0</v>
      </c>
      <c r="AA257" s="118">
        <v>0</v>
      </c>
      <c r="AB257" s="118">
        <v>0</v>
      </c>
      <c r="AC257" s="118">
        <v>0</v>
      </c>
    </row>
    <row r="258" spans="1:29" s="114" customFormat="1" ht="28.5" customHeight="1" outlineLevel="1" x14ac:dyDescent="0.2">
      <c r="A258" s="115" t="s">
        <v>1345</v>
      </c>
      <c r="B258" s="136" t="s">
        <v>611</v>
      </c>
      <c r="C258" s="78">
        <f t="shared" si="226"/>
        <v>32.51</v>
      </c>
      <c r="D258" s="96">
        <f t="shared" si="227"/>
        <v>109670</v>
      </c>
      <c r="E258" s="137">
        <v>32.51</v>
      </c>
      <c r="F258" s="130">
        <f t="shared" si="228"/>
        <v>109670</v>
      </c>
      <c r="G258" s="130">
        <v>0</v>
      </c>
      <c r="H258" s="93">
        <v>104406</v>
      </c>
      <c r="I258" s="93">
        <v>5264</v>
      </c>
      <c r="J258" s="78">
        <v>0</v>
      </c>
      <c r="K258" s="118">
        <f t="shared" si="232"/>
        <v>0</v>
      </c>
      <c r="L258" s="118">
        <v>0</v>
      </c>
      <c r="M258" s="118">
        <v>0</v>
      </c>
      <c r="N258" s="118">
        <v>0</v>
      </c>
      <c r="O258" s="117">
        <v>0</v>
      </c>
      <c r="P258" s="118">
        <f t="shared" si="229"/>
        <v>0</v>
      </c>
      <c r="Q258" s="118">
        <v>0</v>
      </c>
      <c r="R258" s="118">
        <v>0</v>
      </c>
      <c r="S258" s="118">
        <v>0</v>
      </c>
      <c r="T258" s="117">
        <v>0</v>
      </c>
      <c r="U258" s="118">
        <f t="shared" si="230"/>
        <v>0</v>
      </c>
      <c r="V258" s="118">
        <v>0</v>
      </c>
      <c r="W258" s="118">
        <v>0</v>
      </c>
      <c r="X258" s="118">
        <v>0</v>
      </c>
      <c r="Y258" s="117">
        <v>0</v>
      </c>
      <c r="Z258" s="118">
        <f t="shared" si="231"/>
        <v>0</v>
      </c>
      <c r="AA258" s="118">
        <v>0</v>
      </c>
      <c r="AB258" s="118">
        <v>0</v>
      </c>
      <c r="AC258" s="118">
        <v>0</v>
      </c>
    </row>
    <row r="259" spans="1:29" s="121" customFormat="1" ht="30" customHeight="1" outlineLevel="1" x14ac:dyDescent="0.2">
      <c r="A259" s="115" t="s">
        <v>1346</v>
      </c>
      <c r="B259" s="132" t="s">
        <v>612</v>
      </c>
      <c r="C259" s="78">
        <f t="shared" si="226"/>
        <v>2.0699999999999998</v>
      </c>
      <c r="D259" s="96">
        <f t="shared" si="227"/>
        <v>3457</v>
      </c>
      <c r="E259" s="92">
        <v>2.0699999999999998</v>
      </c>
      <c r="F259" s="130">
        <f t="shared" si="228"/>
        <v>3457</v>
      </c>
      <c r="G259" s="130">
        <v>0</v>
      </c>
      <c r="H259" s="93">
        <v>3291</v>
      </c>
      <c r="I259" s="130">
        <v>166</v>
      </c>
      <c r="J259" s="78">
        <v>0</v>
      </c>
      <c r="K259" s="118">
        <f t="shared" si="232"/>
        <v>0</v>
      </c>
      <c r="L259" s="118">
        <v>0</v>
      </c>
      <c r="M259" s="118">
        <v>0</v>
      </c>
      <c r="N259" s="118">
        <v>0</v>
      </c>
      <c r="O259" s="117">
        <v>0</v>
      </c>
      <c r="P259" s="118">
        <f t="shared" si="229"/>
        <v>0</v>
      </c>
      <c r="Q259" s="118">
        <v>0</v>
      </c>
      <c r="R259" s="118">
        <v>0</v>
      </c>
      <c r="S259" s="118">
        <v>0</v>
      </c>
      <c r="T259" s="117">
        <v>0</v>
      </c>
      <c r="U259" s="118">
        <f t="shared" si="230"/>
        <v>0</v>
      </c>
      <c r="V259" s="118">
        <v>0</v>
      </c>
      <c r="W259" s="118">
        <v>0</v>
      </c>
      <c r="X259" s="118">
        <v>0</v>
      </c>
      <c r="Y259" s="117">
        <v>0</v>
      </c>
      <c r="Z259" s="118">
        <f t="shared" si="231"/>
        <v>0</v>
      </c>
      <c r="AA259" s="118">
        <v>0</v>
      </c>
      <c r="AB259" s="118">
        <v>0</v>
      </c>
      <c r="AC259" s="118">
        <v>0</v>
      </c>
    </row>
    <row r="260" spans="1:29" s="121" customFormat="1" ht="61.5" customHeight="1" outlineLevel="1" x14ac:dyDescent="0.2">
      <c r="A260" s="115" t="s">
        <v>1347</v>
      </c>
      <c r="B260" s="132" t="s">
        <v>852</v>
      </c>
      <c r="C260" s="78">
        <f t="shared" si="226"/>
        <v>95.759999999999991</v>
      </c>
      <c r="D260" s="96">
        <f t="shared" si="227"/>
        <v>153358</v>
      </c>
      <c r="E260" s="92">
        <v>45.6</v>
      </c>
      <c r="F260" s="130">
        <f t="shared" si="228"/>
        <v>74058</v>
      </c>
      <c r="G260" s="130">
        <v>0</v>
      </c>
      <c r="H260" s="93">
        <v>70503</v>
      </c>
      <c r="I260" s="130">
        <v>3555</v>
      </c>
      <c r="J260" s="78">
        <v>50.16</v>
      </c>
      <c r="K260" s="118">
        <f t="shared" si="232"/>
        <v>79300</v>
      </c>
      <c r="L260" s="118">
        <v>0</v>
      </c>
      <c r="M260" s="118">
        <v>74701</v>
      </c>
      <c r="N260" s="118">
        <v>4599</v>
      </c>
      <c r="O260" s="117">
        <v>0</v>
      </c>
      <c r="P260" s="118">
        <f t="shared" si="229"/>
        <v>0</v>
      </c>
      <c r="Q260" s="118">
        <v>0</v>
      </c>
      <c r="R260" s="118">
        <v>0</v>
      </c>
      <c r="S260" s="118">
        <v>0</v>
      </c>
      <c r="T260" s="117">
        <v>0</v>
      </c>
      <c r="U260" s="118">
        <f t="shared" si="230"/>
        <v>0</v>
      </c>
      <c r="V260" s="118">
        <v>0</v>
      </c>
      <c r="W260" s="118">
        <v>0</v>
      </c>
      <c r="X260" s="118">
        <v>0</v>
      </c>
      <c r="Y260" s="117">
        <v>0</v>
      </c>
      <c r="Z260" s="118">
        <f t="shared" si="231"/>
        <v>0</v>
      </c>
      <c r="AA260" s="118">
        <v>0</v>
      </c>
      <c r="AB260" s="118">
        <v>0</v>
      </c>
      <c r="AC260" s="118">
        <v>0</v>
      </c>
    </row>
    <row r="261" spans="1:29" s="121" customFormat="1" ht="36.75" customHeight="1" outlineLevel="1" x14ac:dyDescent="0.2">
      <c r="A261" s="115" t="s">
        <v>1348</v>
      </c>
      <c r="B261" s="132" t="s">
        <v>568</v>
      </c>
      <c r="C261" s="78">
        <f t="shared" ref="C261" si="233">E261+J261+O261+T261+Y261</f>
        <v>1.59</v>
      </c>
      <c r="D261" s="96">
        <f>F261+K261+P261+U261+Z261</f>
        <v>3910</v>
      </c>
      <c r="E261" s="92">
        <v>1.59</v>
      </c>
      <c r="F261" s="130">
        <f t="shared" si="228"/>
        <v>3910</v>
      </c>
      <c r="G261" s="130">
        <v>0</v>
      </c>
      <c r="H261" s="93">
        <v>3722</v>
      </c>
      <c r="I261" s="130">
        <v>188</v>
      </c>
      <c r="J261" s="78">
        <v>0</v>
      </c>
      <c r="K261" s="118">
        <f t="shared" si="232"/>
        <v>0</v>
      </c>
      <c r="L261" s="118">
        <v>0</v>
      </c>
      <c r="M261" s="118">
        <v>0</v>
      </c>
      <c r="N261" s="118">
        <v>0</v>
      </c>
      <c r="O261" s="117">
        <v>0</v>
      </c>
      <c r="P261" s="118">
        <f t="shared" si="229"/>
        <v>0</v>
      </c>
      <c r="Q261" s="118">
        <v>0</v>
      </c>
      <c r="R261" s="118">
        <v>0</v>
      </c>
      <c r="S261" s="118">
        <v>0</v>
      </c>
      <c r="T261" s="117">
        <v>0</v>
      </c>
      <c r="U261" s="118">
        <f t="shared" si="230"/>
        <v>0</v>
      </c>
      <c r="V261" s="118">
        <v>0</v>
      </c>
      <c r="W261" s="118">
        <v>0</v>
      </c>
      <c r="X261" s="118">
        <v>0</v>
      </c>
      <c r="Y261" s="117">
        <v>0</v>
      </c>
      <c r="Z261" s="118">
        <f t="shared" si="231"/>
        <v>0</v>
      </c>
      <c r="AA261" s="118">
        <v>0</v>
      </c>
      <c r="AB261" s="118">
        <v>0</v>
      </c>
      <c r="AC261" s="118">
        <v>0</v>
      </c>
    </row>
    <row r="262" spans="1:29" s="121" customFormat="1" ht="27.75" customHeight="1" outlineLevel="1" x14ac:dyDescent="0.2">
      <c r="A262" s="115" t="s">
        <v>1349</v>
      </c>
      <c r="B262" s="132" t="s">
        <v>962</v>
      </c>
      <c r="C262" s="78">
        <f>E262+J262+O262+T262+Y262</f>
        <v>34.46</v>
      </c>
      <c r="D262" s="96">
        <f>F262+K262+P262+U262+Z262</f>
        <v>58667</v>
      </c>
      <c r="E262" s="92">
        <v>0</v>
      </c>
      <c r="F262" s="130">
        <f>G262+H262+I262</f>
        <v>0</v>
      </c>
      <c r="G262" s="130">
        <v>0</v>
      </c>
      <c r="H262" s="93">
        <v>0</v>
      </c>
      <c r="I262" s="93">
        <v>0</v>
      </c>
      <c r="J262" s="78">
        <v>0</v>
      </c>
      <c r="K262" s="118">
        <f>L262+M262+N262</f>
        <v>0</v>
      </c>
      <c r="L262" s="118">
        <v>0</v>
      </c>
      <c r="M262" s="118">
        <v>0</v>
      </c>
      <c r="N262" s="118">
        <v>0</v>
      </c>
      <c r="O262" s="117">
        <v>34.46</v>
      </c>
      <c r="P262" s="118">
        <f t="shared" si="229"/>
        <v>58667</v>
      </c>
      <c r="Q262" s="118">
        <v>0</v>
      </c>
      <c r="R262" s="118">
        <v>55264</v>
      </c>
      <c r="S262" s="118">
        <v>3403</v>
      </c>
      <c r="T262" s="78">
        <v>0</v>
      </c>
      <c r="U262" s="118">
        <f>V262+W262+X262</f>
        <v>0</v>
      </c>
      <c r="V262" s="118">
        <v>0</v>
      </c>
      <c r="W262" s="118">
        <v>0</v>
      </c>
      <c r="X262" s="118">
        <v>0</v>
      </c>
      <c r="Y262" s="117">
        <v>0</v>
      </c>
      <c r="Z262" s="118">
        <v>0</v>
      </c>
      <c r="AA262" s="118">
        <v>0</v>
      </c>
      <c r="AB262" s="118">
        <v>0</v>
      </c>
      <c r="AC262" s="118">
        <v>0</v>
      </c>
    </row>
    <row r="263" spans="1:29" s="121" customFormat="1" ht="27.75" customHeight="1" outlineLevel="1" x14ac:dyDescent="0.2">
      <c r="A263" s="115" t="s">
        <v>1350</v>
      </c>
      <c r="B263" s="132" t="s">
        <v>961</v>
      </c>
      <c r="C263" s="78">
        <f>E263+J263+O263+T263+Y263</f>
        <v>16.23</v>
      </c>
      <c r="D263" s="96">
        <f>F263+K263+P263+U263+Z263</f>
        <v>115326</v>
      </c>
      <c r="E263" s="92">
        <v>0</v>
      </c>
      <c r="F263" s="130">
        <f>G263+H263+I263</f>
        <v>0</v>
      </c>
      <c r="G263" s="130">
        <v>0</v>
      </c>
      <c r="H263" s="93">
        <v>0</v>
      </c>
      <c r="I263" s="93">
        <v>0</v>
      </c>
      <c r="J263" s="78">
        <v>0</v>
      </c>
      <c r="K263" s="118">
        <f>L263+M263+N263</f>
        <v>0</v>
      </c>
      <c r="L263" s="118">
        <v>0</v>
      </c>
      <c r="M263" s="118">
        <v>0</v>
      </c>
      <c r="N263" s="118">
        <v>0</v>
      </c>
      <c r="O263" s="117">
        <v>16.23</v>
      </c>
      <c r="P263" s="118">
        <f t="shared" si="229"/>
        <v>115326</v>
      </c>
      <c r="Q263" s="118">
        <v>0</v>
      </c>
      <c r="R263" s="118">
        <v>108637</v>
      </c>
      <c r="S263" s="118">
        <v>6689</v>
      </c>
      <c r="T263" s="78">
        <v>0</v>
      </c>
      <c r="U263" s="118">
        <f>V263+W263+X263</f>
        <v>0</v>
      </c>
      <c r="V263" s="118">
        <v>0</v>
      </c>
      <c r="W263" s="118">
        <v>0</v>
      </c>
      <c r="X263" s="118">
        <v>0</v>
      </c>
      <c r="Y263" s="117">
        <v>0</v>
      </c>
      <c r="Z263" s="118">
        <v>0</v>
      </c>
      <c r="AA263" s="118">
        <v>0</v>
      </c>
      <c r="AB263" s="118">
        <v>0</v>
      </c>
      <c r="AC263" s="118">
        <v>0</v>
      </c>
    </row>
    <row r="264" spans="1:29" s="121" customFormat="1" ht="27.75" customHeight="1" outlineLevel="1" x14ac:dyDescent="0.2">
      <c r="A264" s="115" t="s">
        <v>1351</v>
      </c>
      <c r="B264" s="132" t="s">
        <v>695</v>
      </c>
      <c r="C264" s="78">
        <f t="shared" ref="C264:C269" si="234">E264+J264+O264+T264+Y264</f>
        <v>26.05</v>
      </c>
      <c r="D264" s="96">
        <f t="shared" ref="D264:D269" si="235">F264+K264+P264+U264+Z264</f>
        <v>70285</v>
      </c>
      <c r="E264" s="92">
        <v>0</v>
      </c>
      <c r="F264" s="130">
        <f t="shared" ref="F264:F269" si="236">G264+H264+I264</f>
        <v>0</v>
      </c>
      <c r="G264" s="130">
        <v>0</v>
      </c>
      <c r="H264" s="93">
        <v>0</v>
      </c>
      <c r="I264" s="93">
        <v>0</v>
      </c>
      <c r="J264" s="78">
        <v>26.05</v>
      </c>
      <c r="K264" s="118">
        <f t="shared" si="232"/>
        <v>70285</v>
      </c>
      <c r="L264" s="118">
        <v>0</v>
      </c>
      <c r="M264" s="118">
        <v>66208</v>
      </c>
      <c r="N264" s="118">
        <v>4077</v>
      </c>
      <c r="O264" s="117">
        <v>0</v>
      </c>
      <c r="P264" s="118">
        <f t="shared" si="229"/>
        <v>0</v>
      </c>
      <c r="Q264" s="118">
        <v>0</v>
      </c>
      <c r="R264" s="118">
        <v>0</v>
      </c>
      <c r="S264" s="118">
        <v>0</v>
      </c>
      <c r="T264" s="117">
        <v>0</v>
      </c>
      <c r="U264" s="118">
        <f t="shared" ref="U264:U269" si="237">V264+W264+X264</f>
        <v>0</v>
      </c>
      <c r="V264" s="118">
        <v>0</v>
      </c>
      <c r="W264" s="118">
        <v>0</v>
      </c>
      <c r="X264" s="118">
        <v>0</v>
      </c>
      <c r="Y264" s="117">
        <v>0</v>
      </c>
      <c r="Z264" s="118">
        <f t="shared" ref="Z264:Z269" si="238">AA264+AB264+AC264</f>
        <v>0</v>
      </c>
      <c r="AA264" s="118">
        <v>0</v>
      </c>
      <c r="AB264" s="118">
        <v>0</v>
      </c>
      <c r="AC264" s="118">
        <v>0</v>
      </c>
    </row>
    <row r="265" spans="1:29" s="121" customFormat="1" ht="33" customHeight="1" outlineLevel="1" x14ac:dyDescent="0.2">
      <c r="A265" s="115" t="s">
        <v>1352</v>
      </c>
      <c r="B265" s="132" t="s">
        <v>696</v>
      </c>
      <c r="C265" s="78">
        <f t="shared" si="234"/>
        <v>62.48</v>
      </c>
      <c r="D265" s="96">
        <f t="shared" si="235"/>
        <v>179685</v>
      </c>
      <c r="E265" s="92">
        <v>0</v>
      </c>
      <c r="F265" s="130">
        <f t="shared" si="236"/>
        <v>0</v>
      </c>
      <c r="G265" s="130">
        <v>0</v>
      </c>
      <c r="H265" s="93">
        <v>0</v>
      </c>
      <c r="I265" s="93">
        <v>0</v>
      </c>
      <c r="J265" s="78">
        <v>62.48</v>
      </c>
      <c r="K265" s="118">
        <f t="shared" si="232"/>
        <v>179685</v>
      </c>
      <c r="L265" s="118">
        <v>0</v>
      </c>
      <c r="M265" s="118">
        <v>169263</v>
      </c>
      <c r="N265" s="118">
        <v>10422</v>
      </c>
      <c r="O265" s="117">
        <v>0</v>
      </c>
      <c r="P265" s="118">
        <f t="shared" ref="P265:P269" si="239">Q265+R265+S265</f>
        <v>0</v>
      </c>
      <c r="Q265" s="118">
        <v>0</v>
      </c>
      <c r="R265" s="118">
        <v>0</v>
      </c>
      <c r="S265" s="118">
        <v>0</v>
      </c>
      <c r="T265" s="117">
        <v>0</v>
      </c>
      <c r="U265" s="118">
        <f t="shared" si="237"/>
        <v>0</v>
      </c>
      <c r="V265" s="118">
        <v>0</v>
      </c>
      <c r="W265" s="118">
        <v>0</v>
      </c>
      <c r="X265" s="118">
        <v>0</v>
      </c>
      <c r="Y265" s="117">
        <v>0</v>
      </c>
      <c r="Z265" s="118">
        <f t="shared" si="238"/>
        <v>0</v>
      </c>
      <c r="AA265" s="118">
        <v>0</v>
      </c>
      <c r="AB265" s="118">
        <v>0</v>
      </c>
      <c r="AC265" s="118">
        <v>0</v>
      </c>
    </row>
    <row r="266" spans="1:29" s="121" customFormat="1" ht="41.25" customHeight="1" outlineLevel="1" x14ac:dyDescent="0.2">
      <c r="A266" s="115" t="s">
        <v>1353</v>
      </c>
      <c r="B266" s="132" t="s">
        <v>697</v>
      </c>
      <c r="C266" s="78">
        <f t="shared" si="234"/>
        <v>10.210000000000001</v>
      </c>
      <c r="D266" s="96">
        <f t="shared" si="235"/>
        <v>27965</v>
      </c>
      <c r="E266" s="92">
        <v>0</v>
      </c>
      <c r="F266" s="130">
        <f t="shared" si="236"/>
        <v>0</v>
      </c>
      <c r="G266" s="130">
        <v>0</v>
      </c>
      <c r="H266" s="93">
        <v>0</v>
      </c>
      <c r="I266" s="93">
        <v>0</v>
      </c>
      <c r="J266" s="78">
        <v>10.210000000000001</v>
      </c>
      <c r="K266" s="118">
        <f t="shared" si="232"/>
        <v>27965</v>
      </c>
      <c r="L266" s="118">
        <v>0</v>
      </c>
      <c r="M266" s="118">
        <v>26343</v>
      </c>
      <c r="N266" s="118">
        <v>1622</v>
      </c>
      <c r="O266" s="117">
        <v>0</v>
      </c>
      <c r="P266" s="118">
        <f t="shared" si="239"/>
        <v>0</v>
      </c>
      <c r="Q266" s="118">
        <v>0</v>
      </c>
      <c r="R266" s="118">
        <v>0</v>
      </c>
      <c r="S266" s="118">
        <v>0</v>
      </c>
      <c r="T266" s="117">
        <v>0</v>
      </c>
      <c r="U266" s="118">
        <f t="shared" si="237"/>
        <v>0</v>
      </c>
      <c r="V266" s="118">
        <v>0</v>
      </c>
      <c r="W266" s="118">
        <v>0</v>
      </c>
      <c r="X266" s="118">
        <v>0</v>
      </c>
      <c r="Y266" s="117">
        <v>0</v>
      </c>
      <c r="Z266" s="118">
        <f t="shared" si="238"/>
        <v>0</v>
      </c>
      <c r="AA266" s="118">
        <v>0</v>
      </c>
      <c r="AB266" s="118">
        <v>0</v>
      </c>
      <c r="AC266" s="118">
        <v>0</v>
      </c>
    </row>
    <row r="267" spans="1:29" s="121" customFormat="1" ht="25.5" customHeight="1" outlineLevel="1" x14ac:dyDescent="0.2">
      <c r="A267" s="115" t="s">
        <v>1354</v>
      </c>
      <c r="B267" s="132" t="s">
        <v>698</v>
      </c>
      <c r="C267" s="78">
        <f t="shared" si="234"/>
        <v>41.93</v>
      </c>
      <c r="D267" s="96">
        <f t="shared" si="235"/>
        <v>105508</v>
      </c>
      <c r="E267" s="92">
        <v>0</v>
      </c>
      <c r="F267" s="130">
        <f t="shared" si="236"/>
        <v>0</v>
      </c>
      <c r="G267" s="130">
        <v>0</v>
      </c>
      <c r="H267" s="93">
        <v>0</v>
      </c>
      <c r="I267" s="93">
        <v>0</v>
      </c>
      <c r="J267" s="78">
        <v>41.93</v>
      </c>
      <c r="K267" s="118">
        <f t="shared" si="232"/>
        <v>105508</v>
      </c>
      <c r="L267" s="118">
        <v>0</v>
      </c>
      <c r="M267" s="118">
        <v>99388</v>
      </c>
      <c r="N267" s="118">
        <v>6120</v>
      </c>
      <c r="O267" s="117">
        <v>0</v>
      </c>
      <c r="P267" s="118">
        <f t="shared" si="239"/>
        <v>0</v>
      </c>
      <c r="Q267" s="118">
        <v>0</v>
      </c>
      <c r="R267" s="118">
        <v>0</v>
      </c>
      <c r="S267" s="118">
        <v>0</v>
      </c>
      <c r="T267" s="117">
        <v>0</v>
      </c>
      <c r="U267" s="118">
        <f t="shared" si="237"/>
        <v>0</v>
      </c>
      <c r="V267" s="118">
        <v>0</v>
      </c>
      <c r="W267" s="118">
        <v>0</v>
      </c>
      <c r="X267" s="118">
        <v>0</v>
      </c>
      <c r="Y267" s="117">
        <v>0</v>
      </c>
      <c r="Z267" s="118">
        <f t="shared" si="238"/>
        <v>0</v>
      </c>
      <c r="AA267" s="118">
        <v>0</v>
      </c>
      <c r="AB267" s="118">
        <v>0</v>
      </c>
      <c r="AC267" s="118">
        <v>0</v>
      </c>
    </row>
    <row r="268" spans="1:29" s="121" customFormat="1" ht="28.5" customHeight="1" outlineLevel="1" x14ac:dyDescent="0.2">
      <c r="A268" s="115" t="s">
        <v>1355</v>
      </c>
      <c r="B268" s="132" t="s">
        <v>699</v>
      </c>
      <c r="C268" s="78">
        <f t="shared" si="234"/>
        <v>10.67</v>
      </c>
      <c r="D268" s="96">
        <f t="shared" si="235"/>
        <v>24936</v>
      </c>
      <c r="E268" s="92">
        <v>0</v>
      </c>
      <c r="F268" s="130">
        <f t="shared" si="236"/>
        <v>0</v>
      </c>
      <c r="G268" s="130">
        <v>0</v>
      </c>
      <c r="H268" s="93">
        <v>0</v>
      </c>
      <c r="I268" s="93">
        <v>0</v>
      </c>
      <c r="J268" s="78">
        <v>10.67</v>
      </c>
      <c r="K268" s="118">
        <f t="shared" si="232"/>
        <v>24936</v>
      </c>
      <c r="L268" s="118">
        <v>0</v>
      </c>
      <c r="M268" s="118">
        <v>23490</v>
      </c>
      <c r="N268" s="118">
        <v>1446</v>
      </c>
      <c r="O268" s="117">
        <v>0</v>
      </c>
      <c r="P268" s="118">
        <f t="shared" si="239"/>
        <v>0</v>
      </c>
      <c r="Q268" s="118">
        <v>0</v>
      </c>
      <c r="R268" s="118">
        <v>0</v>
      </c>
      <c r="S268" s="118">
        <v>0</v>
      </c>
      <c r="T268" s="117">
        <v>0</v>
      </c>
      <c r="U268" s="118">
        <f t="shared" si="237"/>
        <v>0</v>
      </c>
      <c r="V268" s="118">
        <v>0</v>
      </c>
      <c r="W268" s="118">
        <v>0</v>
      </c>
      <c r="X268" s="118">
        <v>0</v>
      </c>
      <c r="Y268" s="117">
        <v>0</v>
      </c>
      <c r="Z268" s="118">
        <f t="shared" si="238"/>
        <v>0</v>
      </c>
      <c r="AA268" s="118">
        <v>0</v>
      </c>
      <c r="AB268" s="118">
        <v>0</v>
      </c>
      <c r="AC268" s="118">
        <v>0</v>
      </c>
    </row>
    <row r="269" spans="1:29" s="121" customFormat="1" ht="31.5" customHeight="1" outlineLevel="1" x14ac:dyDescent="0.2">
      <c r="A269" s="115" t="s">
        <v>1356</v>
      </c>
      <c r="B269" s="132" t="s">
        <v>700</v>
      </c>
      <c r="C269" s="78">
        <f t="shared" si="234"/>
        <v>7.85</v>
      </c>
      <c r="D269" s="96">
        <f t="shared" si="235"/>
        <v>22609</v>
      </c>
      <c r="E269" s="92">
        <v>0</v>
      </c>
      <c r="F269" s="130">
        <f t="shared" si="236"/>
        <v>0</v>
      </c>
      <c r="G269" s="130">
        <v>0</v>
      </c>
      <c r="H269" s="93">
        <v>0</v>
      </c>
      <c r="I269" s="93">
        <v>0</v>
      </c>
      <c r="J269" s="78">
        <v>7.85</v>
      </c>
      <c r="K269" s="118">
        <f t="shared" si="232"/>
        <v>22609</v>
      </c>
      <c r="L269" s="118">
        <v>0</v>
      </c>
      <c r="M269" s="118">
        <v>21298</v>
      </c>
      <c r="N269" s="118">
        <v>1311</v>
      </c>
      <c r="O269" s="117">
        <v>0</v>
      </c>
      <c r="P269" s="118">
        <f t="shared" si="239"/>
        <v>0</v>
      </c>
      <c r="Q269" s="118">
        <v>0</v>
      </c>
      <c r="R269" s="118">
        <v>0</v>
      </c>
      <c r="S269" s="118">
        <v>0</v>
      </c>
      <c r="T269" s="117">
        <v>0</v>
      </c>
      <c r="U269" s="118">
        <f t="shared" si="237"/>
        <v>0</v>
      </c>
      <c r="V269" s="118">
        <v>0</v>
      </c>
      <c r="W269" s="118">
        <v>0</v>
      </c>
      <c r="X269" s="118">
        <v>0</v>
      </c>
      <c r="Y269" s="117">
        <v>0</v>
      </c>
      <c r="Z269" s="118">
        <f t="shared" si="238"/>
        <v>0</v>
      </c>
      <c r="AA269" s="118">
        <v>0</v>
      </c>
      <c r="AB269" s="118">
        <v>0</v>
      </c>
      <c r="AC269" s="118">
        <v>0</v>
      </c>
    </row>
    <row r="270" spans="1:29" s="121" customFormat="1" ht="46.9" customHeight="1" outlineLevel="1" x14ac:dyDescent="0.2">
      <c r="A270" s="115" t="s">
        <v>1357</v>
      </c>
      <c r="B270" s="132" t="s">
        <v>701</v>
      </c>
      <c r="C270" s="78">
        <f t="shared" ref="C270:C277" si="240">E270+J270+O270+T270+Y270</f>
        <v>5.65</v>
      </c>
      <c r="D270" s="96">
        <f t="shared" ref="D270:D277" si="241">F270+K270+P270+U270+Z270</f>
        <v>15130</v>
      </c>
      <c r="E270" s="92">
        <v>0</v>
      </c>
      <c r="F270" s="130">
        <f t="shared" ref="F270:F277" si="242">G270+H270+I270</f>
        <v>0</v>
      </c>
      <c r="G270" s="130">
        <v>0</v>
      </c>
      <c r="H270" s="93">
        <v>0</v>
      </c>
      <c r="I270" s="93">
        <v>0</v>
      </c>
      <c r="J270" s="78">
        <v>5.65</v>
      </c>
      <c r="K270" s="118">
        <f t="shared" si="232"/>
        <v>15130</v>
      </c>
      <c r="L270" s="118">
        <v>0</v>
      </c>
      <c r="M270" s="118">
        <v>14253</v>
      </c>
      <c r="N270" s="118">
        <v>877</v>
      </c>
      <c r="O270" s="117">
        <v>0</v>
      </c>
      <c r="P270" s="118">
        <f t="shared" ref="P270:P277" si="243">Q270+R270+S270</f>
        <v>0</v>
      </c>
      <c r="Q270" s="118">
        <v>0</v>
      </c>
      <c r="R270" s="118">
        <v>0</v>
      </c>
      <c r="S270" s="118">
        <v>0</v>
      </c>
      <c r="T270" s="117">
        <v>0</v>
      </c>
      <c r="U270" s="118">
        <f t="shared" ref="U270:U277" si="244">V270+W270+X270</f>
        <v>0</v>
      </c>
      <c r="V270" s="118">
        <v>0</v>
      </c>
      <c r="W270" s="118">
        <v>0</v>
      </c>
      <c r="X270" s="118">
        <v>0</v>
      </c>
      <c r="Y270" s="117">
        <v>0</v>
      </c>
      <c r="Z270" s="118">
        <f t="shared" ref="Z270:Z277" si="245">AA270+AB270+AC270</f>
        <v>0</v>
      </c>
      <c r="AA270" s="118">
        <v>0</v>
      </c>
      <c r="AB270" s="118">
        <v>0</v>
      </c>
      <c r="AC270" s="118">
        <v>0</v>
      </c>
    </row>
    <row r="271" spans="1:29" s="121" customFormat="1" ht="40.5" customHeight="1" outlineLevel="1" x14ac:dyDescent="0.2">
      <c r="A271" s="115" t="s">
        <v>1358</v>
      </c>
      <c r="B271" s="132" t="s">
        <v>851</v>
      </c>
      <c r="C271" s="78">
        <f t="shared" ref="C271" si="246">E271+J271+O271+T271+Y271</f>
        <v>4.07</v>
      </c>
      <c r="D271" s="96">
        <f t="shared" ref="D271" si="247">F271+K271+P271+U271+Z271</f>
        <v>7603</v>
      </c>
      <c r="E271" s="92">
        <v>0</v>
      </c>
      <c r="F271" s="130">
        <f t="shared" ref="F271" si="248">G271+H271+I271</f>
        <v>0</v>
      </c>
      <c r="G271" s="130">
        <v>0</v>
      </c>
      <c r="H271" s="93">
        <v>0</v>
      </c>
      <c r="I271" s="93">
        <v>0</v>
      </c>
      <c r="J271" s="78">
        <v>4.07</v>
      </c>
      <c r="K271" s="118">
        <f t="shared" si="232"/>
        <v>7603</v>
      </c>
      <c r="L271" s="118">
        <v>0</v>
      </c>
      <c r="M271" s="118">
        <v>7162</v>
      </c>
      <c r="N271" s="118">
        <v>441</v>
      </c>
      <c r="O271" s="117">
        <v>0</v>
      </c>
      <c r="P271" s="118">
        <f t="shared" ref="P271" si="249">Q271+R271+S271</f>
        <v>0</v>
      </c>
      <c r="Q271" s="118">
        <v>0</v>
      </c>
      <c r="R271" s="118">
        <v>0</v>
      </c>
      <c r="S271" s="118">
        <v>0</v>
      </c>
      <c r="T271" s="117">
        <v>0</v>
      </c>
      <c r="U271" s="118">
        <f t="shared" ref="U271" si="250">V271+W271+X271</f>
        <v>0</v>
      </c>
      <c r="V271" s="118">
        <v>0</v>
      </c>
      <c r="W271" s="118">
        <v>0</v>
      </c>
      <c r="X271" s="118">
        <v>0</v>
      </c>
      <c r="Y271" s="117">
        <v>0</v>
      </c>
      <c r="Z271" s="118">
        <f t="shared" ref="Z271" si="251">AA271+AB271+AC271</f>
        <v>0</v>
      </c>
      <c r="AA271" s="118">
        <v>0</v>
      </c>
      <c r="AB271" s="118">
        <v>0</v>
      </c>
      <c r="AC271" s="118">
        <v>0</v>
      </c>
    </row>
    <row r="272" spans="1:29" s="121" customFormat="1" ht="33" customHeight="1" outlineLevel="1" x14ac:dyDescent="0.2">
      <c r="A272" s="115" t="s">
        <v>1359</v>
      </c>
      <c r="B272" s="132" t="s">
        <v>702</v>
      </c>
      <c r="C272" s="78">
        <f t="shared" si="240"/>
        <v>0</v>
      </c>
      <c r="D272" s="96">
        <f t="shared" si="241"/>
        <v>0</v>
      </c>
      <c r="E272" s="92">
        <v>0</v>
      </c>
      <c r="F272" s="130">
        <f t="shared" si="242"/>
        <v>0</v>
      </c>
      <c r="G272" s="130">
        <v>0</v>
      </c>
      <c r="H272" s="93">
        <v>0</v>
      </c>
      <c r="I272" s="93">
        <v>0</v>
      </c>
      <c r="J272" s="78">
        <v>0</v>
      </c>
      <c r="K272" s="118">
        <f t="shared" si="232"/>
        <v>0</v>
      </c>
      <c r="L272" s="118">
        <v>0</v>
      </c>
      <c r="M272" s="118">
        <v>0</v>
      </c>
      <c r="N272" s="118">
        <v>0</v>
      </c>
      <c r="O272" s="117">
        <v>0</v>
      </c>
      <c r="P272" s="118">
        <f t="shared" si="243"/>
        <v>0</v>
      </c>
      <c r="Q272" s="118">
        <v>0</v>
      </c>
      <c r="R272" s="118">
        <v>0</v>
      </c>
      <c r="S272" s="118">
        <v>0</v>
      </c>
      <c r="T272" s="117">
        <v>0</v>
      </c>
      <c r="U272" s="118">
        <f t="shared" si="244"/>
        <v>0</v>
      </c>
      <c r="V272" s="118">
        <v>0</v>
      </c>
      <c r="W272" s="118">
        <v>0</v>
      </c>
      <c r="X272" s="118">
        <v>0</v>
      </c>
      <c r="Y272" s="117">
        <v>0</v>
      </c>
      <c r="Z272" s="118">
        <f t="shared" si="245"/>
        <v>0</v>
      </c>
      <c r="AA272" s="118">
        <v>0</v>
      </c>
      <c r="AB272" s="118">
        <v>0</v>
      </c>
      <c r="AC272" s="118">
        <v>0</v>
      </c>
    </row>
    <row r="273" spans="1:29" s="121" customFormat="1" ht="31.9" customHeight="1" outlineLevel="1" x14ac:dyDescent="0.2">
      <c r="A273" s="115" t="s">
        <v>1360</v>
      </c>
      <c r="B273" s="132" t="s">
        <v>1695</v>
      </c>
      <c r="C273" s="78">
        <f t="shared" si="240"/>
        <v>39.380000000000003</v>
      </c>
      <c r="D273" s="96">
        <f t="shared" si="241"/>
        <v>152318</v>
      </c>
      <c r="E273" s="92">
        <v>0</v>
      </c>
      <c r="F273" s="130">
        <f t="shared" si="242"/>
        <v>0</v>
      </c>
      <c r="G273" s="130">
        <v>0</v>
      </c>
      <c r="H273" s="93">
        <v>0</v>
      </c>
      <c r="I273" s="93">
        <v>0</v>
      </c>
      <c r="J273" s="78">
        <v>0</v>
      </c>
      <c r="K273" s="118">
        <f t="shared" si="232"/>
        <v>0</v>
      </c>
      <c r="L273" s="118">
        <v>0</v>
      </c>
      <c r="M273" s="118">
        <v>0</v>
      </c>
      <c r="N273" s="118">
        <v>0</v>
      </c>
      <c r="O273" s="117">
        <v>39.380000000000003</v>
      </c>
      <c r="P273" s="118">
        <f>Q273+R273+S273</f>
        <v>152318</v>
      </c>
      <c r="Q273" s="118">
        <v>0</v>
      </c>
      <c r="R273" s="118">
        <v>143483</v>
      </c>
      <c r="S273" s="118">
        <v>8835</v>
      </c>
      <c r="T273" s="117">
        <v>0</v>
      </c>
      <c r="U273" s="118">
        <f t="shared" si="244"/>
        <v>0</v>
      </c>
      <c r="V273" s="118">
        <v>0</v>
      </c>
      <c r="W273" s="118">
        <v>0</v>
      </c>
      <c r="X273" s="118">
        <v>0</v>
      </c>
      <c r="Y273" s="117">
        <v>0</v>
      </c>
      <c r="Z273" s="118">
        <f t="shared" si="245"/>
        <v>0</v>
      </c>
      <c r="AA273" s="118">
        <v>0</v>
      </c>
      <c r="AB273" s="118">
        <v>0</v>
      </c>
      <c r="AC273" s="118">
        <v>0</v>
      </c>
    </row>
    <row r="274" spans="1:29" s="121" customFormat="1" ht="39.75" customHeight="1" outlineLevel="1" x14ac:dyDescent="0.2">
      <c r="A274" s="115" t="s">
        <v>1361</v>
      </c>
      <c r="B274" s="132" t="s">
        <v>975</v>
      </c>
      <c r="C274" s="78">
        <f t="shared" si="240"/>
        <v>26</v>
      </c>
      <c r="D274" s="96">
        <f>F274+K274+P274+U274+Z274</f>
        <v>93731</v>
      </c>
      <c r="E274" s="92">
        <v>0</v>
      </c>
      <c r="F274" s="130">
        <f t="shared" si="242"/>
        <v>0</v>
      </c>
      <c r="G274" s="130">
        <v>0</v>
      </c>
      <c r="H274" s="93">
        <v>0</v>
      </c>
      <c r="I274" s="93">
        <v>0</v>
      </c>
      <c r="J274" s="78">
        <v>0</v>
      </c>
      <c r="K274" s="118">
        <f t="shared" si="232"/>
        <v>0</v>
      </c>
      <c r="L274" s="118">
        <v>0</v>
      </c>
      <c r="M274" s="118">
        <v>0</v>
      </c>
      <c r="N274" s="118">
        <v>0</v>
      </c>
      <c r="O274" s="117">
        <v>26</v>
      </c>
      <c r="P274" s="118">
        <f t="shared" si="243"/>
        <v>93731</v>
      </c>
      <c r="Q274" s="118">
        <v>0</v>
      </c>
      <c r="R274" s="118">
        <v>88295</v>
      </c>
      <c r="S274" s="118">
        <v>5436</v>
      </c>
      <c r="T274" s="117">
        <v>0</v>
      </c>
      <c r="U274" s="118">
        <f t="shared" si="244"/>
        <v>0</v>
      </c>
      <c r="V274" s="118">
        <v>0</v>
      </c>
      <c r="W274" s="118">
        <v>0</v>
      </c>
      <c r="X274" s="118">
        <v>0</v>
      </c>
      <c r="Y274" s="117">
        <v>0</v>
      </c>
      <c r="Z274" s="118">
        <f t="shared" si="245"/>
        <v>0</v>
      </c>
      <c r="AA274" s="118">
        <v>0</v>
      </c>
      <c r="AB274" s="118">
        <v>0</v>
      </c>
      <c r="AC274" s="118">
        <v>0</v>
      </c>
    </row>
    <row r="275" spans="1:29" s="121" customFormat="1" ht="37.9" customHeight="1" outlineLevel="1" x14ac:dyDescent="0.2">
      <c r="A275" s="115" t="s">
        <v>1362</v>
      </c>
      <c r="B275" s="132" t="s">
        <v>703</v>
      </c>
      <c r="C275" s="78">
        <f t="shared" si="240"/>
        <v>4.7</v>
      </c>
      <c r="D275" s="96">
        <f t="shared" si="241"/>
        <v>18637</v>
      </c>
      <c r="E275" s="92">
        <v>0</v>
      </c>
      <c r="F275" s="130">
        <f t="shared" si="242"/>
        <v>0</v>
      </c>
      <c r="G275" s="130">
        <v>0</v>
      </c>
      <c r="H275" s="93">
        <v>0</v>
      </c>
      <c r="I275" s="93">
        <v>0</v>
      </c>
      <c r="J275" s="78">
        <v>0</v>
      </c>
      <c r="K275" s="118">
        <f t="shared" si="232"/>
        <v>0</v>
      </c>
      <c r="L275" s="118">
        <v>0</v>
      </c>
      <c r="M275" s="118">
        <v>0</v>
      </c>
      <c r="N275" s="118">
        <v>0</v>
      </c>
      <c r="O275" s="117">
        <v>4.7</v>
      </c>
      <c r="P275" s="118">
        <f t="shared" si="243"/>
        <v>18637</v>
      </c>
      <c r="Q275" s="118">
        <v>0</v>
      </c>
      <c r="R275" s="118">
        <v>17556</v>
      </c>
      <c r="S275" s="118">
        <v>1081</v>
      </c>
      <c r="T275" s="117">
        <v>0</v>
      </c>
      <c r="U275" s="118">
        <f t="shared" si="244"/>
        <v>0</v>
      </c>
      <c r="V275" s="118">
        <v>0</v>
      </c>
      <c r="W275" s="118">
        <v>0</v>
      </c>
      <c r="X275" s="118">
        <v>0</v>
      </c>
      <c r="Y275" s="117">
        <v>0</v>
      </c>
      <c r="Z275" s="118">
        <f t="shared" si="245"/>
        <v>0</v>
      </c>
      <c r="AA275" s="118">
        <v>0</v>
      </c>
      <c r="AB275" s="118">
        <v>0</v>
      </c>
      <c r="AC275" s="118">
        <v>0</v>
      </c>
    </row>
    <row r="276" spans="1:29" s="121" customFormat="1" ht="33" customHeight="1" outlineLevel="1" x14ac:dyDescent="0.2">
      <c r="A276" s="115" t="s">
        <v>1363</v>
      </c>
      <c r="B276" s="132" t="s">
        <v>704</v>
      </c>
      <c r="C276" s="78">
        <f t="shared" si="240"/>
        <v>0</v>
      </c>
      <c r="D276" s="96">
        <f t="shared" si="241"/>
        <v>0</v>
      </c>
      <c r="E276" s="92">
        <v>0</v>
      </c>
      <c r="F276" s="130">
        <f t="shared" si="242"/>
        <v>0</v>
      </c>
      <c r="G276" s="130">
        <v>0</v>
      </c>
      <c r="H276" s="93">
        <v>0</v>
      </c>
      <c r="I276" s="93">
        <v>0</v>
      </c>
      <c r="J276" s="78">
        <v>0</v>
      </c>
      <c r="K276" s="118">
        <f t="shared" si="232"/>
        <v>0</v>
      </c>
      <c r="L276" s="118">
        <v>0</v>
      </c>
      <c r="M276" s="118">
        <v>0</v>
      </c>
      <c r="N276" s="118">
        <v>0</v>
      </c>
      <c r="O276" s="117">
        <v>0</v>
      </c>
      <c r="P276" s="118">
        <f t="shared" si="243"/>
        <v>0</v>
      </c>
      <c r="Q276" s="118">
        <v>0</v>
      </c>
      <c r="R276" s="118">
        <v>0</v>
      </c>
      <c r="S276" s="118">
        <v>0</v>
      </c>
      <c r="T276" s="117">
        <v>0</v>
      </c>
      <c r="U276" s="118">
        <f t="shared" si="244"/>
        <v>0</v>
      </c>
      <c r="V276" s="118">
        <v>0</v>
      </c>
      <c r="W276" s="118">
        <v>0</v>
      </c>
      <c r="X276" s="118">
        <v>0</v>
      </c>
      <c r="Y276" s="117">
        <v>0</v>
      </c>
      <c r="Z276" s="118">
        <f t="shared" si="245"/>
        <v>0</v>
      </c>
      <c r="AA276" s="118">
        <v>0</v>
      </c>
      <c r="AB276" s="118">
        <v>0</v>
      </c>
      <c r="AC276" s="118">
        <v>0</v>
      </c>
    </row>
    <row r="277" spans="1:29" s="121" customFormat="1" ht="36" customHeight="1" outlineLevel="1" x14ac:dyDescent="0.2">
      <c r="A277" s="115" t="s">
        <v>1364</v>
      </c>
      <c r="B277" s="132" t="s">
        <v>705</v>
      </c>
      <c r="C277" s="78">
        <f t="shared" si="240"/>
        <v>10.91</v>
      </c>
      <c r="D277" s="96">
        <f t="shared" si="241"/>
        <v>41397</v>
      </c>
      <c r="E277" s="92">
        <v>0</v>
      </c>
      <c r="F277" s="130">
        <f t="shared" si="242"/>
        <v>0</v>
      </c>
      <c r="G277" s="130">
        <v>0</v>
      </c>
      <c r="H277" s="93">
        <v>0</v>
      </c>
      <c r="I277" s="93">
        <v>0</v>
      </c>
      <c r="J277" s="78">
        <v>0</v>
      </c>
      <c r="K277" s="118">
        <f t="shared" si="232"/>
        <v>0</v>
      </c>
      <c r="L277" s="118">
        <v>0</v>
      </c>
      <c r="M277" s="118">
        <v>0</v>
      </c>
      <c r="N277" s="118">
        <v>0</v>
      </c>
      <c r="O277" s="117">
        <v>10.91</v>
      </c>
      <c r="P277" s="118">
        <f t="shared" si="243"/>
        <v>41397</v>
      </c>
      <c r="Q277" s="118">
        <v>0</v>
      </c>
      <c r="R277" s="118">
        <v>38996</v>
      </c>
      <c r="S277" s="118">
        <v>2401</v>
      </c>
      <c r="T277" s="117">
        <v>0</v>
      </c>
      <c r="U277" s="118">
        <f t="shared" si="244"/>
        <v>0</v>
      </c>
      <c r="V277" s="118">
        <v>0</v>
      </c>
      <c r="W277" s="118">
        <v>0</v>
      </c>
      <c r="X277" s="118">
        <v>0</v>
      </c>
      <c r="Y277" s="117">
        <v>0</v>
      </c>
      <c r="Z277" s="118">
        <f t="shared" si="245"/>
        <v>0</v>
      </c>
      <c r="AA277" s="118">
        <v>0</v>
      </c>
      <c r="AB277" s="118">
        <v>0</v>
      </c>
      <c r="AC277" s="118">
        <v>0</v>
      </c>
    </row>
    <row r="278" spans="1:29" s="121" customFormat="1" ht="36" customHeight="1" outlineLevel="1" x14ac:dyDescent="0.2">
      <c r="A278" s="115" t="s">
        <v>1365</v>
      </c>
      <c r="B278" s="132" t="s">
        <v>948</v>
      </c>
      <c r="C278" s="78">
        <f t="shared" ref="C278:C282" si="252">E278+J278+O278+T278+Y278</f>
        <v>0.6</v>
      </c>
      <c r="D278" s="96">
        <f t="shared" ref="D278:D282" si="253">F278+K278+P278+U278+Z278</f>
        <v>307184</v>
      </c>
      <c r="E278" s="92">
        <v>0</v>
      </c>
      <c r="F278" s="130">
        <f t="shared" ref="F278:F282" si="254">G278+H278+I278</f>
        <v>0</v>
      </c>
      <c r="G278" s="130">
        <v>0</v>
      </c>
      <c r="H278" s="93">
        <v>0</v>
      </c>
      <c r="I278" s="93">
        <v>0</v>
      </c>
      <c r="J278" s="78">
        <v>0</v>
      </c>
      <c r="K278" s="118">
        <f t="shared" ref="K278:K282" si="255">L278+M278+N278</f>
        <v>0</v>
      </c>
      <c r="L278" s="118">
        <v>0</v>
      </c>
      <c r="M278" s="118">
        <v>0</v>
      </c>
      <c r="N278" s="118">
        <v>0</v>
      </c>
      <c r="O278" s="117">
        <v>0.6</v>
      </c>
      <c r="P278" s="118">
        <f t="shared" ref="P278:P282" si="256">Q278+R278+S278</f>
        <v>0</v>
      </c>
      <c r="Q278" s="118">
        <v>0</v>
      </c>
      <c r="R278" s="118">
        <v>0</v>
      </c>
      <c r="S278" s="118">
        <v>0</v>
      </c>
      <c r="T278" s="117">
        <v>0</v>
      </c>
      <c r="U278" s="118">
        <f t="shared" ref="U278:U282" si="257">V278+W278+X278</f>
        <v>307184</v>
      </c>
      <c r="V278" s="118">
        <v>0</v>
      </c>
      <c r="W278" s="118">
        <v>289367</v>
      </c>
      <c r="X278" s="118">
        <v>17817</v>
      </c>
      <c r="Y278" s="117">
        <v>0</v>
      </c>
      <c r="Z278" s="118">
        <f t="shared" ref="Z278:Z282" si="258">AA278+AB278+AC278</f>
        <v>0</v>
      </c>
      <c r="AA278" s="118">
        <v>0</v>
      </c>
      <c r="AB278" s="118">
        <v>0</v>
      </c>
      <c r="AC278" s="118">
        <v>0</v>
      </c>
    </row>
    <row r="279" spans="1:29" s="121" customFormat="1" ht="36" customHeight="1" outlineLevel="1" x14ac:dyDescent="0.2">
      <c r="A279" s="115" t="s">
        <v>1366</v>
      </c>
      <c r="B279" s="132" t="s">
        <v>949</v>
      </c>
      <c r="C279" s="78">
        <f t="shared" si="252"/>
        <v>0.6</v>
      </c>
      <c r="D279" s="96">
        <f t="shared" si="253"/>
        <v>272278</v>
      </c>
      <c r="E279" s="92">
        <v>0</v>
      </c>
      <c r="F279" s="130">
        <f t="shared" si="254"/>
        <v>0</v>
      </c>
      <c r="G279" s="130">
        <v>0</v>
      </c>
      <c r="H279" s="93">
        <v>0</v>
      </c>
      <c r="I279" s="93">
        <v>0</v>
      </c>
      <c r="J279" s="78">
        <v>0</v>
      </c>
      <c r="K279" s="118">
        <f t="shared" si="255"/>
        <v>0</v>
      </c>
      <c r="L279" s="118">
        <v>0</v>
      </c>
      <c r="M279" s="118">
        <v>0</v>
      </c>
      <c r="N279" s="118">
        <v>0</v>
      </c>
      <c r="O279" s="117">
        <v>0.6</v>
      </c>
      <c r="P279" s="118">
        <f t="shared" si="256"/>
        <v>0</v>
      </c>
      <c r="Q279" s="118">
        <v>0</v>
      </c>
      <c r="R279" s="118">
        <v>0</v>
      </c>
      <c r="S279" s="118">
        <v>0</v>
      </c>
      <c r="T279" s="117">
        <v>0</v>
      </c>
      <c r="U279" s="118">
        <f t="shared" si="257"/>
        <v>272278</v>
      </c>
      <c r="V279" s="118">
        <v>0</v>
      </c>
      <c r="W279" s="118">
        <v>256486</v>
      </c>
      <c r="X279" s="118">
        <v>15792</v>
      </c>
      <c r="Y279" s="117">
        <v>0</v>
      </c>
      <c r="Z279" s="118">
        <f t="shared" si="258"/>
        <v>0</v>
      </c>
      <c r="AA279" s="118">
        <v>0</v>
      </c>
      <c r="AB279" s="118">
        <v>0</v>
      </c>
      <c r="AC279" s="118">
        <v>0</v>
      </c>
    </row>
    <row r="280" spans="1:29" s="121" customFormat="1" ht="36" customHeight="1" outlineLevel="1" x14ac:dyDescent="0.2">
      <c r="A280" s="115" t="s">
        <v>1367</v>
      </c>
      <c r="B280" s="132" t="s">
        <v>950</v>
      </c>
      <c r="C280" s="78">
        <f t="shared" si="252"/>
        <v>0.6</v>
      </c>
      <c r="D280" s="96">
        <f t="shared" si="253"/>
        <v>98824</v>
      </c>
      <c r="E280" s="92">
        <v>0</v>
      </c>
      <c r="F280" s="130">
        <f t="shared" si="254"/>
        <v>0</v>
      </c>
      <c r="G280" s="130">
        <v>0</v>
      </c>
      <c r="H280" s="93">
        <v>0</v>
      </c>
      <c r="I280" s="93">
        <v>0</v>
      </c>
      <c r="J280" s="78">
        <v>0</v>
      </c>
      <c r="K280" s="118">
        <f t="shared" si="255"/>
        <v>0</v>
      </c>
      <c r="L280" s="118">
        <v>0</v>
      </c>
      <c r="M280" s="118">
        <v>0</v>
      </c>
      <c r="N280" s="118">
        <v>0</v>
      </c>
      <c r="O280" s="117">
        <v>0.6</v>
      </c>
      <c r="P280" s="118">
        <f t="shared" si="256"/>
        <v>0</v>
      </c>
      <c r="Q280" s="118">
        <v>0</v>
      </c>
      <c r="R280" s="118">
        <v>0</v>
      </c>
      <c r="S280" s="118">
        <v>0</v>
      </c>
      <c r="T280" s="117">
        <v>0</v>
      </c>
      <c r="U280" s="118">
        <f t="shared" si="257"/>
        <v>98824</v>
      </c>
      <c r="V280" s="118">
        <v>0</v>
      </c>
      <c r="W280" s="118">
        <v>93092</v>
      </c>
      <c r="X280" s="118">
        <v>5732</v>
      </c>
      <c r="Y280" s="117">
        <v>0</v>
      </c>
      <c r="Z280" s="118">
        <f t="shared" si="258"/>
        <v>0</v>
      </c>
      <c r="AA280" s="118">
        <v>0</v>
      </c>
      <c r="AB280" s="118">
        <v>0</v>
      </c>
      <c r="AC280" s="118">
        <v>0</v>
      </c>
    </row>
    <row r="281" spans="1:29" s="121" customFormat="1" ht="52.5" customHeight="1" outlineLevel="1" x14ac:dyDescent="0.2">
      <c r="A281" s="115" t="s">
        <v>1368</v>
      </c>
      <c r="B281" s="132" t="s">
        <v>976</v>
      </c>
      <c r="C281" s="78">
        <f t="shared" ref="C281" si="259">E281+J281+O281+T281+Y281</f>
        <v>1.6</v>
      </c>
      <c r="D281" s="96">
        <f t="shared" ref="D281" si="260">F281+K281+P281+U281+Z281</f>
        <v>64814</v>
      </c>
      <c r="E281" s="92">
        <v>1</v>
      </c>
      <c r="F281" s="130">
        <f t="shared" ref="F281" si="261">G281+H281+I281</f>
        <v>0</v>
      </c>
      <c r="G281" s="130">
        <v>0</v>
      </c>
      <c r="H281" s="93">
        <v>0</v>
      </c>
      <c r="I281" s="93">
        <v>0</v>
      </c>
      <c r="J281" s="78">
        <v>0</v>
      </c>
      <c r="K281" s="118">
        <f t="shared" ref="K281" si="262">L281+M281+N281</f>
        <v>0</v>
      </c>
      <c r="L281" s="118">
        <v>0</v>
      </c>
      <c r="M281" s="118">
        <v>0</v>
      </c>
      <c r="N281" s="118">
        <v>0</v>
      </c>
      <c r="O281" s="117">
        <v>0.6</v>
      </c>
      <c r="P281" s="118">
        <f t="shared" ref="P281" si="263">Q281+R281+S281</f>
        <v>0</v>
      </c>
      <c r="Q281" s="118">
        <v>0</v>
      </c>
      <c r="R281" s="118">
        <v>0</v>
      </c>
      <c r="S281" s="118">
        <v>0</v>
      </c>
      <c r="T281" s="117">
        <v>0</v>
      </c>
      <c r="U281" s="118">
        <f t="shared" ref="U281" si="264">V281+W281+X281</f>
        <v>64814</v>
      </c>
      <c r="V281" s="118">
        <v>0</v>
      </c>
      <c r="W281" s="118">
        <v>61055</v>
      </c>
      <c r="X281" s="118">
        <v>3759</v>
      </c>
      <c r="Y281" s="117">
        <v>0</v>
      </c>
      <c r="Z281" s="118">
        <f t="shared" ref="Z281" si="265">AA281+AB281+AC281</f>
        <v>0</v>
      </c>
      <c r="AA281" s="118">
        <v>0</v>
      </c>
      <c r="AB281" s="118">
        <v>0</v>
      </c>
      <c r="AC281" s="118">
        <v>0</v>
      </c>
    </row>
    <row r="282" spans="1:29" s="121" customFormat="1" ht="36" customHeight="1" outlineLevel="1" x14ac:dyDescent="0.2">
      <c r="A282" s="115" t="s">
        <v>1369</v>
      </c>
      <c r="B282" s="132" t="s">
        <v>951</v>
      </c>
      <c r="C282" s="78">
        <f t="shared" si="252"/>
        <v>0</v>
      </c>
      <c r="D282" s="96">
        <f t="shared" si="253"/>
        <v>0</v>
      </c>
      <c r="E282" s="92">
        <v>0</v>
      </c>
      <c r="F282" s="130">
        <f t="shared" si="254"/>
        <v>0</v>
      </c>
      <c r="G282" s="130">
        <v>0</v>
      </c>
      <c r="H282" s="93">
        <v>0</v>
      </c>
      <c r="I282" s="93">
        <v>0</v>
      </c>
      <c r="J282" s="78">
        <v>0</v>
      </c>
      <c r="K282" s="118">
        <f t="shared" si="255"/>
        <v>0</v>
      </c>
      <c r="L282" s="118">
        <v>0</v>
      </c>
      <c r="M282" s="118">
        <v>0</v>
      </c>
      <c r="N282" s="118">
        <v>0</v>
      </c>
      <c r="O282" s="117">
        <v>0</v>
      </c>
      <c r="P282" s="118">
        <f t="shared" si="256"/>
        <v>0</v>
      </c>
      <c r="Q282" s="118">
        <v>0</v>
      </c>
      <c r="R282" s="118">
        <v>0</v>
      </c>
      <c r="S282" s="118">
        <v>0</v>
      </c>
      <c r="T282" s="117">
        <v>0</v>
      </c>
      <c r="U282" s="118">
        <f t="shared" si="257"/>
        <v>0</v>
      </c>
      <c r="V282" s="118">
        <v>0</v>
      </c>
      <c r="W282" s="118">
        <v>0</v>
      </c>
      <c r="X282" s="118">
        <v>0</v>
      </c>
      <c r="Y282" s="117">
        <v>0</v>
      </c>
      <c r="Z282" s="118">
        <f t="shared" si="258"/>
        <v>0</v>
      </c>
      <c r="AA282" s="118">
        <v>0</v>
      </c>
      <c r="AB282" s="118">
        <v>0</v>
      </c>
      <c r="AC282" s="118">
        <v>0</v>
      </c>
    </row>
    <row r="283" spans="1:29" s="121" customFormat="1" ht="36" customHeight="1" outlineLevel="1" x14ac:dyDescent="0.2">
      <c r="A283" s="115" t="s">
        <v>1370</v>
      </c>
      <c r="B283" s="132" t="s">
        <v>1696</v>
      </c>
      <c r="C283" s="78">
        <f t="shared" ref="C283" si="266">E283+J283+O283+T283+Y283</f>
        <v>71.959999999999994</v>
      </c>
      <c r="D283" s="96">
        <f t="shared" ref="D283" si="267">F283+K283+P283+U283+Z283</f>
        <v>263024</v>
      </c>
      <c r="E283" s="92">
        <v>0</v>
      </c>
      <c r="F283" s="130">
        <f t="shared" ref="F283" si="268">G283+H283+I283</f>
        <v>0</v>
      </c>
      <c r="G283" s="130">
        <v>0</v>
      </c>
      <c r="H283" s="93">
        <v>0</v>
      </c>
      <c r="I283" s="93">
        <v>0</v>
      </c>
      <c r="J283" s="78">
        <v>0</v>
      </c>
      <c r="K283" s="118">
        <f t="shared" ref="K283" si="269">L283+M283+N283</f>
        <v>0</v>
      </c>
      <c r="L283" s="118">
        <v>0</v>
      </c>
      <c r="M283" s="118">
        <v>0</v>
      </c>
      <c r="N283" s="118">
        <v>0</v>
      </c>
      <c r="O283" s="117">
        <v>71.959999999999994</v>
      </c>
      <c r="P283" s="118">
        <f t="shared" ref="P283" si="270">Q283+R283+S283</f>
        <v>263024</v>
      </c>
      <c r="Q283" s="118">
        <v>0</v>
      </c>
      <c r="R283" s="118">
        <v>247769</v>
      </c>
      <c r="S283" s="118">
        <v>15255</v>
      </c>
      <c r="T283" s="117">
        <v>0</v>
      </c>
      <c r="U283" s="118">
        <f t="shared" ref="U283" si="271">V283+W283+X283</f>
        <v>0</v>
      </c>
      <c r="V283" s="118">
        <v>0</v>
      </c>
      <c r="W283" s="118">
        <v>0</v>
      </c>
      <c r="X283" s="118">
        <v>0</v>
      </c>
      <c r="Y283" s="117">
        <v>0</v>
      </c>
      <c r="Z283" s="118">
        <f t="shared" ref="Z283" si="272">AA283+AB283+AC283</f>
        <v>0</v>
      </c>
      <c r="AA283" s="118">
        <v>0</v>
      </c>
      <c r="AB283" s="118">
        <v>0</v>
      </c>
      <c r="AC283" s="118">
        <v>0</v>
      </c>
    </row>
    <row r="284" spans="1:29" s="121" customFormat="1" ht="36" outlineLevel="1" x14ac:dyDescent="0.2">
      <c r="A284" s="115" t="s">
        <v>1650</v>
      </c>
      <c r="B284" s="132" t="s">
        <v>984</v>
      </c>
      <c r="C284" s="78">
        <f t="shared" ref="C284" si="273">E284+J284+O284+T284+Y284</f>
        <v>21.39</v>
      </c>
      <c r="D284" s="96">
        <f t="shared" ref="D284" si="274">F284+K284+P284+U284+Z284</f>
        <v>48832</v>
      </c>
      <c r="E284" s="92">
        <v>0</v>
      </c>
      <c r="F284" s="130">
        <f t="shared" ref="F284" si="275">G284+H284+I284</f>
        <v>0</v>
      </c>
      <c r="G284" s="130">
        <v>0</v>
      </c>
      <c r="H284" s="93">
        <v>0</v>
      </c>
      <c r="I284" s="130">
        <v>0</v>
      </c>
      <c r="J284" s="78">
        <v>21.39</v>
      </c>
      <c r="K284" s="118">
        <f t="shared" ref="K284" si="276">L284+M284+N284</f>
        <v>48832</v>
      </c>
      <c r="L284" s="118">
        <v>0</v>
      </c>
      <c r="M284" s="118">
        <v>46000</v>
      </c>
      <c r="N284" s="118">
        <v>2832</v>
      </c>
      <c r="O284" s="117">
        <v>0</v>
      </c>
      <c r="P284" s="118">
        <f t="shared" ref="P284" si="277">Q284+R284+S284</f>
        <v>0</v>
      </c>
      <c r="Q284" s="118">
        <v>0</v>
      </c>
      <c r="R284" s="118">
        <v>0</v>
      </c>
      <c r="S284" s="118">
        <v>0</v>
      </c>
      <c r="T284" s="117">
        <v>0</v>
      </c>
      <c r="U284" s="118">
        <f t="shared" ref="U284" si="278">V284+W284+X284</f>
        <v>0</v>
      </c>
      <c r="V284" s="118">
        <v>0</v>
      </c>
      <c r="W284" s="118">
        <v>0</v>
      </c>
      <c r="X284" s="118">
        <v>0</v>
      </c>
      <c r="Y284" s="117">
        <v>0</v>
      </c>
      <c r="Z284" s="118">
        <f t="shared" ref="Z284" si="279">AA284+AB284+AC284</f>
        <v>0</v>
      </c>
      <c r="AA284" s="118">
        <v>0</v>
      </c>
      <c r="AB284" s="118">
        <v>0</v>
      </c>
      <c r="AC284" s="118">
        <v>0</v>
      </c>
    </row>
    <row r="285" spans="1:29" s="121" customFormat="1" ht="38.25" customHeight="1" outlineLevel="1" x14ac:dyDescent="0.2">
      <c r="A285" s="115" t="s">
        <v>1651</v>
      </c>
      <c r="B285" s="132" t="s">
        <v>1031</v>
      </c>
      <c r="C285" s="78">
        <f t="shared" ref="C285:C288" si="280">E285+J285+O285+T285+Y285</f>
        <v>7.04</v>
      </c>
      <c r="D285" s="96">
        <f t="shared" ref="D285:D288" si="281">F285+K285+P285+U285+Z285</f>
        <v>29826</v>
      </c>
      <c r="E285" s="92">
        <v>0</v>
      </c>
      <c r="F285" s="130">
        <f t="shared" ref="F285:F288" si="282">G285+H285+I285</f>
        <v>0</v>
      </c>
      <c r="G285" s="130">
        <v>0</v>
      </c>
      <c r="H285" s="93">
        <v>0</v>
      </c>
      <c r="I285" s="130">
        <v>0</v>
      </c>
      <c r="J285" s="143">
        <v>7.04</v>
      </c>
      <c r="K285" s="142">
        <f t="shared" ref="K285:K288" si="283">L285+M285+N285</f>
        <v>29826</v>
      </c>
      <c r="L285" s="142">
        <v>0</v>
      </c>
      <c r="M285" s="142">
        <v>28096</v>
      </c>
      <c r="N285" s="142">
        <v>1730</v>
      </c>
      <c r="O285" s="144">
        <v>0</v>
      </c>
      <c r="P285" s="118">
        <f t="shared" ref="P285:P288" si="284">Q285+R285+S285</f>
        <v>0</v>
      </c>
      <c r="Q285" s="118">
        <v>0</v>
      </c>
      <c r="R285" s="118">
        <v>0</v>
      </c>
      <c r="S285" s="118">
        <v>0</v>
      </c>
      <c r="T285" s="117">
        <v>0</v>
      </c>
      <c r="U285" s="118">
        <f t="shared" ref="U285:U288" si="285">V285+W285+X285</f>
        <v>0</v>
      </c>
      <c r="V285" s="118">
        <v>0</v>
      </c>
      <c r="W285" s="118">
        <v>0</v>
      </c>
      <c r="X285" s="118">
        <v>0</v>
      </c>
      <c r="Y285" s="117">
        <v>0</v>
      </c>
      <c r="Z285" s="118">
        <f t="shared" ref="Z285:Z288" si="286">AA285+AB285+AC285</f>
        <v>0</v>
      </c>
      <c r="AA285" s="118">
        <v>0</v>
      </c>
      <c r="AB285" s="118">
        <v>0</v>
      </c>
      <c r="AC285" s="118">
        <v>0</v>
      </c>
    </row>
    <row r="286" spans="1:29" s="121" customFormat="1" ht="36" customHeight="1" outlineLevel="1" x14ac:dyDescent="0.2">
      <c r="A286" s="115" t="s">
        <v>1652</v>
      </c>
      <c r="B286" s="132" t="s">
        <v>1028</v>
      </c>
      <c r="C286" s="78">
        <f t="shared" si="280"/>
        <v>8.4</v>
      </c>
      <c r="D286" s="96">
        <f t="shared" si="281"/>
        <v>27392</v>
      </c>
      <c r="E286" s="92">
        <v>0</v>
      </c>
      <c r="F286" s="130">
        <f t="shared" si="282"/>
        <v>0</v>
      </c>
      <c r="G286" s="130">
        <v>0</v>
      </c>
      <c r="H286" s="93">
        <v>0</v>
      </c>
      <c r="I286" s="93">
        <v>0</v>
      </c>
      <c r="J286" s="78">
        <v>8.4</v>
      </c>
      <c r="K286" s="118">
        <f t="shared" si="283"/>
        <v>27392</v>
      </c>
      <c r="L286" s="118">
        <v>0</v>
      </c>
      <c r="M286" s="118">
        <v>25803</v>
      </c>
      <c r="N286" s="118">
        <v>1589</v>
      </c>
      <c r="O286" s="117">
        <v>0</v>
      </c>
      <c r="P286" s="118">
        <f t="shared" si="284"/>
        <v>0</v>
      </c>
      <c r="Q286" s="118">
        <v>0</v>
      </c>
      <c r="R286" s="118">
        <v>0</v>
      </c>
      <c r="S286" s="118">
        <v>0</v>
      </c>
      <c r="T286" s="117">
        <v>0</v>
      </c>
      <c r="U286" s="118">
        <f t="shared" si="285"/>
        <v>0</v>
      </c>
      <c r="V286" s="118">
        <v>0</v>
      </c>
      <c r="W286" s="118">
        <v>0</v>
      </c>
      <c r="X286" s="118">
        <v>0</v>
      </c>
      <c r="Y286" s="117">
        <v>0</v>
      </c>
      <c r="Z286" s="118">
        <f t="shared" si="286"/>
        <v>0</v>
      </c>
      <c r="AA286" s="118">
        <v>0</v>
      </c>
      <c r="AB286" s="118">
        <v>0</v>
      </c>
      <c r="AC286" s="118">
        <v>0</v>
      </c>
    </row>
    <row r="287" spans="1:29" s="121" customFormat="1" ht="36" customHeight="1" outlineLevel="1" x14ac:dyDescent="0.2">
      <c r="A287" s="115" t="s">
        <v>1653</v>
      </c>
      <c r="B287" s="132" t="s">
        <v>1029</v>
      </c>
      <c r="C287" s="78">
        <f t="shared" si="280"/>
        <v>38.479999999999997</v>
      </c>
      <c r="D287" s="96">
        <f t="shared" si="281"/>
        <v>117730</v>
      </c>
      <c r="E287" s="92">
        <v>0</v>
      </c>
      <c r="F287" s="130">
        <f t="shared" si="282"/>
        <v>0</v>
      </c>
      <c r="G287" s="130">
        <v>0</v>
      </c>
      <c r="H287" s="93">
        <v>0</v>
      </c>
      <c r="I287" s="93">
        <v>0</v>
      </c>
      <c r="J287" s="78">
        <v>38.479999999999997</v>
      </c>
      <c r="K287" s="118">
        <f t="shared" si="283"/>
        <v>117730</v>
      </c>
      <c r="L287" s="118">
        <v>0</v>
      </c>
      <c r="M287" s="118">
        <v>110902</v>
      </c>
      <c r="N287" s="118">
        <v>6828</v>
      </c>
      <c r="O287" s="117">
        <v>0</v>
      </c>
      <c r="P287" s="118">
        <f t="shared" si="284"/>
        <v>0</v>
      </c>
      <c r="Q287" s="118">
        <v>0</v>
      </c>
      <c r="R287" s="118">
        <v>0</v>
      </c>
      <c r="S287" s="118">
        <v>0</v>
      </c>
      <c r="T287" s="117">
        <v>0</v>
      </c>
      <c r="U287" s="118">
        <f t="shared" si="285"/>
        <v>0</v>
      </c>
      <c r="V287" s="118">
        <v>0</v>
      </c>
      <c r="W287" s="118">
        <v>0</v>
      </c>
      <c r="X287" s="118">
        <v>0</v>
      </c>
      <c r="Y287" s="117">
        <v>0</v>
      </c>
      <c r="Z287" s="118">
        <f t="shared" si="286"/>
        <v>0</v>
      </c>
      <c r="AA287" s="118">
        <v>0</v>
      </c>
      <c r="AB287" s="118">
        <v>0</v>
      </c>
      <c r="AC287" s="118">
        <v>0</v>
      </c>
    </row>
    <row r="288" spans="1:29" s="121" customFormat="1" ht="36" customHeight="1" outlineLevel="1" x14ac:dyDescent="0.2">
      <c r="A288" s="115" t="s">
        <v>1654</v>
      </c>
      <c r="B288" s="132" t="s">
        <v>1030</v>
      </c>
      <c r="C288" s="78">
        <f t="shared" si="280"/>
        <v>56.7</v>
      </c>
      <c r="D288" s="96">
        <f t="shared" si="281"/>
        <v>173349</v>
      </c>
      <c r="E288" s="92">
        <v>0</v>
      </c>
      <c r="F288" s="130">
        <f t="shared" si="282"/>
        <v>0</v>
      </c>
      <c r="G288" s="130">
        <v>0</v>
      </c>
      <c r="H288" s="93">
        <v>0</v>
      </c>
      <c r="I288" s="93">
        <v>0</v>
      </c>
      <c r="J288" s="78">
        <v>56.7</v>
      </c>
      <c r="K288" s="118">
        <f t="shared" si="283"/>
        <v>173349</v>
      </c>
      <c r="L288" s="118">
        <v>0</v>
      </c>
      <c r="M288" s="118">
        <v>163295</v>
      </c>
      <c r="N288" s="118">
        <v>10054</v>
      </c>
      <c r="O288" s="117">
        <v>0</v>
      </c>
      <c r="P288" s="118">
        <f t="shared" si="284"/>
        <v>0</v>
      </c>
      <c r="Q288" s="118">
        <v>0</v>
      </c>
      <c r="R288" s="118">
        <v>0</v>
      </c>
      <c r="S288" s="118">
        <v>0</v>
      </c>
      <c r="T288" s="117">
        <v>0</v>
      </c>
      <c r="U288" s="118">
        <f t="shared" si="285"/>
        <v>0</v>
      </c>
      <c r="V288" s="118">
        <v>0</v>
      </c>
      <c r="W288" s="118">
        <v>0</v>
      </c>
      <c r="X288" s="118">
        <v>0</v>
      </c>
      <c r="Y288" s="117">
        <v>0</v>
      </c>
      <c r="Z288" s="118">
        <f t="shared" si="286"/>
        <v>0</v>
      </c>
      <c r="AA288" s="118">
        <v>0</v>
      </c>
      <c r="AB288" s="118">
        <v>0</v>
      </c>
      <c r="AC288" s="118">
        <v>0</v>
      </c>
    </row>
    <row r="289" spans="1:31" s="121" customFormat="1" ht="38.25" customHeight="1" outlineLevel="1" x14ac:dyDescent="0.2">
      <c r="A289" s="115" t="s">
        <v>1685</v>
      </c>
      <c r="B289" s="132" t="s">
        <v>1645</v>
      </c>
      <c r="C289" s="78">
        <f t="shared" ref="C289:C293" si="287">E289+J289+O289+T289+Y289</f>
        <v>0</v>
      </c>
      <c r="D289" s="96">
        <f t="shared" ref="D289:D293" si="288">F289+K289+P289+U289+Z289</f>
        <v>15106</v>
      </c>
      <c r="E289" s="92">
        <v>0</v>
      </c>
      <c r="F289" s="130">
        <f t="shared" ref="F289:F293" si="289">G289+H289+I289</f>
        <v>0</v>
      </c>
      <c r="G289" s="130">
        <v>0</v>
      </c>
      <c r="H289" s="93">
        <v>0</v>
      </c>
      <c r="I289" s="130">
        <v>0</v>
      </c>
      <c r="J289" s="143">
        <v>0</v>
      </c>
      <c r="K289" s="142">
        <f t="shared" ref="K289:K293" si="290">L289+M289+N289</f>
        <v>0</v>
      </c>
      <c r="L289" s="142">
        <v>0</v>
      </c>
      <c r="M289" s="142">
        <v>0</v>
      </c>
      <c r="N289" s="142">
        <v>0</v>
      </c>
      <c r="O289" s="144">
        <v>0</v>
      </c>
      <c r="P289" s="118">
        <f t="shared" ref="P289:P293" si="291">Q289+R289+S289</f>
        <v>0</v>
      </c>
      <c r="Q289" s="118">
        <v>0</v>
      </c>
      <c r="R289" s="118">
        <v>0</v>
      </c>
      <c r="S289" s="118">
        <v>0</v>
      </c>
      <c r="T289" s="117">
        <v>0</v>
      </c>
      <c r="U289" s="118">
        <f t="shared" ref="U289:U293" si="292">V289+W289+X289</f>
        <v>0</v>
      </c>
      <c r="V289" s="118">
        <v>0</v>
      </c>
      <c r="W289" s="118">
        <v>0</v>
      </c>
      <c r="X289" s="118">
        <v>0</v>
      </c>
      <c r="Y289" s="117">
        <v>0</v>
      </c>
      <c r="Z289" s="118">
        <f t="shared" ref="Z289:Z293" si="293">AA289+AB289+AC289</f>
        <v>15106</v>
      </c>
      <c r="AA289" s="118">
        <v>0</v>
      </c>
      <c r="AB289" s="118">
        <v>14219</v>
      </c>
      <c r="AC289" s="118">
        <v>887</v>
      </c>
    </row>
    <row r="290" spans="1:31" s="121" customFormat="1" ht="38.25" customHeight="1" outlineLevel="1" x14ac:dyDescent="0.2">
      <c r="A290" s="115" t="s">
        <v>1706</v>
      </c>
      <c r="B290" s="132" t="s">
        <v>1646</v>
      </c>
      <c r="C290" s="78">
        <f t="shared" si="287"/>
        <v>0</v>
      </c>
      <c r="D290" s="96">
        <f t="shared" si="288"/>
        <v>98429</v>
      </c>
      <c r="E290" s="92">
        <v>0</v>
      </c>
      <c r="F290" s="130">
        <f t="shared" si="289"/>
        <v>0</v>
      </c>
      <c r="G290" s="130">
        <v>0</v>
      </c>
      <c r="H290" s="93">
        <v>0</v>
      </c>
      <c r="I290" s="130">
        <v>0</v>
      </c>
      <c r="J290" s="143">
        <v>0</v>
      </c>
      <c r="K290" s="142">
        <f t="shared" si="290"/>
        <v>0</v>
      </c>
      <c r="L290" s="142">
        <v>0</v>
      </c>
      <c r="M290" s="142">
        <v>0</v>
      </c>
      <c r="N290" s="142">
        <v>0</v>
      </c>
      <c r="O290" s="144">
        <v>0</v>
      </c>
      <c r="P290" s="118">
        <f t="shared" si="291"/>
        <v>0</v>
      </c>
      <c r="Q290" s="118">
        <v>0</v>
      </c>
      <c r="R290" s="118">
        <v>0</v>
      </c>
      <c r="S290" s="118">
        <v>0</v>
      </c>
      <c r="T290" s="117">
        <v>0</v>
      </c>
      <c r="U290" s="118">
        <f t="shared" si="292"/>
        <v>0</v>
      </c>
      <c r="V290" s="118">
        <v>0</v>
      </c>
      <c r="W290" s="118">
        <v>0</v>
      </c>
      <c r="X290" s="118">
        <v>0</v>
      </c>
      <c r="Y290" s="117">
        <v>0</v>
      </c>
      <c r="Z290" s="118">
        <f t="shared" si="293"/>
        <v>98429</v>
      </c>
      <c r="AA290" s="118">
        <v>0</v>
      </c>
      <c r="AB290" s="118">
        <v>92720</v>
      </c>
      <c r="AC290" s="118">
        <v>5709</v>
      </c>
    </row>
    <row r="291" spans="1:31" s="121" customFormat="1" ht="38.25" customHeight="1" outlineLevel="1" x14ac:dyDescent="0.2">
      <c r="A291" s="115" t="s">
        <v>1708</v>
      </c>
      <c r="B291" s="132" t="s">
        <v>1647</v>
      </c>
      <c r="C291" s="78">
        <f t="shared" si="287"/>
        <v>0</v>
      </c>
      <c r="D291" s="96">
        <f t="shared" si="288"/>
        <v>67533</v>
      </c>
      <c r="E291" s="92">
        <v>0</v>
      </c>
      <c r="F291" s="130">
        <f t="shared" si="289"/>
        <v>0</v>
      </c>
      <c r="G291" s="130">
        <v>0</v>
      </c>
      <c r="H291" s="93">
        <v>0</v>
      </c>
      <c r="I291" s="130">
        <v>0</v>
      </c>
      <c r="J291" s="143">
        <v>0</v>
      </c>
      <c r="K291" s="142">
        <f t="shared" si="290"/>
        <v>0</v>
      </c>
      <c r="L291" s="142">
        <v>0</v>
      </c>
      <c r="M291" s="142">
        <v>0</v>
      </c>
      <c r="N291" s="142">
        <v>0</v>
      </c>
      <c r="O291" s="144">
        <v>0</v>
      </c>
      <c r="P291" s="118">
        <f t="shared" si="291"/>
        <v>0</v>
      </c>
      <c r="Q291" s="118">
        <v>0</v>
      </c>
      <c r="R291" s="118">
        <v>0</v>
      </c>
      <c r="S291" s="118">
        <v>0</v>
      </c>
      <c r="T291" s="117">
        <v>0</v>
      </c>
      <c r="U291" s="118">
        <f t="shared" si="292"/>
        <v>0</v>
      </c>
      <c r="V291" s="118">
        <v>0</v>
      </c>
      <c r="W291" s="118">
        <v>0</v>
      </c>
      <c r="X291" s="118">
        <v>0</v>
      </c>
      <c r="Y291" s="117">
        <v>0</v>
      </c>
      <c r="Z291" s="118">
        <f t="shared" si="293"/>
        <v>67533</v>
      </c>
      <c r="AA291" s="118">
        <v>0</v>
      </c>
      <c r="AB291" s="118">
        <v>63616</v>
      </c>
      <c r="AC291" s="118">
        <v>3917</v>
      </c>
    </row>
    <row r="292" spans="1:31" s="121" customFormat="1" ht="38.25" customHeight="1" outlineLevel="1" x14ac:dyDescent="0.2">
      <c r="A292" s="115" t="s">
        <v>1709</v>
      </c>
      <c r="B292" s="132" t="s">
        <v>1648</v>
      </c>
      <c r="C292" s="78">
        <f t="shared" si="287"/>
        <v>0</v>
      </c>
      <c r="D292" s="96">
        <f t="shared" si="288"/>
        <v>332400</v>
      </c>
      <c r="E292" s="92">
        <v>0</v>
      </c>
      <c r="F292" s="130">
        <f t="shared" si="289"/>
        <v>0</v>
      </c>
      <c r="G292" s="130">
        <v>0</v>
      </c>
      <c r="H292" s="93">
        <v>0</v>
      </c>
      <c r="I292" s="130">
        <v>0</v>
      </c>
      <c r="J292" s="143">
        <v>0</v>
      </c>
      <c r="K292" s="142">
        <f t="shared" si="290"/>
        <v>0</v>
      </c>
      <c r="L292" s="142">
        <v>0</v>
      </c>
      <c r="M292" s="142">
        <v>0</v>
      </c>
      <c r="N292" s="142">
        <v>0</v>
      </c>
      <c r="O292" s="144">
        <v>0</v>
      </c>
      <c r="P292" s="118">
        <f t="shared" si="291"/>
        <v>0</v>
      </c>
      <c r="Q292" s="118">
        <v>0</v>
      </c>
      <c r="R292" s="118">
        <v>0</v>
      </c>
      <c r="S292" s="118">
        <v>0</v>
      </c>
      <c r="T292" s="117">
        <v>0</v>
      </c>
      <c r="U292" s="118">
        <f t="shared" si="292"/>
        <v>0</v>
      </c>
      <c r="V292" s="118">
        <v>0</v>
      </c>
      <c r="W292" s="118">
        <v>0</v>
      </c>
      <c r="X292" s="118">
        <v>0</v>
      </c>
      <c r="Y292" s="117">
        <v>0</v>
      </c>
      <c r="Z292" s="118">
        <f t="shared" si="293"/>
        <v>332400</v>
      </c>
      <c r="AA292" s="118">
        <v>0</v>
      </c>
      <c r="AB292" s="118">
        <v>313121</v>
      </c>
      <c r="AC292" s="118">
        <v>19279</v>
      </c>
    </row>
    <row r="293" spans="1:31" s="121" customFormat="1" ht="38.25" customHeight="1" outlineLevel="1" x14ac:dyDescent="0.2">
      <c r="A293" s="115" t="s">
        <v>1714</v>
      </c>
      <c r="B293" s="132" t="s">
        <v>1649</v>
      </c>
      <c r="C293" s="78">
        <f t="shared" si="287"/>
        <v>0</v>
      </c>
      <c r="D293" s="96">
        <f t="shared" si="288"/>
        <v>229632</v>
      </c>
      <c r="E293" s="92">
        <v>0</v>
      </c>
      <c r="F293" s="130">
        <f t="shared" si="289"/>
        <v>0</v>
      </c>
      <c r="G293" s="130">
        <v>0</v>
      </c>
      <c r="H293" s="93">
        <v>0</v>
      </c>
      <c r="I293" s="130">
        <v>0</v>
      </c>
      <c r="J293" s="143">
        <v>0</v>
      </c>
      <c r="K293" s="142">
        <f t="shared" si="290"/>
        <v>0</v>
      </c>
      <c r="L293" s="142">
        <v>0</v>
      </c>
      <c r="M293" s="142">
        <v>0</v>
      </c>
      <c r="N293" s="142">
        <v>0</v>
      </c>
      <c r="O293" s="144">
        <v>0</v>
      </c>
      <c r="P293" s="118">
        <f t="shared" si="291"/>
        <v>0</v>
      </c>
      <c r="Q293" s="118">
        <v>0</v>
      </c>
      <c r="R293" s="118">
        <v>0</v>
      </c>
      <c r="S293" s="118">
        <v>0</v>
      </c>
      <c r="T293" s="117">
        <v>0</v>
      </c>
      <c r="U293" s="118">
        <f t="shared" si="292"/>
        <v>0</v>
      </c>
      <c r="V293" s="118">
        <v>0</v>
      </c>
      <c r="W293" s="118">
        <v>0</v>
      </c>
      <c r="X293" s="118">
        <v>0</v>
      </c>
      <c r="Y293" s="117">
        <v>0</v>
      </c>
      <c r="Z293" s="118">
        <f t="shared" si="293"/>
        <v>229632</v>
      </c>
      <c r="AA293" s="118">
        <v>0</v>
      </c>
      <c r="AB293" s="118">
        <v>216324</v>
      </c>
      <c r="AC293" s="118">
        <v>13308</v>
      </c>
    </row>
    <row r="294" spans="1:31" s="121" customFormat="1" ht="18.75" customHeight="1" outlineLevel="1" x14ac:dyDescent="0.2">
      <c r="A294" s="115"/>
      <c r="B294" s="132" t="s">
        <v>591</v>
      </c>
      <c r="C294" s="78">
        <f t="shared" ref="C294" si="294">E294+J294+O294+T294+Y294</f>
        <v>0</v>
      </c>
      <c r="D294" s="96">
        <f>F294+K294+P294+U294+Z294</f>
        <v>99</v>
      </c>
      <c r="E294" s="92">
        <v>0</v>
      </c>
      <c r="F294" s="130">
        <f>H294+I294</f>
        <v>0</v>
      </c>
      <c r="G294" s="130">
        <v>0</v>
      </c>
      <c r="H294" s="93">
        <v>0</v>
      </c>
      <c r="I294" s="93">
        <v>0</v>
      </c>
      <c r="J294" s="78">
        <v>0</v>
      </c>
      <c r="K294" s="118">
        <f t="shared" si="232"/>
        <v>99</v>
      </c>
      <c r="L294" s="118">
        <v>0</v>
      </c>
      <c r="M294" s="118">
        <v>0</v>
      </c>
      <c r="N294" s="118">
        <v>99</v>
      </c>
      <c r="O294" s="117">
        <v>0</v>
      </c>
      <c r="P294" s="118">
        <f t="shared" ref="P294" si="295">Q294+R294+S294</f>
        <v>0</v>
      </c>
      <c r="Q294" s="118">
        <v>0</v>
      </c>
      <c r="R294" s="118">
        <v>0</v>
      </c>
      <c r="S294" s="118">
        <v>0</v>
      </c>
      <c r="T294" s="117">
        <v>0</v>
      </c>
      <c r="U294" s="118">
        <f t="shared" ref="U294" si="296">V294+W294+X294</f>
        <v>0</v>
      </c>
      <c r="V294" s="118">
        <v>0</v>
      </c>
      <c r="W294" s="118">
        <v>0</v>
      </c>
      <c r="X294" s="118">
        <v>0</v>
      </c>
      <c r="Y294" s="117">
        <v>0</v>
      </c>
      <c r="Z294" s="118">
        <f t="shared" ref="Z294" si="297">AA294+AB294+AC294</f>
        <v>0</v>
      </c>
      <c r="AA294" s="118">
        <v>0</v>
      </c>
      <c r="AB294" s="118">
        <v>0</v>
      </c>
      <c r="AC294" s="118">
        <v>0</v>
      </c>
    </row>
    <row r="295" spans="1:31" s="147" customFormat="1" ht="42" customHeight="1" x14ac:dyDescent="0.2">
      <c r="A295" s="115"/>
      <c r="B295" s="127" t="s">
        <v>1371</v>
      </c>
      <c r="C295" s="145">
        <f t="shared" ref="C295:AC295" si="298">SUM(C124:C294)</f>
        <v>990.95</v>
      </c>
      <c r="D295" s="129">
        <f t="shared" si="298"/>
        <v>4383907.4000000004</v>
      </c>
      <c r="E295" s="145">
        <f t="shared" si="298"/>
        <v>316.35999999999996</v>
      </c>
      <c r="F295" s="129">
        <f t="shared" si="298"/>
        <v>787419</v>
      </c>
      <c r="G295" s="129">
        <f t="shared" si="298"/>
        <v>0</v>
      </c>
      <c r="H295" s="129">
        <f t="shared" si="298"/>
        <v>745331</v>
      </c>
      <c r="I295" s="129">
        <f t="shared" si="298"/>
        <v>42088</v>
      </c>
      <c r="J295" s="145">
        <f t="shared" si="298"/>
        <v>355.79</v>
      </c>
      <c r="K295" s="129">
        <f t="shared" si="298"/>
        <v>934352</v>
      </c>
      <c r="L295" s="129">
        <f t="shared" si="298"/>
        <v>0</v>
      </c>
      <c r="M295" s="129">
        <f t="shared" si="298"/>
        <v>876202</v>
      </c>
      <c r="N295" s="129">
        <f t="shared" si="298"/>
        <v>58150</v>
      </c>
      <c r="O295" s="145">
        <f t="shared" si="298"/>
        <v>318.79999999999995</v>
      </c>
      <c r="P295" s="129">
        <f t="shared" si="298"/>
        <v>1134890</v>
      </c>
      <c r="Q295" s="129">
        <f t="shared" si="298"/>
        <v>0</v>
      </c>
      <c r="R295" s="129">
        <f t="shared" si="298"/>
        <v>1034000</v>
      </c>
      <c r="S295" s="129">
        <f t="shared" si="298"/>
        <v>100890</v>
      </c>
      <c r="T295" s="145">
        <f t="shared" si="298"/>
        <v>0</v>
      </c>
      <c r="U295" s="129">
        <f t="shared" si="298"/>
        <v>756929</v>
      </c>
      <c r="V295" s="129">
        <f t="shared" si="298"/>
        <v>0</v>
      </c>
      <c r="W295" s="129">
        <f t="shared" si="298"/>
        <v>700000</v>
      </c>
      <c r="X295" s="129">
        <f t="shared" si="298"/>
        <v>56929</v>
      </c>
      <c r="Y295" s="145">
        <f t="shared" si="298"/>
        <v>0</v>
      </c>
      <c r="Z295" s="129">
        <f t="shared" si="298"/>
        <v>770317</v>
      </c>
      <c r="AA295" s="146">
        <f t="shared" si="298"/>
        <v>0</v>
      </c>
      <c r="AB295" s="129">
        <f t="shared" si="298"/>
        <v>700000</v>
      </c>
      <c r="AC295" s="129">
        <f t="shared" si="298"/>
        <v>70317</v>
      </c>
      <c r="AD295" s="135"/>
    </row>
    <row r="296" spans="1:31" s="149" customFormat="1" ht="27" customHeight="1" x14ac:dyDescent="0.2">
      <c r="A296" s="148" t="s">
        <v>1071</v>
      </c>
      <c r="B296" s="375" t="s">
        <v>1372</v>
      </c>
      <c r="C296" s="376"/>
      <c r="D296" s="376"/>
      <c r="E296" s="376"/>
      <c r="F296" s="376"/>
      <c r="G296" s="376"/>
      <c r="H296" s="376"/>
      <c r="I296" s="376"/>
      <c r="J296" s="376"/>
      <c r="K296" s="376"/>
      <c r="L296" s="376"/>
      <c r="M296" s="376"/>
      <c r="N296" s="376"/>
      <c r="O296" s="376"/>
      <c r="P296" s="376"/>
      <c r="Q296" s="376"/>
      <c r="R296" s="376"/>
      <c r="S296" s="376"/>
      <c r="T296" s="376"/>
      <c r="U296" s="376"/>
      <c r="V296" s="376"/>
      <c r="W296" s="376"/>
      <c r="X296" s="376"/>
      <c r="Y296" s="376"/>
      <c r="Z296" s="376"/>
      <c r="AA296" s="376"/>
      <c r="AB296" s="376"/>
      <c r="AC296" s="377"/>
    </row>
    <row r="297" spans="1:31" s="147" customFormat="1" ht="78" customHeight="1" outlineLevel="1" x14ac:dyDescent="0.2">
      <c r="A297" s="133" t="s">
        <v>1373</v>
      </c>
      <c r="B297" s="150" t="s">
        <v>28</v>
      </c>
      <c r="C297" s="117">
        <f>E297+J297+O297+T297+Y297</f>
        <v>203.54000000000005</v>
      </c>
      <c r="D297" s="118">
        <f>F297+K297+P297+U297+Z297</f>
        <v>338292</v>
      </c>
      <c r="E297" s="117">
        <v>85.67</v>
      </c>
      <c r="F297" s="130">
        <f>G297+H297+I297</f>
        <v>142702</v>
      </c>
      <c r="G297" s="118">
        <v>0</v>
      </c>
      <c r="H297" s="118">
        <f>135000</f>
        <v>135000</v>
      </c>
      <c r="I297" s="118">
        <v>7702</v>
      </c>
      <c r="J297" s="117">
        <v>87.87</v>
      </c>
      <c r="K297" s="130">
        <f>SUM(L297:N297)</f>
        <v>132502</v>
      </c>
      <c r="L297" s="118">
        <v>0</v>
      </c>
      <c r="M297" s="118">
        <v>0</v>
      </c>
      <c r="N297" s="118">
        <f>132751-249</f>
        <v>132502</v>
      </c>
      <c r="O297" s="117">
        <v>18.399999999999999</v>
      </c>
      <c r="P297" s="118">
        <f>Q297+R297+S297</f>
        <v>47696</v>
      </c>
      <c r="Q297" s="118">
        <v>0</v>
      </c>
      <c r="R297" s="118">
        <v>0</v>
      </c>
      <c r="S297" s="118">
        <v>47696</v>
      </c>
      <c r="T297" s="117">
        <v>5.8</v>
      </c>
      <c r="U297" s="118">
        <f>V297+W297+X297</f>
        <v>7696</v>
      </c>
      <c r="V297" s="118">
        <v>0</v>
      </c>
      <c r="W297" s="118">
        <v>0</v>
      </c>
      <c r="X297" s="118">
        <v>7696</v>
      </c>
      <c r="Y297" s="117">
        <v>5.8</v>
      </c>
      <c r="Z297" s="118">
        <f>AA297+AB297+AC297</f>
        <v>7696</v>
      </c>
      <c r="AA297" s="118">
        <v>0</v>
      </c>
      <c r="AB297" s="118">
        <v>0</v>
      </c>
      <c r="AC297" s="118">
        <v>7696</v>
      </c>
      <c r="AE297" s="135"/>
    </row>
    <row r="298" spans="1:31" s="77" customFormat="1" ht="125.45" customHeight="1" outlineLevel="1" x14ac:dyDescent="0.2">
      <c r="A298" s="133" t="s">
        <v>1374</v>
      </c>
      <c r="B298" s="150" t="s">
        <v>29</v>
      </c>
      <c r="C298" s="117">
        <v>0</v>
      </c>
      <c r="D298" s="118">
        <f>F298+K298+P298+U298+Z298</f>
        <v>0</v>
      </c>
      <c r="E298" s="117">
        <v>0</v>
      </c>
      <c r="F298" s="130">
        <v>0</v>
      </c>
      <c r="G298" s="118">
        <v>0</v>
      </c>
      <c r="H298" s="118">
        <v>0</v>
      </c>
      <c r="I298" s="118">
        <v>0</v>
      </c>
      <c r="J298" s="117">
        <v>0</v>
      </c>
      <c r="K298" s="130">
        <f>SUM(L298:N298)</f>
        <v>0</v>
      </c>
      <c r="L298" s="118">
        <v>0</v>
      </c>
      <c r="M298" s="118">
        <v>0</v>
      </c>
      <c r="N298" s="118">
        <v>0</v>
      </c>
      <c r="O298" s="117">
        <v>0</v>
      </c>
      <c r="P298" s="118">
        <v>0</v>
      </c>
      <c r="Q298" s="118">
        <v>0</v>
      </c>
      <c r="R298" s="118">
        <v>0</v>
      </c>
      <c r="S298" s="118">
        <v>0</v>
      </c>
      <c r="T298" s="117">
        <v>0</v>
      </c>
      <c r="U298" s="118">
        <f>V298+W298+X298</f>
        <v>0</v>
      </c>
      <c r="V298" s="118">
        <v>0</v>
      </c>
      <c r="W298" s="118">
        <v>0</v>
      </c>
      <c r="X298" s="118">
        <v>0</v>
      </c>
      <c r="Y298" s="117">
        <v>0</v>
      </c>
      <c r="Z298" s="118">
        <f>AA298+AB298+AC298</f>
        <v>0</v>
      </c>
      <c r="AA298" s="118">
        <v>0</v>
      </c>
      <c r="AB298" s="118">
        <v>0</v>
      </c>
      <c r="AC298" s="118">
        <v>0</v>
      </c>
    </row>
    <row r="299" spans="1:31" s="147" customFormat="1" ht="53.25" customHeight="1" x14ac:dyDescent="0.2">
      <c r="A299" s="133"/>
      <c r="B299" s="151" t="s">
        <v>1375</v>
      </c>
      <c r="C299" s="128">
        <f>C297+C298</f>
        <v>203.54000000000005</v>
      </c>
      <c r="D299" s="89">
        <f>F299+K299+P299+U299+Z299</f>
        <v>338292</v>
      </c>
      <c r="E299" s="128">
        <f t="shared" ref="E299:J299" si="299">E297+E298</f>
        <v>85.67</v>
      </c>
      <c r="F299" s="129">
        <f>F297+F298</f>
        <v>142702</v>
      </c>
      <c r="G299" s="129">
        <f t="shared" si="299"/>
        <v>0</v>
      </c>
      <c r="H299" s="129">
        <f t="shared" si="299"/>
        <v>135000</v>
      </c>
      <c r="I299" s="129">
        <f t="shared" si="299"/>
        <v>7702</v>
      </c>
      <c r="J299" s="128">
        <f t="shared" si="299"/>
        <v>87.87</v>
      </c>
      <c r="K299" s="129">
        <f>SUM(L299:N299)</f>
        <v>132502</v>
      </c>
      <c r="L299" s="129">
        <f t="shared" ref="L299:AC299" si="300">L297+L298</f>
        <v>0</v>
      </c>
      <c r="M299" s="129">
        <f t="shared" si="300"/>
        <v>0</v>
      </c>
      <c r="N299" s="129">
        <f t="shared" si="300"/>
        <v>132502</v>
      </c>
      <c r="O299" s="128">
        <f t="shared" si="300"/>
        <v>18.399999999999999</v>
      </c>
      <c r="P299" s="129">
        <f t="shared" si="300"/>
        <v>47696</v>
      </c>
      <c r="Q299" s="129">
        <f t="shared" si="300"/>
        <v>0</v>
      </c>
      <c r="R299" s="129">
        <f t="shared" si="300"/>
        <v>0</v>
      </c>
      <c r="S299" s="129">
        <f t="shared" si="300"/>
        <v>47696</v>
      </c>
      <c r="T299" s="128">
        <f t="shared" si="300"/>
        <v>5.8</v>
      </c>
      <c r="U299" s="129">
        <f t="shared" si="300"/>
        <v>7696</v>
      </c>
      <c r="V299" s="129">
        <f t="shared" si="300"/>
        <v>0</v>
      </c>
      <c r="W299" s="129">
        <f t="shared" si="300"/>
        <v>0</v>
      </c>
      <c r="X299" s="129">
        <f t="shared" si="300"/>
        <v>7696</v>
      </c>
      <c r="Y299" s="128">
        <f t="shared" si="300"/>
        <v>5.8</v>
      </c>
      <c r="Z299" s="129">
        <f t="shared" si="300"/>
        <v>7696</v>
      </c>
      <c r="AA299" s="129">
        <f t="shared" si="300"/>
        <v>0</v>
      </c>
      <c r="AB299" s="129">
        <f t="shared" si="300"/>
        <v>0</v>
      </c>
      <c r="AC299" s="129">
        <f t="shared" si="300"/>
        <v>7696</v>
      </c>
      <c r="AD299" s="135"/>
    </row>
    <row r="300" spans="1:31" s="147" customFormat="1" ht="31.5" customHeight="1" x14ac:dyDescent="0.2">
      <c r="A300" s="152" t="s">
        <v>1072</v>
      </c>
      <c r="B300" s="369" t="s">
        <v>1376</v>
      </c>
      <c r="C300" s="370"/>
      <c r="D300" s="370"/>
      <c r="E300" s="370"/>
      <c r="F300" s="370"/>
      <c r="G300" s="370"/>
      <c r="H300" s="370"/>
      <c r="I300" s="370"/>
      <c r="J300" s="370"/>
      <c r="K300" s="370"/>
      <c r="L300" s="370"/>
      <c r="M300" s="370"/>
      <c r="N300" s="370"/>
      <c r="O300" s="370"/>
      <c r="P300" s="370"/>
      <c r="Q300" s="370"/>
      <c r="R300" s="370"/>
      <c r="S300" s="370"/>
      <c r="T300" s="370"/>
      <c r="U300" s="370"/>
      <c r="V300" s="370"/>
      <c r="W300" s="370"/>
      <c r="X300" s="370"/>
      <c r="Y300" s="370"/>
      <c r="Z300" s="370"/>
      <c r="AA300" s="370"/>
      <c r="AB300" s="370"/>
      <c r="AC300" s="371"/>
      <c r="AD300" s="135"/>
    </row>
    <row r="301" spans="1:31" s="147" customFormat="1" ht="25.15" customHeight="1" x14ac:dyDescent="0.2">
      <c r="A301" s="153"/>
      <c r="B301" s="154" t="s">
        <v>136</v>
      </c>
      <c r="C301" s="155"/>
      <c r="D301" s="156"/>
      <c r="E301" s="128"/>
      <c r="F301" s="146"/>
      <c r="G301" s="146"/>
      <c r="H301" s="146"/>
      <c r="I301" s="146"/>
      <c r="J301" s="128"/>
      <c r="K301" s="145"/>
      <c r="L301" s="146"/>
      <c r="M301" s="146"/>
      <c r="N301" s="146"/>
      <c r="O301" s="128"/>
      <c r="P301" s="157"/>
      <c r="Q301" s="146"/>
      <c r="R301" s="146"/>
      <c r="S301" s="155"/>
      <c r="T301" s="128"/>
      <c r="U301" s="158"/>
      <c r="V301" s="146"/>
      <c r="W301" s="146"/>
      <c r="X301" s="146"/>
      <c r="Y301" s="128"/>
      <c r="Z301" s="159"/>
      <c r="AA301" s="159"/>
      <c r="AB301" s="159"/>
      <c r="AC301" s="159"/>
      <c r="AD301" s="135"/>
    </row>
    <row r="302" spans="1:31" s="147" customFormat="1" ht="31.15" customHeight="1" x14ac:dyDescent="0.2">
      <c r="A302" s="160" t="s">
        <v>1377</v>
      </c>
      <c r="B302" s="154" t="s">
        <v>337</v>
      </c>
      <c r="C302" s="161">
        <f>SUM(C303:C431)</f>
        <v>0</v>
      </c>
      <c r="D302" s="162">
        <f>SUM(D303:D431)</f>
        <v>0</v>
      </c>
      <c r="E302" s="161">
        <f t="shared" ref="E302:X302" si="301">SUM(E303:E431)</f>
        <v>0</v>
      </c>
      <c r="F302" s="163">
        <f t="shared" si="301"/>
        <v>0</v>
      </c>
      <c r="G302" s="163">
        <f t="shared" si="301"/>
        <v>0</v>
      </c>
      <c r="H302" s="163">
        <f t="shared" si="301"/>
        <v>0</v>
      </c>
      <c r="I302" s="163">
        <f>SUM(I303:I431)</f>
        <v>0</v>
      </c>
      <c r="J302" s="161">
        <f t="shared" si="301"/>
        <v>0</v>
      </c>
      <c r="K302" s="163">
        <f t="shared" ref="K302" si="302">SUM(L302:N302)</f>
        <v>0</v>
      </c>
      <c r="L302" s="163">
        <f t="shared" si="301"/>
        <v>0</v>
      </c>
      <c r="M302" s="163">
        <f t="shared" si="301"/>
        <v>0</v>
      </c>
      <c r="N302" s="163">
        <f t="shared" si="301"/>
        <v>0</v>
      </c>
      <c r="O302" s="161">
        <f t="shared" si="301"/>
        <v>0</v>
      </c>
      <c r="P302" s="162">
        <f>Q302+R302+S302</f>
        <v>0</v>
      </c>
      <c r="Q302" s="162">
        <f t="shared" si="301"/>
        <v>0</v>
      </c>
      <c r="R302" s="162">
        <f t="shared" si="301"/>
        <v>0</v>
      </c>
      <c r="S302" s="163">
        <f t="shared" si="301"/>
        <v>0</v>
      </c>
      <c r="T302" s="161">
        <f>SUM(T303:T431)</f>
        <v>0</v>
      </c>
      <c r="U302" s="162">
        <f>V302+W302+X302</f>
        <v>0</v>
      </c>
      <c r="V302" s="163">
        <f t="shared" si="301"/>
        <v>0</v>
      </c>
      <c r="W302" s="163">
        <f t="shared" si="301"/>
        <v>0</v>
      </c>
      <c r="X302" s="163">
        <f t="shared" si="301"/>
        <v>0</v>
      </c>
      <c r="Y302" s="161">
        <f>SUM(Y303:Y431)</f>
        <v>0</v>
      </c>
      <c r="Z302" s="163">
        <f>SUM(Z303:Z431)</f>
        <v>0</v>
      </c>
      <c r="AA302" s="163">
        <f>SUM(AA303:AA431)</f>
        <v>0</v>
      </c>
      <c r="AB302" s="163">
        <f>SUM(AB303:AB431)</f>
        <v>0</v>
      </c>
      <c r="AC302" s="163">
        <f>SUM(AC303:AC431)</f>
        <v>0</v>
      </c>
      <c r="AD302" s="135"/>
    </row>
    <row r="303" spans="1:31" s="147" customFormat="1" ht="34.9" customHeight="1" outlineLevel="1" x14ac:dyDescent="0.2">
      <c r="A303" s="153" t="s">
        <v>1378</v>
      </c>
      <c r="B303" s="136" t="s">
        <v>137</v>
      </c>
      <c r="C303" s="78">
        <f>E303+J303+O303+Y303+T303</f>
        <v>0</v>
      </c>
      <c r="D303" s="164">
        <f>F303+K303+P303+Z303+U303</f>
        <v>0</v>
      </c>
      <c r="E303" s="117">
        <v>0</v>
      </c>
      <c r="F303" s="165">
        <f>G303+H303+I303</f>
        <v>0</v>
      </c>
      <c r="G303" s="164">
        <v>0</v>
      </c>
      <c r="H303" s="164">
        <v>0</v>
      </c>
      <c r="I303" s="164">
        <v>0</v>
      </c>
      <c r="J303" s="117">
        <v>0</v>
      </c>
      <c r="K303" s="165">
        <f t="shared" ref="K303:K366" si="303">L303+M303+N303</f>
        <v>0</v>
      </c>
      <c r="L303" s="164">
        <v>0</v>
      </c>
      <c r="M303" s="164">
        <v>0</v>
      </c>
      <c r="N303" s="164">
        <v>0</v>
      </c>
      <c r="O303" s="78">
        <v>0</v>
      </c>
      <c r="P303" s="164">
        <f t="shared" ref="P303:P366" si="304">Q303+R303+S303</f>
        <v>0</v>
      </c>
      <c r="Q303" s="164">
        <v>0</v>
      </c>
      <c r="R303" s="164">
        <v>0</v>
      </c>
      <c r="S303" s="81">
        <v>0</v>
      </c>
      <c r="T303" s="78">
        <v>0</v>
      </c>
      <c r="U303" s="164">
        <v>0</v>
      </c>
      <c r="V303" s="164">
        <v>0</v>
      </c>
      <c r="W303" s="164">
        <v>0</v>
      </c>
      <c r="X303" s="164">
        <v>0</v>
      </c>
      <c r="Y303" s="78">
        <v>0</v>
      </c>
      <c r="Z303" s="164">
        <f t="shared" ref="Z303:Z334" si="305">AA303+AB303+AC303</f>
        <v>0</v>
      </c>
      <c r="AA303" s="164">
        <v>0</v>
      </c>
      <c r="AB303" s="164">
        <v>0</v>
      </c>
      <c r="AC303" s="81">
        <v>0</v>
      </c>
      <c r="AD303" s="135"/>
    </row>
    <row r="304" spans="1:31" s="147" customFormat="1" ht="34.9" customHeight="1" outlineLevel="1" x14ac:dyDescent="0.2">
      <c r="A304" s="153" t="s">
        <v>1379</v>
      </c>
      <c r="B304" s="136" t="s">
        <v>138</v>
      </c>
      <c r="C304" s="78">
        <f t="shared" ref="C304:C367" si="306">E304+J304+O304+Y304+T304</f>
        <v>0</v>
      </c>
      <c r="D304" s="164">
        <f t="shared" ref="D304:D367" si="307">F304+K304+P304+Z304+U304</f>
        <v>0</v>
      </c>
      <c r="E304" s="117">
        <v>0</v>
      </c>
      <c r="F304" s="165">
        <f t="shared" ref="F304:F367" si="308">G304+H304+I304</f>
        <v>0</v>
      </c>
      <c r="G304" s="164">
        <v>0</v>
      </c>
      <c r="H304" s="164">
        <v>0</v>
      </c>
      <c r="I304" s="164">
        <v>0</v>
      </c>
      <c r="J304" s="117">
        <v>0</v>
      </c>
      <c r="K304" s="165">
        <f t="shared" si="303"/>
        <v>0</v>
      </c>
      <c r="L304" s="164">
        <v>0</v>
      </c>
      <c r="M304" s="164">
        <v>0</v>
      </c>
      <c r="N304" s="164">
        <v>0</v>
      </c>
      <c r="O304" s="78">
        <v>0</v>
      </c>
      <c r="P304" s="164">
        <f t="shared" si="304"/>
        <v>0</v>
      </c>
      <c r="Q304" s="164">
        <v>0</v>
      </c>
      <c r="R304" s="164">
        <v>0</v>
      </c>
      <c r="S304" s="81">
        <v>0</v>
      </c>
      <c r="T304" s="78">
        <v>0</v>
      </c>
      <c r="U304" s="164">
        <v>0</v>
      </c>
      <c r="V304" s="164">
        <v>0</v>
      </c>
      <c r="W304" s="164">
        <v>0</v>
      </c>
      <c r="X304" s="164">
        <v>0</v>
      </c>
      <c r="Y304" s="78">
        <v>0</v>
      </c>
      <c r="Z304" s="164">
        <f t="shared" si="305"/>
        <v>0</v>
      </c>
      <c r="AA304" s="164">
        <v>0</v>
      </c>
      <c r="AB304" s="164">
        <v>0</v>
      </c>
      <c r="AC304" s="81">
        <v>0</v>
      </c>
      <c r="AD304" s="135"/>
    </row>
    <row r="305" spans="1:30" s="147" customFormat="1" ht="24" customHeight="1" outlineLevel="1" x14ac:dyDescent="0.2">
      <c r="A305" s="153" t="s">
        <v>1380</v>
      </c>
      <c r="B305" s="136" t="s">
        <v>139</v>
      </c>
      <c r="C305" s="78">
        <f t="shared" si="306"/>
        <v>0</v>
      </c>
      <c r="D305" s="164">
        <f t="shared" si="307"/>
        <v>0</v>
      </c>
      <c r="E305" s="117">
        <v>0</v>
      </c>
      <c r="F305" s="165">
        <f t="shared" si="308"/>
        <v>0</v>
      </c>
      <c r="G305" s="164">
        <v>0</v>
      </c>
      <c r="H305" s="164">
        <v>0</v>
      </c>
      <c r="I305" s="164">
        <v>0</v>
      </c>
      <c r="J305" s="117">
        <v>0</v>
      </c>
      <c r="K305" s="165">
        <f t="shared" si="303"/>
        <v>0</v>
      </c>
      <c r="L305" s="164">
        <v>0</v>
      </c>
      <c r="M305" s="164">
        <v>0</v>
      </c>
      <c r="N305" s="164">
        <v>0</v>
      </c>
      <c r="O305" s="78">
        <v>0</v>
      </c>
      <c r="P305" s="164">
        <f t="shared" si="304"/>
        <v>0</v>
      </c>
      <c r="Q305" s="164">
        <v>0</v>
      </c>
      <c r="R305" s="164">
        <v>0</v>
      </c>
      <c r="S305" s="81">
        <v>0</v>
      </c>
      <c r="T305" s="78">
        <v>0</v>
      </c>
      <c r="U305" s="164">
        <v>0</v>
      </c>
      <c r="V305" s="164">
        <v>0</v>
      </c>
      <c r="W305" s="164">
        <v>0</v>
      </c>
      <c r="X305" s="164">
        <v>0</v>
      </c>
      <c r="Y305" s="78">
        <v>0</v>
      </c>
      <c r="Z305" s="164">
        <f t="shared" si="305"/>
        <v>0</v>
      </c>
      <c r="AA305" s="164">
        <v>0</v>
      </c>
      <c r="AB305" s="164">
        <v>0</v>
      </c>
      <c r="AC305" s="81">
        <v>0</v>
      </c>
      <c r="AD305" s="135"/>
    </row>
    <row r="306" spans="1:30" s="147" customFormat="1" ht="27" customHeight="1" outlineLevel="1" x14ac:dyDescent="0.2">
      <c r="A306" s="153" t="s">
        <v>1381</v>
      </c>
      <c r="B306" s="166" t="s">
        <v>140</v>
      </c>
      <c r="C306" s="78">
        <f t="shared" si="306"/>
        <v>0</v>
      </c>
      <c r="D306" s="164">
        <f t="shared" si="307"/>
        <v>0</v>
      </c>
      <c r="E306" s="117">
        <v>0</v>
      </c>
      <c r="F306" s="165">
        <f t="shared" si="308"/>
        <v>0</v>
      </c>
      <c r="G306" s="164">
        <v>0</v>
      </c>
      <c r="H306" s="164">
        <v>0</v>
      </c>
      <c r="I306" s="164">
        <v>0</v>
      </c>
      <c r="J306" s="117">
        <v>0</v>
      </c>
      <c r="K306" s="165">
        <f t="shared" si="303"/>
        <v>0</v>
      </c>
      <c r="L306" s="164">
        <v>0</v>
      </c>
      <c r="M306" s="164">
        <v>0</v>
      </c>
      <c r="N306" s="164">
        <v>0</v>
      </c>
      <c r="O306" s="78">
        <v>0</v>
      </c>
      <c r="P306" s="164">
        <f t="shared" si="304"/>
        <v>0</v>
      </c>
      <c r="Q306" s="164">
        <v>0</v>
      </c>
      <c r="R306" s="164">
        <v>0</v>
      </c>
      <c r="S306" s="81">
        <v>0</v>
      </c>
      <c r="T306" s="78">
        <v>0</v>
      </c>
      <c r="U306" s="164">
        <v>0</v>
      </c>
      <c r="V306" s="164">
        <v>0</v>
      </c>
      <c r="W306" s="164">
        <v>0</v>
      </c>
      <c r="X306" s="164">
        <v>0</v>
      </c>
      <c r="Y306" s="78">
        <v>0</v>
      </c>
      <c r="Z306" s="164">
        <f t="shared" si="305"/>
        <v>0</v>
      </c>
      <c r="AA306" s="164">
        <v>0</v>
      </c>
      <c r="AB306" s="164">
        <v>0</v>
      </c>
      <c r="AC306" s="81">
        <v>0</v>
      </c>
      <c r="AD306" s="135"/>
    </row>
    <row r="307" spans="1:30" s="147" customFormat="1" ht="46.9" customHeight="1" outlineLevel="1" x14ac:dyDescent="0.2">
      <c r="A307" s="153" t="s">
        <v>1382</v>
      </c>
      <c r="B307" s="136" t="s">
        <v>141</v>
      </c>
      <c r="C307" s="78">
        <f t="shared" si="306"/>
        <v>0</v>
      </c>
      <c r="D307" s="164">
        <f t="shared" si="307"/>
        <v>0</v>
      </c>
      <c r="E307" s="117">
        <v>0</v>
      </c>
      <c r="F307" s="165">
        <f t="shared" si="308"/>
        <v>0</v>
      </c>
      <c r="G307" s="164">
        <v>0</v>
      </c>
      <c r="H307" s="164">
        <v>0</v>
      </c>
      <c r="I307" s="164">
        <v>0</v>
      </c>
      <c r="J307" s="117">
        <v>0</v>
      </c>
      <c r="K307" s="165">
        <f t="shared" si="303"/>
        <v>0</v>
      </c>
      <c r="L307" s="164">
        <v>0</v>
      </c>
      <c r="M307" s="164">
        <v>0</v>
      </c>
      <c r="N307" s="164">
        <v>0</v>
      </c>
      <c r="O307" s="78">
        <v>0</v>
      </c>
      <c r="P307" s="164">
        <f t="shared" si="304"/>
        <v>0</v>
      </c>
      <c r="Q307" s="164">
        <v>0</v>
      </c>
      <c r="R307" s="164">
        <v>0</v>
      </c>
      <c r="S307" s="81">
        <v>0</v>
      </c>
      <c r="T307" s="78">
        <v>0</v>
      </c>
      <c r="U307" s="164">
        <v>0</v>
      </c>
      <c r="V307" s="164">
        <v>0</v>
      </c>
      <c r="W307" s="164">
        <v>0</v>
      </c>
      <c r="X307" s="164">
        <v>0</v>
      </c>
      <c r="Y307" s="78">
        <v>0</v>
      </c>
      <c r="Z307" s="164">
        <f t="shared" si="305"/>
        <v>0</v>
      </c>
      <c r="AA307" s="164">
        <v>0</v>
      </c>
      <c r="AB307" s="164">
        <v>0</v>
      </c>
      <c r="AC307" s="81">
        <v>0</v>
      </c>
      <c r="AD307" s="135"/>
    </row>
    <row r="308" spans="1:30" s="147" customFormat="1" ht="46.9" customHeight="1" outlineLevel="1" x14ac:dyDescent="0.2">
      <c r="A308" s="153" t="s">
        <v>1383</v>
      </c>
      <c r="B308" s="136" t="s">
        <v>458</v>
      </c>
      <c r="C308" s="78">
        <f t="shared" si="306"/>
        <v>0</v>
      </c>
      <c r="D308" s="164">
        <f t="shared" si="307"/>
        <v>0</v>
      </c>
      <c r="E308" s="117">
        <v>0</v>
      </c>
      <c r="F308" s="165">
        <f t="shared" si="308"/>
        <v>0</v>
      </c>
      <c r="G308" s="164">
        <v>0</v>
      </c>
      <c r="H308" s="164">
        <v>0</v>
      </c>
      <c r="I308" s="164">
        <v>0</v>
      </c>
      <c r="J308" s="117">
        <v>0</v>
      </c>
      <c r="K308" s="165">
        <f t="shared" si="303"/>
        <v>0</v>
      </c>
      <c r="L308" s="164">
        <v>0</v>
      </c>
      <c r="M308" s="164">
        <v>0</v>
      </c>
      <c r="N308" s="164">
        <v>0</v>
      </c>
      <c r="O308" s="78">
        <v>0</v>
      </c>
      <c r="P308" s="164">
        <f t="shared" si="304"/>
        <v>0</v>
      </c>
      <c r="Q308" s="164">
        <v>0</v>
      </c>
      <c r="R308" s="164">
        <v>0</v>
      </c>
      <c r="S308" s="81">
        <v>0</v>
      </c>
      <c r="T308" s="78">
        <v>0</v>
      </c>
      <c r="U308" s="164">
        <v>0</v>
      </c>
      <c r="V308" s="164">
        <v>0</v>
      </c>
      <c r="W308" s="164">
        <v>0</v>
      </c>
      <c r="X308" s="164">
        <v>0</v>
      </c>
      <c r="Y308" s="78">
        <v>0</v>
      </c>
      <c r="Z308" s="164">
        <f t="shared" si="305"/>
        <v>0</v>
      </c>
      <c r="AA308" s="164">
        <v>0</v>
      </c>
      <c r="AB308" s="164">
        <v>0</v>
      </c>
      <c r="AC308" s="81">
        <v>0</v>
      </c>
      <c r="AD308" s="135"/>
    </row>
    <row r="309" spans="1:30" s="147" customFormat="1" ht="20.45" customHeight="1" outlineLevel="1" x14ac:dyDescent="0.2">
      <c r="A309" s="153" t="s">
        <v>1384</v>
      </c>
      <c r="B309" s="136" t="s">
        <v>142</v>
      </c>
      <c r="C309" s="78">
        <f t="shared" si="306"/>
        <v>0</v>
      </c>
      <c r="D309" s="164">
        <f t="shared" si="307"/>
        <v>0</v>
      </c>
      <c r="E309" s="117">
        <v>0</v>
      </c>
      <c r="F309" s="165">
        <f t="shared" si="308"/>
        <v>0</v>
      </c>
      <c r="G309" s="164">
        <v>0</v>
      </c>
      <c r="H309" s="164">
        <v>0</v>
      </c>
      <c r="I309" s="164">
        <v>0</v>
      </c>
      <c r="J309" s="117">
        <v>0</v>
      </c>
      <c r="K309" s="165">
        <f t="shared" si="303"/>
        <v>0</v>
      </c>
      <c r="L309" s="164">
        <v>0</v>
      </c>
      <c r="M309" s="164">
        <v>0</v>
      </c>
      <c r="N309" s="164">
        <v>0</v>
      </c>
      <c r="O309" s="78">
        <v>0</v>
      </c>
      <c r="P309" s="164">
        <f t="shared" si="304"/>
        <v>0</v>
      </c>
      <c r="Q309" s="164">
        <v>0</v>
      </c>
      <c r="R309" s="164">
        <v>0</v>
      </c>
      <c r="S309" s="81">
        <v>0</v>
      </c>
      <c r="T309" s="78">
        <v>0</v>
      </c>
      <c r="U309" s="164">
        <v>0</v>
      </c>
      <c r="V309" s="164">
        <v>0</v>
      </c>
      <c r="W309" s="164">
        <v>0</v>
      </c>
      <c r="X309" s="164">
        <v>0</v>
      </c>
      <c r="Y309" s="78">
        <v>0</v>
      </c>
      <c r="Z309" s="164">
        <f t="shared" si="305"/>
        <v>0</v>
      </c>
      <c r="AA309" s="164">
        <v>0</v>
      </c>
      <c r="AB309" s="164">
        <v>0</v>
      </c>
      <c r="AC309" s="81">
        <v>0</v>
      </c>
      <c r="AD309" s="135"/>
    </row>
    <row r="310" spans="1:30" s="147" customFormat="1" ht="22.15" customHeight="1" outlineLevel="1" x14ac:dyDescent="0.2">
      <c r="A310" s="153" t="s">
        <v>1385</v>
      </c>
      <c r="B310" s="136" t="s">
        <v>143</v>
      </c>
      <c r="C310" s="78">
        <f t="shared" si="306"/>
        <v>0</v>
      </c>
      <c r="D310" s="164">
        <f t="shared" si="307"/>
        <v>0</v>
      </c>
      <c r="E310" s="117">
        <v>0</v>
      </c>
      <c r="F310" s="165">
        <f t="shared" si="308"/>
        <v>0</v>
      </c>
      <c r="G310" s="164">
        <v>0</v>
      </c>
      <c r="H310" s="164">
        <v>0</v>
      </c>
      <c r="I310" s="164">
        <v>0</v>
      </c>
      <c r="J310" s="117">
        <v>0</v>
      </c>
      <c r="K310" s="165">
        <f t="shared" si="303"/>
        <v>0</v>
      </c>
      <c r="L310" s="164">
        <v>0</v>
      </c>
      <c r="M310" s="164">
        <v>0</v>
      </c>
      <c r="N310" s="164">
        <v>0</v>
      </c>
      <c r="O310" s="78">
        <v>0</v>
      </c>
      <c r="P310" s="164">
        <f t="shared" si="304"/>
        <v>0</v>
      </c>
      <c r="Q310" s="164">
        <v>0</v>
      </c>
      <c r="R310" s="164">
        <v>0</v>
      </c>
      <c r="S310" s="81">
        <v>0</v>
      </c>
      <c r="T310" s="78">
        <v>0</v>
      </c>
      <c r="U310" s="164">
        <v>0</v>
      </c>
      <c r="V310" s="164">
        <v>0</v>
      </c>
      <c r="W310" s="164">
        <v>0</v>
      </c>
      <c r="X310" s="164">
        <v>0</v>
      </c>
      <c r="Y310" s="78">
        <v>0</v>
      </c>
      <c r="Z310" s="164">
        <f t="shared" si="305"/>
        <v>0</v>
      </c>
      <c r="AA310" s="164">
        <v>0</v>
      </c>
      <c r="AB310" s="164">
        <v>0</v>
      </c>
      <c r="AC310" s="81">
        <v>0</v>
      </c>
      <c r="AD310" s="135"/>
    </row>
    <row r="311" spans="1:30" s="147" customFormat="1" ht="24" customHeight="1" outlineLevel="1" x14ac:dyDescent="0.2">
      <c r="A311" s="153" t="s">
        <v>1386</v>
      </c>
      <c r="B311" s="136" t="s">
        <v>144</v>
      </c>
      <c r="C311" s="78">
        <f t="shared" si="306"/>
        <v>0</v>
      </c>
      <c r="D311" s="164">
        <f t="shared" si="307"/>
        <v>0</v>
      </c>
      <c r="E311" s="117">
        <v>0</v>
      </c>
      <c r="F311" s="165">
        <f t="shared" si="308"/>
        <v>0</v>
      </c>
      <c r="G311" s="164">
        <v>0</v>
      </c>
      <c r="H311" s="164">
        <v>0</v>
      </c>
      <c r="I311" s="164">
        <v>0</v>
      </c>
      <c r="J311" s="117">
        <v>0</v>
      </c>
      <c r="K311" s="165">
        <f t="shared" si="303"/>
        <v>0</v>
      </c>
      <c r="L311" s="164">
        <v>0</v>
      </c>
      <c r="M311" s="164">
        <v>0</v>
      </c>
      <c r="N311" s="164">
        <v>0</v>
      </c>
      <c r="O311" s="78">
        <v>0</v>
      </c>
      <c r="P311" s="164">
        <f t="shared" si="304"/>
        <v>0</v>
      </c>
      <c r="Q311" s="164">
        <v>0</v>
      </c>
      <c r="R311" s="164">
        <v>0</v>
      </c>
      <c r="S311" s="81">
        <v>0</v>
      </c>
      <c r="T311" s="78">
        <v>0</v>
      </c>
      <c r="U311" s="164">
        <v>0</v>
      </c>
      <c r="V311" s="164">
        <v>0</v>
      </c>
      <c r="W311" s="164">
        <v>0</v>
      </c>
      <c r="X311" s="164">
        <v>0</v>
      </c>
      <c r="Y311" s="78">
        <v>0</v>
      </c>
      <c r="Z311" s="164">
        <f t="shared" si="305"/>
        <v>0</v>
      </c>
      <c r="AA311" s="164">
        <v>0</v>
      </c>
      <c r="AB311" s="164">
        <v>0</v>
      </c>
      <c r="AC311" s="81">
        <v>0</v>
      </c>
      <c r="AD311" s="135"/>
    </row>
    <row r="312" spans="1:30" s="147" customFormat="1" ht="46.9" customHeight="1" outlineLevel="1" x14ac:dyDescent="0.2">
      <c r="A312" s="153" t="s">
        <v>1387</v>
      </c>
      <c r="B312" s="136" t="s">
        <v>145</v>
      </c>
      <c r="C312" s="78">
        <f t="shared" si="306"/>
        <v>0</v>
      </c>
      <c r="D312" s="164">
        <f t="shared" si="307"/>
        <v>0</v>
      </c>
      <c r="E312" s="117">
        <v>0</v>
      </c>
      <c r="F312" s="165">
        <f t="shared" si="308"/>
        <v>0</v>
      </c>
      <c r="G312" s="164">
        <v>0</v>
      </c>
      <c r="H312" s="164">
        <v>0</v>
      </c>
      <c r="I312" s="164">
        <v>0</v>
      </c>
      <c r="J312" s="117">
        <v>0</v>
      </c>
      <c r="K312" s="165">
        <f t="shared" si="303"/>
        <v>0</v>
      </c>
      <c r="L312" s="164">
        <v>0</v>
      </c>
      <c r="M312" s="164">
        <v>0</v>
      </c>
      <c r="N312" s="164">
        <v>0</v>
      </c>
      <c r="O312" s="78">
        <v>0</v>
      </c>
      <c r="P312" s="164">
        <f t="shared" si="304"/>
        <v>0</v>
      </c>
      <c r="Q312" s="164">
        <v>0</v>
      </c>
      <c r="R312" s="164">
        <v>0</v>
      </c>
      <c r="S312" s="81">
        <v>0</v>
      </c>
      <c r="T312" s="78">
        <v>0</v>
      </c>
      <c r="U312" s="164">
        <v>0</v>
      </c>
      <c r="V312" s="164">
        <v>0</v>
      </c>
      <c r="W312" s="164">
        <v>0</v>
      </c>
      <c r="X312" s="164">
        <v>0</v>
      </c>
      <c r="Y312" s="78">
        <v>0</v>
      </c>
      <c r="Z312" s="164">
        <f t="shared" si="305"/>
        <v>0</v>
      </c>
      <c r="AA312" s="164">
        <v>0</v>
      </c>
      <c r="AB312" s="164">
        <v>0</v>
      </c>
      <c r="AC312" s="81">
        <v>0</v>
      </c>
      <c r="AD312" s="135"/>
    </row>
    <row r="313" spans="1:30" s="147" customFormat="1" ht="32.450000000000003" customHeight="1" outlineLevel="1" x14ac:dyDescent="0.2">
      <c r="A313" s="153" t="s">
        <v>1388</v>
      </c>
      <c r="B313" s="136" t="s">
        <v>459</v>
      </c>
      <c r="C313" s="78">
        <f t="shared" si="306"/>
        <v>0</v>
      </c>
      <c r="D313" s="164">
        <f t="shared" si="307"/>
        <v>0</v>
      </c>
      <c r="E313" s="117">
        <v>0</v>
      </c>
      <c r="F313" s="165">
        <f t="shared" si="308"/>
        <v>0</v>
      </c>
      <c r="G313" s="164">
        <v>0</v>
      </c>
      <c r="H313" s="164">
        <v>0</v>
      </c>
      <c r="I313" s="164">
        <v>0</v>
      </c>
      <c r="J313" s="117">
        <v>0</v>
      </c>
      <c r="K313" s="165">
        <f t="shared" si="303"/>
        <v>0</v>
      </c>
      <c r="L313" s="164">
        <v>0</v>
      </c>
      <c r="M313" s="164">
        <v>0</v>
      </c>
      <c r="N313" s="164">
        <v>0</v>
      </c>
      <c r="O313" s="78">
        <v>0</v>
      </c>
      <c r="P313" s="164">
        <f t="shared" si="304"/>
        <v>0</v>
      </c>
      <c r="Q313" s="164">
        <v>0</v>
      </c>
      <c r="R313" s="164">
        <v>0</v>
      </c>
      <c r="S313" s="81">
        <v>0</v>
      </c>
      <c r="T313" s="78">
        <v>0</v>
      </c>
      <c r="U313" s="164">
        <v>0</v>
      </c>
      <c r="V313" s="164">
        <v>0</v>
      </c>
      <c r="W313" s="164">
        <v>0</v>
      </c>
      <c r="X313" s="164">
        <v>0</v>
      </c>
      <c r="Y313" s="78">
        <v>0</v>
      </c>
      <c r="Z313" s="164">
        <f t="shared" si="305"/>
        <v>0</v>
      </c>
      <c r="AA313" s="164">
        <v>0</v>
      </c>
      <c r="AB313" s="164">
        <v>0</v>
      </c>
      <c r="AC313" s="81">
        <v>0</v>
      </c>
      <c r="AD313" s="135"/>
    </row>
    <row r="314" spans="1:30" s="147" customFormat="1" ht="22.9" customHeight="1" outlineLevel="1" x14ac:dyDescent="0.2">
      <c r="A314" s="153" t="s">
        <v>1389</v>
      </c>
      <c r="B314" s="136" t="s">
        <v>146</v>
      </c>
      <c r="C314" s="78">
        <f t="shared" si="306"/>
        <v>0</v>
      </c>
      <c r="D314" s="164">
        <f t="shared" si="307"/>
        <v>0</v>
      </c>
      <c r="E314" s="117">
        <v>0</v>
      </c>
      <c r="F314" s="165">
        <f t="shared" si="308"/>
        <v>0</v>
      </c>
      <c r="G314" s="164">
        <v>0</v>
      </c>
      <c r="H314" s="164">
        <v>0</v>
      </c>
      <c r="I314" s="164">
        <v>0</v>
      </c>
      <c r="J314" s="117">
        <v>0</v>
      </c>
      <c r="K314" s="165">
        <f t="shared" si="303"/>
        <v>0</v>
      </c>
      <c r="L314" s="164">
        <v>0</v>
      </c>
      <c r="M314" s="164">
        <v>0</v>
      </c>
      <c r="N314" s="164">
        <v>0</v>
      </c>
      <c r="O314" s="78">
        <v>0</v>
      </c>
      <c r="P314" s="164">
        <f t="shared" si="304"/>
        <v>0</v>
      </c>
      <c r="Q314" s="164">
        <v>0</v>
      </c>
      <c r="R314" s="164">
        <v>0</v>
      </c>
      <c r="S314" s="81">
        <v>0</v>
      </c>
      <c r="T314" s="78">
        <v>0</v>
      </c>
      <c r="U314" s="164">
        <v>0</v>
      </c>
      <c r="V314" s="164">
        <v>0</v>
      </c>
      <c r="W314" s="164">
        <v>0</v>
      </c>
      <c r="X314" s="164">
        <v>0</v>
      </c>
      <c r="Y314" s="78">
        <v>0</v>
      </c>
      <c r="Z314" s="164">
        <f t="shared" si="305"/>
        <v>0</v>
      </c>
      <c r="AA314" s="164">
        <v>0</v>
      </c>
      <c r="AB314" s="164">
        <v>0</v>
      </c>
      <c r="AC314" s="81">
        <v>0</v>
      </c>
      <c r="AD314" s="135"/>
    </row>
    <row r="315" spans="1:30" s="147" customFormat="1" ht="41.45" customHeight="1" outlineLevel="1" x14ac:dyDescent="0.2">
      <c r="A315" s="153" t="s">
        <v>1390</v>
      </c>
      <c r="B315" s="136" t="s">
        <v>147</v>
      </c>
      <c r="C315" s="78">
        <f t="shared" si="306"/>
        <v>0</v>
      </c>
      <c r="D315" s="164">
        <f t="shared" si="307"/>
        <v>0</v>
      </c>
      <c r="E315" s="117">
        <v>0</v>
      </c>
      <c r="F315" s="165">
        <f t="shared" si="308"/>
        <v>0</v>
      </c>
      <c r="G315" s="164">
        <v>0</v>
      </c>
      <c r="H315" s="164">
        <v>0</v>
      </c>
      <c r="I315" s="164">
        <v>0</v>
      </c>
      <c r="J315" s="117">
        <v>0</v>
      </c>
      <c r="K315" s="165">
        <f t="shared" si="303"/>
        <v>0</v>
      </c>
      <c r="L315" s="164">
        <v>0</v>
      </c>
      <c r="M315" s="164">
        <v>0</v>
      </c>
      <c r="N315" s="164">
        <v>0</v>
      </c>
      <c r="O315" s="78">
        <v>0</v>
      </c>
      <c r="P315" s="164">
        <f t="shared" si="304"/>
        <v>0</v>
      </c>
      <c r="Q315" s="164">
        <v>0</v>
      </c>
      <c r="R315" s="164">
        <v>0</v>
      </c>
      <c r="S315" s="81">
        <v>0</v>
      </c>
      <c r="T315" s="78">
        <v>0</v>
      </c>
      <c r="U315" s="164">
        <v>0</v>
      </c>
      <c r="V315" s="164">
        <v>0</v>
      </c>
      <c r="W315" s="164">
        <v>0</v>
      </c>
      <c r="X315" s="164">
        <v>0</v>
      </c>
      <c r="Y315" s="78">
        <v>0</v>
      </c>
      <c r="Z315" s="164">
        <f t="shared" si="305"/>
        <v>0</v>
      </c>
      <c r="AA315" s="164">
        <v>0</v>
      </c>
      <c r="AB315" s="164">
        <v>0</v>
      </c>
      <c r="AC315" s="81">
        <v>0</v>
      </c>
      <c r="AD315" s="135"/>
    </row>
    <row r="316" spans="1:30" s="147" customFormat="1" ht="39.6" customHeight="1" outlineLevel="1" x14ac:dyDescent="0.2">
      <c r="A316" s="153" t="s">
        <v>1391</v>
      </c>
      <c r="B316" s="136" t="s">
        <v>148</v>
      </c>
      <c r="C316" s="78">
        <f t="shared" si="306"/>
        <v>0</v>
      </c>
      <c r="D316" s="164">
        <f t="shared" si="307"/>
        <v>0</v>
      </c>
      <c r="E316" s="117">
        <v>0</v>
      </c>
      <c r="F316" s="165">
        <f t="shared" si="308"/>
        <v>0</v>
      </c>
      <c r="G316" s="164">
        <v>0</v>
      </c>
      <c r="H316" s="164">
        <v>0</v>
      </c>
      <c r="I316" s="164">
        <v>0</v>
      </c>
      <c r="J316" s="117">
        <v>0</v>
      </c>
      <c r="K316" s="165">
        <f t="shared" si="303"/>
        <v>0</v>
      </c>
      <c r="L316" s="164">
        <v>0</v>
      </c>
      <c r="M316" s="164">
        <v>0</v>
      </c>
      <c r="N316" s="164">
        <v>0</v>
      </c>
      <c r="O316" s="78">
        <v>0</v>
      </c>
      <c r="P316" s="164">
        <f t="shared" si="304"/>
        <v>0</v>
      </c>
      <c r="Q316" s="164">
        <v>0</v>
      </c>
      <c r="R316" s="164">
        <v>0</v>
      </c>
      <c r="S316" s="81">
        <v>0</v>
      </c>
      <c r="T316" s="78">
        <v>0</v>
      </c>
      <c r="U316" s="164">
        <v>0</v>
      </c>
      <c r="V316" s="164">
        <v>0</v>
      </c>
      <c r="W316" s="164">
        <v>0</v>
      </c>
      <c r="X316" s="164">
        <v>0</v>
      </c>
      <c r="Y316" s="78">
        <v>0</v>
      </c>
      <c r="Z316" s="164">
        <f t="shared" si="305"/>
        <v>0</v>
      </c>
      <c r="AA316" s="164">
        <v>0</v>
      </c>
      <c r="AB316" s="164">
        <v>0</v>
      </c>
      <c r="AC316" s="81">
        <v>0</v>
      </c>
      <c r="AD316" s="135"/>
    </row>
    <row r="317" spans="1:30" s="147" customFormat="1" ht="25.9" customHeight="1" outlineLevel="1" x14ac:dyDescent="0.2">
      <c r="A317" s="153" t="s">
        <v>1392</v>
      </c>
      <c r="B317" s="136" t="s">
        <v>149</v>
      </c>
      <c r="C317" s="78">
        <f t="shared" si="306"/>
        <v>0</v>
      </c>
      <c r="D317" s="164">
        <f t="shared" si="307"/>
        <v>0</v>
      </c>
      <c r="E317" s="117">
        <v>0</v>
      </c>
      <c r="F317" s="165">
        <f t="shared" si="308"/>
        <v>0</v>
      </c>
      <c r="G317" s="164">
        <v>0</v>
      </c>
      <c r="H317" s="164">
        <v>0</v>
      </c>
      <c r="I317" s="164">
        <v>0</v>
      </c>
      <c r="J317" s="117">
        <v>0</v>
      </c>
      <c r="K317" s="165">
        <f t="shared" si="303"/>
        <v>0</v>
      </c>
      <c r="L317" s="164">
        <v>0</v>
      </c>
      <c r="M317" s="164">
        <v>0</v>
      </c>
      <c r="N317" s="164">
        <v>0</v>
      </c>
      <c r="O317" s="78">
        <v>0</v>
      </c>
      <c r="P317" s="164">
        <f t="shared" si="304"/>
        <v>0</v>
      </c>
      <c r="Q317" s="164">
        <v>0</v>
      </c>
      <c r="R317" s="164">
        <v>0</v>
      </c>
      <c r="S317" s="81">
        <v>0</v>
      </c>
      <c r="T317" s="78">
        <v>0</v>
      </c>
      <c r="U317" s="164">
        <v>0</v>
      </c>
      <c r="V317" s="164">
        <v>0</v>
      </c>
      <c r="W317" s="164">
        <v>0</v>
      </c>
      <c r="X317" s="164">
        <v>0</v>
      </c>
      <c r="Y317" s="78">
        <v>0</v>
      </c>
      <c r="Z317" s="164">
        <f t="shared" si="305"/>
        <v>0</v>
      </c>
      <c r="AA317" s="164">
        <v>0</v>
      </c>
      <c r="AB317" s="164">
        <v>0</v>
      </c>
      <c r="AC317" s="81">
        <v>0</v>
      </c>
      <c r="AD317" s="135"/>
    </row>
    <row r="318" spans="1:30" s="147" customFormat="1" ht="30" customHeight="1" outlineLevel="1" x14ac:dyDescent="0.2">
      <c r="A318" s="153" t="s">
        <v>1393</v>
      </c>
      <c r="B318" s="136" t="s">
        <v>150</v>
      </c>
      <c r="C318" s="78">
        <f t="shared" si="306"/>
        <v>0</v>
      </c>
      <c r="D318" s="164">
        <f t="shared" si="307"/>
        <v>0</v>
      </c>
      <c r="E318" s="117">
        <v>0</v>
      </c>
      <c r="F318" s="165">
        <f t="shared" si="308"/>
        <v>0</v>
      </c>
      <c r="G318" s="164">
        <v>0</v>
      </c>
      <c r="H318" s="164">
        <v>0</v>
      </c>
      <c r="I318" s="164">
        <v>0</v>
      </c>
      <c r="J318" s="117">
        <v>0</v>
      </c>
      <c r="K318" s="165">
        <f t="shared" si="303"/>
        <v>0</v>
      </c>
      <c r="L318" s="164">
        <v>0</v>
      </c>
      <c r="M318" s="164">
        <v>0</v>
      </c>
      <c r="N318" s="164">
        <v>0</v>
      </c>
      <c r="O318" s="78">
        <v>0</v>
      </c>
      <c r="P318" s="164">
        <f t="shared" si="304"/>
        <v>0</v>
      </c>
      <c r="Q318" s="164">
        <v>0</v>
      </c>
      <c r="R318" s="164">
        <v>0</v>
      </c>
      <c r="S318" s="81">
        <v>0</v>
      </c>
      <c r="T318" s="78">
        <v>0</v>
      </c>
      <c r="U318" s="164">
        <v>0</v>
      </c>
      <c r="V318" s="164">
        <v>0</v>
      </c>
      <c r="W318" s="164">
        <v>0</v>
      </c>
      <c r="X318" s="164">
        <v>0</v>
      </c>
      <c r="Y318" s="78">
        <v>0</v>
      </c>
      <c r="Z318" s="164">
        <f t="shared" si="305"/>
        <v>0</v>
      </c>
      <c r="AA318" s="164">
        <v>0</v>
      </c>
      <c r="AB318" s="164">
        <v>0</v>
      </c>
      <c r="AC318" s="81">
        <v>0</v>
      </c>
      <c r="AD318" s="135"/>
    </row>
    <row r="319" spans="1:30" s="147" customFormat="1" ht="34.15" customHeight="1" outlineLevel="1" x14ac:dyDescent="0.2">
      <c r="A319" s="153" t="s">
        <v>1394</v>
      </c>
      <c r="B319" s="136" t="s">
        <v>151</v>
      </c>
      <c r="C319" s="78">
        <f t="shared" si="306"/>
        <v>0</v>
      </c>
      <c r="D319" s="164">
        <f t="shared" si="307"/>
        <v>0</v>
      </c>
      <c r="E319" s="117">
        <v>0</v>
      </c>
      <c r="F319" s="165">
        <f t="shared" si="308"/>
        <v>0</v>
      </c>
      <c r="G319" s="164">
        <v>0</v>
      </c>
      <c r="H319" s="164">
        <v>0</v>
      </c>
      <c r="I319" s="164">
        <v>0</v>
      </c>
      <c r="J319" s="117">
        <v>0</v>
      </c>
      <c r="K319" s="165">
        <f t="shared" si="303"/>
        <v>0</v>
      </c>
      <c r="L319" s="164">
        <v>0</v>
      </c>
      <c r="M319" s="164">
        <v>0</v>
      </c>
      <c r="N319" s="164">
        <v>0</v>
      </c>
      <c r="O319" s="78">
        <v>0</v>
      </c>
      <c r="P319" s="164">
        <f t="shared" si="304"/>
        <v>0</v>
      </c>
      <c r="Q319" s="164">
        <v>0</v>
      </c>
      <c r="R319" s="164">
        <v>0</v>
      </c>
      <c r="S319" s="81">
        <v>0</v>
      </c>
      <c r="T319" s="78">
        <v>0</v>
      </c>
      <c r="U319" s="164">
        <v>0</v>
      </c>
      <c r="V319" s="164">
        <v>0</v>
      </c>
      <c r="W319" s="164">
        <v>0</v>
      </c>
      <c r="X319" s="164">
        <v>0</v>
      </c>
      <c r="Y319" s="78">
        <v>0</v>
      </c>
      <c r="Z319" s="164">
        <f t="shared" si="305"/>
        <v>0</v>
      </c>
      <c r="AA319" s="164">
        <v>0</v>
      </c>
      <c r="AB319" s="164">
        <v>0</v>
      </c>
      <c r="AC319" s="81">
        <v>0</v>
      </c>
      <c r="AD319" s="135"/>
    </row>
    <row r="320" spans="1:30" s="147" customFormat="1" ht="46.9" customHeight="1" outlineLevel="1" x14ac:dyDescent="0.2">
      <c r="A320" s="153" t="s">
        <v>1395</v>
      </c>
      <c r="B320" s="136" t="s">
        <v>152</v>
      </c>
      <c r="C320" s="78">
        <f t="shared" si="306"/>
        <v>0</v>
      </c>
      <c r="D320" s="164">
        <f t="shared" si="307"/>
        <v>0</v>
      </c>
      <c r="E320" s="117">
        <v>0</v>
      </c>
      <c r="F320" s="165">
        <f t="shared" si="308"/>
        <v>0</v>
      </c>
      <c r="G320" s="164">
        <v>0</v>
      </c>
      <c r="H320" s="164">
        <v>0</v>
      </c>
      <c r="I320" s="164">
        <v>0</v>
      </c>
      <c r="J320" s="117">
        <v>0</v>
      </c>
      <c r="K320" s="165">
        <f t="shared" si="303"/>
        <v>0</v>
      </c>
      <c r="L320" s="164">
        <v>0</v>
      </c>
      <c r="M320" s="164">
        <v>0</v>
      </c>
      <c r="N320" s="164">
        <v>0</v>
      </c>
      <c r="O320" s="78">
        <v>0</v>
      </c>
      <c r="P320" s="164">
        <f t="shared" si="304"/>
        <v>0</v>
      </c>
      <c r="Q320" s="164">
        <v>0</v>
      </c>
      <c r="R320" s="164">
        <v>0</v>
      </c>
      <c r="S320" s="81">
        <v>0</v>
      </c>
      <c r="T320" s="78">
        <v>0</v>
      </c>
      <c r="U320" s="164">
        <v>0</v>
      </c>
      <c r="V320" s="164">
        <v>0</v>
      </c>
      <c r="W320" s="164">
        <v>0</v>
      </c>
      <c r="X320" s="164">
        <v>0</v>
      </c>
      <c r="Y320" s="78">
        <v>0</v>
      </c>
      <c r="Z320" s="164">
        <f t="shared" si="305"/>
        <v>0</v>
      </c>
      <c r="AA320" s="164">
        <v>0</v>
      </c>
      <c r="AB320" s="164">
        <v>0</v>
      </c>
      <c r="AC320" s="81">
        <v>0</v>
      </c>
      <c r="AD320" s="135"/>
    </row>
    <row r="321" spans="1:30" s="147" customFormat="1" ht="32.450000000000003" customHeight="1" outlineLevel="1" x14ac:dyDescent="0.2">
      <c r="A321" s="153" t="s">
        <v>1396</v>
      </c>
      <c r="B321" s="136" t="s">
        <v>460</v>
      </c>
      <c r="C321" s="78">
        <f t="shared" si="306"/>
        <v>0</v>
      </c>
      <c r="D321" s="164">
        <f t="shared" si="307"/>
        <v>0</v>
      </c>
      <c r="E321" s="117">
        <v>0</v>
      </c>
      <c r="F321" s="165">
        <f t="shared" si="308"/>
        <v>0</v>
      </c>
      <c r="G321" s="164">
        <v>0</v>
      </c>
      <c r="H321" s="164">
        <v>0</v>
      </c>
      <c r="I321" s="164">
        <v>0</v>
      </c>
      <c r="J321" s="117">
        <v>0</v>
      </c>
      <c r="K321" s="165">
        <f t="shared" si="303"/>
        <v>0</v>
      </c>
      <c r="L321" s="164">
        <v>0</v>
      </c>
      <c r="M321" s="164">
        <v>0</v>
      </c>
      <c r="N321" s="164">
        <v>0</v>
      </c>
      <c r="O321" s="78">
        <v>0</v>
      </c>
      <c r="P321" s="164">
        <f t="shared" si="304"/>
        <v>0</v>
      </c>
      <c r="Q321" s="164">
        <v>0</v>
      </c>
      <c r="R321" s="164">
        <v>0</v>
      </c>
      <c r="S321" s="81">
        <v>0</v>
      </c>
      <c r="T321" s="78">
        <v>0</v>
      </c>
      <c r="U321" s="164">
        <v>0</v>
      </c>
      <c r="V321" s="164">
        <v>0</v>
      </c>
      <c r="W321" s="164">
        <v>0</v>
      </c>
      <c r="X321" s="164">
        <v>0</v>
      </c>
      <c r="Y321" s="78">
        <v>0</v>
      </c>
      <c r="Z321" s="164">
        <f t="shared" si="305"/>
        <v>0</v>
      </c>
      <c r="AA321" s="164">
        <v>0</v>
      </c>
      <c r="AB321" s="164">
        <v>0</v>
      </c>
      <c r="AC321" s="81">
        <v>0</v>
      </c>
      <c r="AD321" s="135"/>
    </row>
    <row r="322" spans="1:30" s="147" customFormat="1" ht="43.15" customHeight="1" outlineLevel="1" x14ac:dyDescent="0.2">
      <c r="A322" s="153" t="s">
        <v>1397</v>
      </c>
      <c r="B322" s="136" t="s">
        <v>153</v>
      </c>
      <c r="C322" s="78">
        <f t="shared" si="306"/>
        <v>0</v>
      </c>
      <c r="D322" s="164">
        <f t="shared" si="307"/>
        <v>0</v>
      </c>
      <c r="E322" s="117">
        <v>0</v>
      </c>
      <c r="F322" s="165">
        <f t="shared" si="308"/>
        <v>0</v>
      </c>
      <c r="G322" s="164">
        <v>0</v>
      </c>
      <c r="H322" s="164">
        <v>0</v>
      </c>
      <c r="I322" s="164">
        <v>0</v>
      </c>
      <c r="J322" s="117">
        <v>0</v>
      </c>
      <c r="K322" s="165">
        <f t="shared" si="303"/>
        <v>0</v>
      </c>
      <c r="L322" s="164">
        <v>0</v>
      </c>
      <c r="M322" s="164">
        <v>0</v>
      </c>
      <c r="N322" s="164">
        <v>0</v>
      </c>
      <c r="O322" s="78">
        <v>0</v>
      </c>
      <c r="P322" s="164">
        <f t="shared" si="304"/>
        <v>0</v>
      </c>
      <c r="Q322" s="164">
        <v>0</v>
      </c>
      <c r="R322" s="164">
        <v>0</v>
      </c>
      <c r="S322" s="81">
        <v>0</v>
      </c>
      <c r="T322" s="78">
        <v>0</v>
      </c>
      <c r="U322" s="164">
        <v>0</v>
      </c>
      <c r="V322" s="164">
        <v>0</v>
      </c>
      <c r="W322" s="164">
        <v>0</v>
      </c>
      <c r="X322" s="164">
        <v>0</v>
      </c>
      <c r="Y322" s="78">
        <v>0</v>
      </c>
      <c r="Z322" s="164">
        <f t="shared" si="305"/>
        <v>0</v>
      </c>
      <c r="AA322" s="164">
        <v>0</v>
      </c>
      <c r="AB322" s="164">
        <v>0</v>
      </c>
      <c r="AC322" s="81">
        <v>0</v>
      </c>
      <c r="AD322" s="135"/>
    </row>
    <row r="323" spans="1:30" s="147" customFormat="1" ht="33" customHeight="1" outlineLevel="1" x14ac:dyDescent="0.2">
      <c r="A323" s="153" t="s">
        <v>1398</v>
      </c>
      <c r="B323" s="136" t="s">
        <v>154</v>
      </c>
      <c r="C323" s="78">
        <f t="shared" si="306"/>
        <v>0</v>
      </c>
      <c r="D323" s="164">
        <f t="shared" si="307"/>
        <v>0</v>
      </c>
      <c r="E323" s="117">
        <v>0</v>
      </c>
      <c r="F323" s="165">
        <f t="shared" si="308"/>
        <v>0</v>
      </c>
      <c r="G323" s="164">
        <v>0</v>
      </c>
      <c r="H323" s="164">
        <v>0</v>
      </c>
      <c r="I323" s="164">
        <v>0</v>
      </c>
      <c r="J323" s="117">
        <v>0</v>
      </c>
      <c r="K323" s="165">
        <f t="shared" si="303"/>
        <v>0</v>
      </c>
      <c r="L323" s="164">
        <v>0</v>
      </c>
      <c r="M323" s="164">
        <v>0</v>
      </c>
      <c r="N323" s="164">
        <v>0</v>
      </c>
      <c r="O323" s="78">
        <v>0</v>
      </c>
      <c r="P323" s="164">
        <f t="shared" si="304"/>
        <v>0</v>
      </c>
      <c r="Q323" s="164">
        <v>0</v>
      </c>
      <c r="R323" s="164">
        <v>0</v>
      </c>
      <c r="S323" s="81">
        <v>0</v>
      </c>
      <c r="T323" s="78">
        <v>0</v>
      </c>
      <c r="U323" s="164">
        <v>0</v>
      </c>
      <c r="V323" s="164">
        <v>0</v>
      </c>
      <c r="W323" s="164">
        <v>0</v>
      </c>
      <c r="X323" s="164">
        <v>0</v>
      </c>
      <c r="Y323" s="78">
        <v>0</v>
      </c>
      <c r="Z323" s="164">
        <f t="shared" si="305"/>
        <v>0</v>
      </c>
      <c r="AA323" s="164">
        <v>0</v>
      </c>
      <c r="AB323" s="164">
        <v>0</v>
      </c>
      <c r="AC323" s="81">
        <v>0</v>
      </c>
      <c r="AD323" s="135"/>
    </row>
    <row r="324" spans="1:30" s="147" customFormat="1" ht="26.45" customHeight="1" outlineLevel="1" x14ac:dyDescent="0.2">
      <c r="A324" s="153" t="s">
        <v>1399</v>
      </c>
      <c r="B324" s="136" t="s">
        <v>155</v>
      </c>
      <c r="C324" s="78">
        <f t="shared" si="306"/>
        <v>0</v>
      </c>
      <c r="D324" s="164">
        <f t="shared" si="307"/>
        <v>0</v>
      </c>
      <c r="E324" s="117">
        <v>0</v>
      </c>
      <c r="F324" s="165">
        <f t="shared" si="308"/>
        <v>0</v>
      </c>
      <c r="G324" s="164">
        <v>0</v>
      </c>
      <c r="H324" s="164">
        <v>0</v>
      </c>
      <c r="I324" s="164">
        <v>0</v>
      </c>
      <c r="J324" s="117">
        <v>0</v>
      </c>
      <c r="K324" s="165">
        <f t="shared" si="303"/>
        <v>0</v>
      </c>
      <c r="L324" s="164">
        <v>0</v>
      </c>
      <c r="M324" s="164">
        <v>0</v>
      </c>
      <c r="N324" s="164">
        <v>0</v>
      </c>
      <c r="O324" s="78">
        <v>0</v>
      </c>
      <c r="P324" s="164">
        <f t="shared" si="304"/>
        <v>0</v>
      </c>
      <c r="Q324" s="164">
        <v>0</v>
      </c>
      <c r="R324" s="164">
        <v>0</v>
      </c>
      <c r="S324" s="81">
        <v>0</v>
      </c>
      <c r="T324" s="78">
        <v>0</v>
      </c>
      <c r="U324" s="164">
        <v>0</v>
      </c>
      <c r="V324" s="164">
        <v>0</v>
      </c>
      <c r="W324" s="164">
        <v>0</v>
      </c>
      <c r="X324" s="164">
        <v>0</v>
      </c>
      <c r="Y324" s="78">
        <v>0</v>
      </c>
      <c r="Z324" s="164">
        <f t="shared" si="305"/>
        <v>0</v>
      </c>
      <c r="AA324" s="164">
        <v>0</v>
      </c>
      <c r="AB324" s="164">
        <v>0</v>
      </c>
      <c r="AC324" s="81">
        <v>0</v>
      </c>
      <c r="AD324" s="135"/>
    </row>
    <row r="325" spans="1:30" s="147" customFormat="1" ht="32.450000000000003" customHeight="1" outlineLevel="1" x14ac:dyDescent="0.2">
      <c r="A325" s="153" t="s">
        <v>1400</v>
      </c>
      <c r="B325" s="136" t="s">
        <v>156</v>
      </c>
      <c r="C325" s="78">
        <f t="shared" si="306"/>
        <v>0</v>
      </c>
      <c r="D325" s="164">
        <f t="shared" si="307"/>
        <v>0</v>
      </c>
      <c r="E325" s="117">
        <v>0</v>
      </c>
      <c r="F325" s="165">
        <f t="shared" si="308"/>
        <v>0</v>
      </c>
      <c r="G325" s="164">
        <v>0</v>
      </c>
      <c r="H325" s="164">
        <v>0</v>
      </c>
      <c r="I325" s="164">
        <v>0</v>
      </c>
      <c r="J325" s="117">
        <v>0</v>
      </c>
      <c r="K325" s="165">
        <f t="shared" si="303"/>
        <v>0</v>
      </c>
      <c r="L325" s="164">
        <v>0</v>
      </c>
      <c r="M325" s="164">
        <v>0</v>
      </c>
      <c r="N325" s="164">
        <v>0</v>
      </c>
      <c r="O325" s="78">
        <v>0</v>
      </c>
      <c r="P325" s="164">
        <f t="shared" si="304"/>
        <v>0</v>
      </c>
      <c r="Q325" s="164">
        <v>0</v>
      </c>
      <c r="R325" s="164">
        <v>0</v>
      </c>
      <c r="S325" s="81">
        <v>0</v>
      </c>
      <c r="T325" s="78">
        <v>0</v>
      </c>
      <c r="U325" s="164">
        <v>0</v>
      </c>
      <c r="V325" s="164">
        <v>0</v>
      </c>
      <c r="W325" s="164">
        <v>0</v>
      </c>
      <c r="X325" s="164">
        <v>0</v>
      </c>
      <c r="Y325" s="78">
        <v>0</v>
      </c>
      <c r="Z325" s="164">
        <f t="shared" si="305"/>
        <v>0</v>
      </c>
      <c r="AA325" s="164">
        <v>0</v>
      </c>
      <c r="AB325" s="164">
        <v>0</v>
      </c>
      <c r="AC325" s="81">
        <v>0</v>
      </c>
      <c r="AD325" s="135"/>
    </row>
    <row r="326" spans="1:30" s="147" customFormat="1" ht="36" customHeight="1" outlineLevel="1" x14ac:dyDescent="0.2">
      <c r="A326" s="153" t="s">
        <v>1401</v>
      </c>
      <c r="B326" s="136" t="s">
        <v>157</v>
      </c>
      <c r="C326" s="78">
        <f t="shared" si="306"/>
        <v>0</v>
      </c>
      <c r="D326" s="164">
        <f t="shared" si="307"/>
        <v>0</v>
      </c>
      <c r="E326" s="117">
        <v>0</v>
      </c>
      <c r="F326" s="165">
        <f t="shared" si="308"/>
        <v>0</v>
      </c>
      <c r="G326" s="164">
        <v>0</v>
      </c>
      <c r="H326" s="164">
        <v>0</v>
      </c>
      <c r="I326" s="164">
        <v>0</v>
      </c>
      <c r="J326" s="117">
        <v>0</v>
      </c>
      <c r="K326" s="165">
        <f t="shared" si="303"/>
        <v>0</v>
      </c>
      <c r="L326" s="164">
        <v>0</v>
      </c>
      <c r="M326" s="164">
        <v>0</v>
      </c>
      <c r="N326" s="164">
        <v>0</v>
      </c>
      <c r="O326" s="78">
        <v>0</v>
      </c>
      <c r="P326" s="164">
        <f t="shared" si="304"/>
        <v>0</v>
      </c>
      <c r="Q326" s="164">
        <v>0</v>
      </c>
      <c r="R326" s="164">
        <v>0</v>
      </c>
      <c r="S326" s="81">
        <v>0</v>
      </c>
      <c r="T326" s="78">
        <v>0</v>
      </c>
      <c r="U326" s="164">
        <v>0</v>
      </c>
      <c r="V326" s="164">
        <v>0</v>
      </c>
      <c r="W326" s="164">
        <v>0</v>
      </c>
      <c r="X326" s="164">
        <v>0</v>
      </c>
      <c r="Y326" s="78">
        <v>0</v>
      </c>
      <c r="Z326" s="164">
        <f t="shared" si="305"/>
        <v>0</v>
      </c>
      <c r="AA326" s="164">
        <v>0</v>
      </c>
      <c r="AB326" s="164">
        <v>0</v>
      </c>
      <c r="AC326" s="81">
        <v>0</v>
      </c>
      <c r="AD326" s="135"/>
    </row>
    <row r="327" spans="1:30" s="147" customFormat="1" ht="46.9" customHeight="1" outlineLevel="1" x14ac:dyDescent="0.2">
      <c r="A327" s="153" t="s">
        <v>1402</v>
      </c>
      <c r="B327" s="166" t="s">
        <v>158</v>
      </c>
      <c r="C327" s="78">
        <f t="shared" si="306"/>
        <v>0</v>
      </c>
      <c r="D327" s="164">
        <f t="shared" si="307"/>
        <v>0</v>
      </c>
      <c r="E327" s="117">
        <v>0</v>
      </c>
      <c r="F327" s="165">
        <f t="shared" si="308"/>
        <v>0</v>
      </c>
      <c r="G327" s="164">
        <v>0</v>
      </c>
      <c r="H327" s="164">
        <v>0</v>
      </c>
      <c r="I327" s="164">
        <v>0</v>
      </c>
      <c r="J327" s="117">
        <v>0</v>
      </c>
      <c r="K327" s="165">
        <f t="shared" si="303"/>
        <v>0</v>
      </c>
      <c r="L327" s="164">
        <v>0</v>
      </c>
      <c r="M327" s="164">
        <v>0</v>
      </c>
      <c r="N327" s="164">
        <v>0</v>
      </c>
      <c r="O327" s="78">
        <v>0</v>
      </c>
      <c r="P327" s="164">
        <f t="shared" si="304"/>
        <v>0</v>
      </c>
      <c r="Q327" s="164">
        <v>0</v>
      </c>
      <c r="R327" s="164">
        <v>0</v>
      </c>
      <c r="S327" s="81">
        <v>0</v>
      </c>
      <c r="T327" s="78">
        <v>0</v>
      </c>
      <c r="U327" s="164">
        <v>0</v>
      </c>
      <c r="V327" s="164">
        <v>0</v>
      </c>
      <c r="W327" s="164">
        <v>0</v>
      </c>
      <c r="X327" s="164">
        <v>0</v>
      </c>
      <c r="Y327" s="78">
        <v>0</v>
      </c>
      <c r="Z327" s="164">
        <f t="shared" si="305"/>
        <v>0</v>
      </c>
      <c r="AA327" s="164">
        <v>0</v>
      </c>
      <c r="AB327" s="164">
        <v>0</v>
      </c>
      <c r="AC327" s="81">
        <v>0</v>
      </c>
      <c r="AD327" s="135"/>
    </row>
    <row r="328" spans="1:30" s="147" customFormat="1" ht="62.45" customHeight="1" outlineLevel="1" x14ac:dyDescent="0.2">
      <c r="A328" s="153" t="s">
        <v>1403</v>
      </c>
      <c r="B328" s="166" t="s">
        <v>159</v>
      </c>
      <c r="C328" s="78">
        <f t="shared" si="306"/>
        <v>0</v>
      </c>
      <c r="D328" s="164">
        <f t="shared" si="307"/>
        <v>0</v>
      </c>
      <c r="E328" s="117">
        <v>0</v>
      </c>
      <c r="F328" s="165">
        <f t="shared" si="308"/>
        <v>0</v>
      </c>
      <c r="G328" s="164">
        <v>0</v>
      </c>
      <c r="H328" s="164">
        <v>0</v>
      </c>
      <c r="I328" s="164">
        <v>0</v>
      </c>
      <c r="J328" s="117">
        <v>0</v>
      </c>
      <c r="K328" s="165">
        <f t="shared" si="303"/>
        <v>0</v>
      </c>
      <c r="L328" s="164">
        <v>0</v>
      </c>
      <c r="M328" s="164">
        <v>0</v>
      </c>
      <c r="N328" s="164">
        <v>0</v>
      </c>
      <c r="O328" s="78">
        <v>0</v>
      </c>
      <c r="P328" s="164">
        <f t="shared" si="304"/>
        <v>0</v>
      </c>
      <c r="Q328" s="164">
        <v>0</v>
      </c>
      <c r="R328" s="164">
        <v>0</v>
      </c>
      <c r="S328" s="81">
        <v>0</v>
      </c>
      <c r="T328" s="78">
        <v>0</v>
      </c>
      <c r="U328" s="164">
        <v>0</v>
      </c>
      <c r="V328" s="164">
        <v>0</v>
      </c>
      <c r="W328" s="164">
        <v>0</v>
      </c>
      <c r="X328" s="164">
        <v>0</v>
      </c>
      <c r="Y328" s="78">
        <v>0</v>
      </c>
      <c r="Z328" s="164">
        <f t="shared" si="305"/>
        <v>0</v>
      </c>
      <c r="AA328" s="164">
        <v>0</v>
      </c>
      <c r="AB328" s="164">
        <v>0</v>
      </c>
      <c r="AC328" s="81">
        <v>0</v>
      </c>
      <c r="AD328" s="135"/>
    </row>
    <row r="329" spans="1:30" s="147" customFormat="1" ht="31.9" customHeight="1" outlineLevel="1" x14ac:dyDescent="0.2">
      <c r="A329" s="153" t="s">
        <v>1404</v>
      </c>
      <c r="B329" s="166" t="s">
        <v>160</v>
      </c>
      <c r="C329" s="78">
        <f t="shared" si="306"/>
        <v>0</v>
      </c>
      <c r="D329" s="164">
        <f t="shared" si="307"/>
        <v>0</v>
      </c>
      <c r="E329" s="117">
        <v>0</v>
      </c>
      <c r="F329" s="165">
        <f t="shared" si="308"/>
        <v>0</v>
      </c>
      <c r="G329" s="164">
        <v>0</v>
      </c>
      <c r="H329" s="164">
        <v>0</v>
      </c>
      <c r="I329" s="164">
        <v>0</v>
      </c>
      <c r="J329" s="117">
        <v>0</v>
      </c>
      <c r="K329" s="165">
        <f t="shared" si="303"/>
        <v>0</v>
      </c>
      <c r="L329" s="164">
        <v>0</v>
      </c>
      <c r="M329" s="164">
        <v>0</v>
      </c>
      <c r="N329" s="164">
        <v>0</v>
      </c>
      <c r="O329" s="78">
        <v>0</v>
      </c>
      <c r="P329" s="164">
        <f t="shared" si="304"/>
        <v>0</v>
      </c>
      <c r="Q329" s="164">
        <v>0</v>
      </c>
      <c r="R329" s="164">
        <v>0</v>
      </c>
      <c r="S329" s="81">
        <v>0</v>
      </c>
      <c r="T329" s="78">
        <v>0</v>
      </c>
      <c r="U329" s="164">
        <v>0</v>
      </c>
      <c r="V329" s="164">
        <v>0</v>
      </c>
      <c r="W329" s="164">
        <v>0</v>
      </c>
      <c r="X329" s="164">
        <v>0</v>
      </c>
      <c r="Y329" s="78">
        <v>0</v>
      </c>
      <c r="Z329" s="164">
        <f t="shared" si="305"/>
        <v>0</v>
      </c>
      <c r="AA329" s="164">
        <v>0</v>
      </c>
      <c r="AB329" s="164">
        <v>0</v>
      </c>
      <c r="AC329" s="81">
        <v>0</v>
      </c>
      <c r="AD329" s="135"/>
    </row>
    <row r="330" spans="1:30" s="147" customFormat="1" ht="26.45" customHeight="1" outlineLevel="1" x14ac:dyDescent="0.2">
      <c r="A330" s="153" t="s">
        <v>1405</v>
      </c>
      <c r="B330" s="166" t="s">
        <v>161</v>
      </c>
      <c r="C330" s="78">
        <f t="shared" si="306"/>
        <v>0</v>
      </c>
      <c r="D330" s="164">
        <f t="shared" si="307"/>
        <v>0</v>
      </c>
      <c r="E330" s="117">
        <v>0</v>
      </c>
      <c r="F330" s="165">
        <f t="shared" si="308"/>
        <v>0</v>
      </c>
      <c r="G330" s="164">
        <v>0</v>
      </c>
      <c r="H330" s="164">
        <v>0</v>
      </c>
      <c r="I330" s="164">
        <v>0</v>
      </c>
      <c r="J330" s="117">
        <v>0</v>
      </c>
      <c r="K330" s="165">
        <f t="shared" si="303"/>
        <v>0</v>
      </c>
      <c r="L330" s="164">
        <v>0</v>
      </c>
      <c r="M330" s="164">
        <v>0</v>
      </c>
      <c r="N330" s="164">
        <v>0</v>
      </c>
      <c r="O330" s="78">
        <v>0</v>
      </c>
      <c r="P330" s="164">
        <f t="shared" si="304"/>
        <v>0</v>
      </c>
      <c r="Q330" s="164">
        <v>0</v>
      </c>
      <c r="R330" s="164">
        <v>0</v>
      </c>
      <c r="S330" s="81">
        <v>0</v>
      </c>
      <c r="T330" s="78">
        <v>0</v>
      </c>
      <c r="U330" s="164">
        <v>0</v>
      </c>
      <c r="V330" s="164">
        <v>0</v>
      </c>
      <c r="W330" s="164">
        <v>0</v>
      </c>
      <c r="X330" s="164">
        <v>0</v>
      </c>
      <c r="Y330" s="78">
        <v>0</v>
      </c>
      <c r="Z330" s="164">
        <f t="shared" si="305"/>
        <v>0</v>
      </c>
      <c r="AA330" s="164">
        <v>0</v>
      </c>
      <c r="AB330" s="164">
        <v>0</v>
      </c>
      <c r="AC330" s="81">
        <v>0</v>
      </c>
      <c r="AD330" s="135"/>
    </row>
    <row r="331" spans="1:30" s="147" customFormat="1" ht="31.15" customHeight="1" outlineLevel="1" x14ac:dyDescent="0.2">
      <c r="A331" s="153" t="s">
        <v>1406</v>
      </c>
      <c r="B331" s="166" t="s">
        <v>162</v>
      </c>
      <c r="C331" s="78">
        <f t="shared" si="306"/>
        <v>0</v>
      </c>
      <c r="D331" s="164">
        <f t="shared" si="307"/>
        <v>0</v>
      </c>
      <c r="E331" s="117">
        <v>0</v>
      </c>
      <c r="F331" s="165">
        <f t="shared" si="308"/>
        <v>0</v>
      </c>
      <c r="G331" s="164">
        <v>0</v>
      </c>
      <c r="H331" s="164">
        <v>0</v>
      </c>
      <c r="I331" s="164">
        <v>0</v>
      </c>
      <c r="J331" s="117">
        <v>0</v>
      </c>
      <c r="K331" s="165">
        <f t="shared" si="303"/>
        <v>0</v>
      </c>
      <c r="L331" s="164">
        <v>0</v>
      </c>
      <c r="M331" s="164">
        <v>0</v>
      </c>
      <c r="N331" s="164">
        <v>0</v>
      </c>
      <c r="O331" s="78">
        <v>0</v>
      </c>
      <c r="P331" s="164">
        <f t="shared" si="304"/>
        <v>0</v>
      </c>
      <c r="Q331" s="164">
        <v>0</v>
      </c>
      <c r="R331" s="164">
        <v>0</v>
      </c>
      <c r="S331" s="81">
        <v>0</v>
      </c>
      <c r="T331" s="78">
        <v>0</v>
      </c>
      <c r="U331" s="164">
        <v>0</v>
      </c>
      <c r="V331" s="164">
        <v>0</v>
      </c>
      <c r="W331" s="164">
        <v>0</v>
      </c>
      <c r="X331" s="164">
        <v>0</v>
      </c>
      <c r="Y331" s="78">
        <v>0</v>
      </c>
      <c r="Z331" s="164">
        <f t="shared" si="305"/>
        <v>0</v>
      </c>
      <c r="AA331" s="164">
        <v>0</v>
      </c>
      <c r="AB331" s="164">
        <v>0</v>
      </c>
      <c r="AC331" s="81">
        <v>0</v>
      </c>
      <c r="AD331" s="135"/>
    </row>
    <row r="332" spans="1:30" s="147" customFormat="1" ht="32.450000000000003" customHeight="1" outlineLevel="1" x14ac:dyDescent="0.2">
      <c r="A332" s="153" t="s">
        <v>1407</v>
      </c>
      <c r="B332" s="166" t="s">
        <v>163</v>
      </c>
      <c r="C332" s="78">
        <f t="shared" si="306"/>
        <v>0</v>
      </c>
      <c r="D332" s="164">
        <f t="shared" si="307"/>
        <v>0</v>
      </c>
      <c r="E332" s="117">
        <v>0</v>
      </c>
      <c r="F332" s="165">
        <f t="shared" si="308"/>
        <v>0</v>
      </c>
      <c r="G332" s="164">
        <v>0</v>
      </c>
      <c r="H332" s="164">
        <v>0</v>
      </c>
      <c r="I332" s="164">
        <v>0</v>
      </c>
      <c r="J332" s="117">
        <v>0</v>
      </c>
      <c r="K332" s="165">
        <f t="shared" si="303"/>
        <v>0</v>
      </c>
      <c r="L332" s="164">
        <v>0</v>
      </c>
      <c r="M332" s="164">
        <v>0</v>
      </c>
      <c r="N332" s="164">
        <v>0</v>
      </c>
      <c r="O332" s="78">
        <v>0</v>
      </c>
      <c r="P332" s="164">
        <f t="shared" si="304"/>
        <v>0</v>
      </c>
      <c r="Q332" s="164">
        <v>0</v>
      </c>
      <c r="R332" s="164">
        <v>0</v>
      </c>
      <c r="S332" s="81">
        <v>0</v>
      </c>
      <c r="T332" s="78">
        <v>0</v>
      </c>
      <c r="U332" s="164">
        <v>0</v>
      </c>
      <c r="V332" s="164">
        <v>0</v>
      </c>
      <c r="W332" s="164">
        <v>0</v>
      </c>
      <c r="X332" s="164">
        <v>0</v>
      </c>
      <c r="Y332" s="78">
        <v>0</v>
      </c>
      <c r="Z332" s="164">
        <f t="shared" si="305"/>
        <v>0</v>
      </c>
      <c r="AA332" s="164">
        <v>0</v>
      </c>
      <c r="AB332" s="164">
        <v>0</v>
      </c>
      <c r="AC332" s="81">
        <v>0</v>
      </c>
      <c r="AD332" s="135"/>
    </row>
    <row r="333" spans="1:30" s="147" customFormat="1" ht="30.6" customHeight="1" outlineLevel="1" x14ac:dyDescent="0.2">
      <c r="A333" s="153" t="s">
        <v>1408</v>
      </c>
      <c r="B333" s="166" t="s">
        <v>164</v>
      </c>
      <c r="C333" s="78">
        <f t="shared" si="306"/>
        <v>0</v>
      </c>
      <c r="D333" s="164">
        <f t="shared" si="307"/>
        <v>0</v>
      </c>
      <c r="E333" s="117">
        <v>0</v>
      </c>
      <c r="F333" s="165">
        <f t="shared" si="308"/>
        <v>0</v>
      </c>
      <c r="G333" s="164">
        <v>0</v>
      </c>
      <c r="H333" s="164">
        <v>0</v>
      </c>
      <c r="I333" s="164">
        <v>0</v>
      </c>
      <c r="J333" s="117">
        <v>0</v>
      </c>
      <c r="K333" s="165">
        <f t="shared" si="303"/>
        <v>0</v>
      </c>
      <c r="L333" s="164">
        <v>0</v>
      </c>
      <c r="M333" s="164">
        <v>0</v>
      </c>
      <c r="N333" s="164">
        <v>0</v>
      </c>
      <c r="O333" s="78">
        <v>0</v>
      </c>
      <c r="P333" s="164">
        <f t="shared" si="304"/>
        <v>0</v>
      </c>
      <c r="Q333" s="164">
        <v>0</v>
      </c>
      <c r="R333" s="164">
        <v>0</v>
      </c>
      <c r="S333" s="81">
        <v>0</v>
      </c>
      <c r="T333" s="78">
        <v>0</v>
      </c>
      <c r="U333" s="164">
        <v>0</v>
      </c>
      <c r="V333" s="164">
        <v>0</v>
      </c>
      <c r="W333" s="164">
        <v>0</v>
      </c>
      <c r="X333" s="164">
        <v>0</v>
      </c>
      <c r="Y333" s="78">
        <v>0</v>
      </c>
      <c r="Z333" s="164">
        <f t="shared" si="305"/>
        <v>0</v>
      </c>
      <c r="AA333" s="164">
        <v>0</v>
      </c>
      <c r="AB333" s="164">
        <v>0</v>
      </c>
      <c r="AC333" s="81">
        <v>0</v>
      </c>
      <c r="AD333" s="135"/>
    </row>
    <row r="334" spans="1:30" s="147" customFormat="1" ht="39" customHeight="1" outlineLevel="1" x14ac:dyDescent="0.2">
      <c r="A334" s="153" t="s">
        <v>1409</v>
      </c>
      <c r="B334" s="166" t="s">
        <v>165</v>
      </c>
      <c r="C334" s="78">
        <f t="shared" si="306"/>
        <v>0</v>
      </c>
      <c r="D334" s="164">
        <f t="shared" si="307"/>
        <v>0</v>
      </c>
      <c r="E334" s="117">
        <v>0</v>
      </c>
      <c r="F334" s="165">
        <f t="shared" si="308"/>
        <v>0</v>
      </c>
      <c r="G334" s="164">
        <v>0</v>
      </c>
      <c r="H334" s="164">
        <v>0</v>
      </c>
      <c r="I334" s="164">
        <v>0</v>
      </c>
      <c r="J334" s="117">
        <v>0</v>
      </c>
      <c r="K334" s="165">
        <f t="shared" si="303"/>
        <v>0</v>
      </c>
      <c r="L334" s="164">
        <v>0</v>
      </c>
      <c r="M334" s="164">
        <v>0</v>
      </c>
      <c r="N334" s="164">
        <v>0</v>
      </c>
      <c r="O334" s="78">
        <v>0</v>
      </c>
      <c r="P334" s="164">
        <f t="shared" si="304"/>
        <v>0</v>
      </c>
      <c r="Q334" s="164">
        <v>0</v>
      </c>
      <c r="R334" s="164">
        <v>0</v>
      </c>
      <c r="S334" s="81">
        <v>0</v>
      </c>
      <c r="T334" s="78">
        <v>0</v>
      </c>
      <c r="U334" s="164">
        <v>0</v>
      </c>
      <c r="V334" s="164">
        <v>0</v>
      </c>
      <c r="W334" s="164">
        <v>0</v>
      </c>
      <c r="X334" s="164">
        <v>0</v>
      </c>
      <c r="Y334" s="78">
        <v>0</v>
      </c>
      <c r="Z334" s="164">
        <f t="shared" si="305"/>
        <v>0</v>
      </c>
      <c r="AA334" s="164">
        <v>0</v>
      </c>
      <c r="AB334" s="164">
        <v>0</v>
      </c>
      <c r="AC334" s="81">
        <v>0</v>
      </c>
      <c r="AD334" s="135"/>
    </row>
    <row r="335" spans="1:30" s="147" customFormat="1" ht="50.45" customHeight="1" outlineLevel="1" x14ac:dyDescent="0.2">
      <c r="A335" s="153" t="s">
        <v>1410</v>
      </c>
      <c r="B335" s="166" t="s">
        <v>166</v>
      </c>
      <c r="C335" s="78">
        <f t="shared" si="306"/>
        <v>0</v>
      </c>
      <c r="D335" s="164">
        <f t="shared" si="307"/>
        <v>0</v>
      </c>
      <c r="E335" s="117">
        <v>0</v>
      </c>
      <c r="F335" s="165">
        <f t="shared" si="308"/>
        <v>0</v>
      </c>
      <c r="G335" s="164">
        <v>0</v>
      </c>
      <c r="H335" s="164">
        <v>0</v>
      </c>
      <c r="I335" s="164">
        <v>0</v>
      </c>
      <c r="J335" s="117">
        <v>0</v>
      </c>
      <c r="K335" s="165">
        <f t="shared" si="303"/>
        <v>0</v>
      </c>
      <c r="L335" s="164">
        <v>0</v>
      </c>
      <c r="M335" s="164">
        <v>0</v>
      </c>
      <c r="N335" s="164">
        <v>0</v>
      </c>
      <c r="O335" s="78">
        <v>0</v>
      </c>
      <c r="P335" s="164">
        <f t="shared" si="304"/>
        <v>0</v>
      </c>
      <c r="Q335" s="164">
        <v>0</v>
      </c>
      <c r="R335" s="164">
        <v>0</v>
      </c>
      <c r="S335" s="81">
        <v>0</v>
      </c>
      <c r="T335" s="78">
        <v>0</v>
      </c>
      <c r="U335" s="164">
        <v>0</v>
      </c>
      <c r="V335" s="164">
        <v>0</v>
      </c>
      <c r="W335" s="164">
        <v>0</v>
      </c>
      <c r="X335" s="164">
        <v>0</v>
      </c>
      <c r="Y335" s="78">
        <v>0</v>
      </c>
      <c r="Z335" s="164">
        <f t="shared" ref="Z335:Z351" si="309">AA335+AB335+AC335</f>
        <v>0</v>
      </c>
      <c r="AA335" s="164">
        <v>0</v>
      </c>
      <c r="AB335" s="164">
        <v>0</v>
      </c>
      <c r="AC335" s="81">
        <v>0</v>
      </c>
      <c r="AD335" s="135"/>
    </row>
    <row r="336" spans="1:30" s="147" customFormat="1" ht="31.9" customHeight="1" outlineLevel="1" x14ac:dyDescent="0.2">
      <c r="A336" s="153" t="s">
        <v>1411</v>
      </c>
      <c r="B336" s="166" t="s">
        <v>167</v>
      </c>
      <c r="C336" s="78">
        <f t="shared" si="306"/>
        <v>0</v>
      </c>
      <c r="D336" s="164">
        <f t="shared" si="307"/>
        <v>0</v>
      </c>
      <c r="E336" s="117">
        <v>0</v>
      </c>
      <c r="F336" s="165">
        <f t="shared" si="308"/>
        <v>0</v>
      </c>
      <c r="G336" s="164">
        <v>0</v>
      </c>
      <c r="H336" s="164">
        <v>0</v>
      </c>
      <c r="I336" s="164">
        <v>0</v>
      </c>
      <c r="J336" s="117">
        <v>0</v>
      </c>
      <c r="K336" s="165">
        <f t="shared" si="303"/>
        <v>0</v>
      </c>
      <c r="L336" s="164">
        <v>0</v>
      </c>
      <c r="M336" s="164">
        <v>0</v>
      </c>
      <c r="N336" s="164">
        <v>0</v>
      </c>
      <c r="O336" s="78">
        <v>0</v>
      </c>
      <c r="P336" s="164">
        <f t="shared" si="304"/>
        <v>0</v>
      </c>
      <c r="Q336" s="164">
        <v>0</v>
      </c>
      <c r="R336" s="164">
        <v>0</v>
      </c>
      <c r="S336" s="81">
        <v>0</v>
      </c>
      <c r="T336" s="78">
        <v>0</v>
      </c>
      <c r="U336" s="164">
        <v>0</v>
      </c>
      <c r="V336" s="164">
        <v>0</v>
      </c>
      <c r="W336" s="164">
        <v>0</v>
      </c>
      <c r="X336" s="164">
        <v>0</v>
      </c>
      <c r="Y336" s="78">
        <v>0</v>
      </c>
      <c r="Z336" s="164">
        <f t="shared" si="309"/>
        <v>0</v>
      </c>
      <c r="AA336" s="164">
        <v>0</v>
      </c>
      <c r="AB336" s="164">
        <v>0</v>
      </c>
      <c r="AC336" s="81">
        <v>0</v>
      </c>
      <c r="AD336" s="135"/>
    </row>
    <row r="337" spans="1:30" s="147" customFormat="1" ht="32.450000000000003" customHeight="1" outlineLevel="1" x14ac:dyDescent="0.2">
      <c r="A337" s="153" t="s">
        <v>1412</v>
      </c>
      <c r="B337" s="166" t="s">
        <v>168</v>
      </c>
      <c r="C337" s="78">
        <f t="shared" si="306"/>
        <v>0</v>
      </c>
      <c r="D337" s="164">
        <f t="shared" si="307"/>
        <v>0</v>
      </c>
      <c r="E337" s="117">
        <v>0</v>
      </c>
      <c r="F337" s="165">
        <f t="shared" si="308"/>
        <v>0</v>
      </c>
      <c r="G337" s="164">
        <v>0</v>
      </c>
      <c r="H337" s="164">
        <v>0</v>
      </c>
      <c r="I337" s="164">
        <v>0</v>
      </c>
      <c r="J337" s="117">
        <v>0</v>
      </c>
      <c r="K337" s="165">
        <f t="shared" si="303"/>
        <v>0</v>
      </c>
      <c r="L337" s="164">
        <v>0</v>
      </c>
      <c r="M337" s="164">
        <v>0</v>
      </c>
      <c r="N337" s="164">
        <v>0</v>
      </c>
      <c r="O337" s="78">
        <v>0</v>
      </c>
      <c r="P337" s="164">
        <f t="shared" si="304"/>
        <v>0</v>
      </c>
      <c r="Q337" s="164">
        <v>0</v>
      </c>
      <c r="R337" s="164">
        <v>0</v>
      </c>
      <c r="S337" s="81">
        <v>0</v>
      </c>
      <c r="T337" s="78">
        <v>0</v>
      </c>
      <c r="U337" s="164">
        <v>0</v>
      </c>
      <c r="V337" s="164">
        <v>0</v>
      </c>
      <c r="W337" s="164">
        <v>0</v>
      </c>
      <c r="X337" s="164">
        <v>0</v>
      </c>
      <c r="Y337" s="78">
        <v>0</v>
      </c>
      <c r="Z337" s="164">
        <f t="shared" si="309"/>
        <v>0</v>
      </c>
      <c r="AA337" s="164">
        <v>0</v>
      </c>
      <c r="AB337" s="164">
        <v>0</v>
      </c>
      <c r="AC337" s="81">
        <v>0</v>
      </c>
      <c r="AD337" s="135"/>
    </row>
    <row r="338" spans="1:30" s="147" customFormat="1" ht="28.9" customHeight="1" outlineLevel="1" x14ac:dyDescent="0.2">
      <c r="A338" s="153" t="s">
        <v>1413</v>
      </c>
      <c r="B338" s="166" t="s">
        <v>169</v>
      </c>
      <c r="C338" s="78">
        <f t="shared" si="306"/>
        <v>0</v>
      </c>
      <c r="D338" s="164">
        <f t="shared" si="307"/>
        <v>0</v>
      </c>
      <c r="E338" s="117">
        <v>0</v>
      </c>
      <c r="F338" s="165">
        <f t="shared" si="308"/>
        <v>0</v>
      </c>
      <c r="G338" s="164">
        <v>0</v>
      </c>
      <c r="H338" s="164">
        <v>0</v>
      </c>
      <c r="I338" s="164">
        <v>0</v>
      </c>
      <c r="J338" s="117">
        <v>0</v>
      </c>
      <c r="K338" s="165">
        <f t="shared" si="303"/>
        <v>0</v>
      </c>
      <c r="L338" s="164">
        <v>0</v>
      </c>
      <c r="M338" s="164">
        <v>0</v>
      </c>
      <c r="N338" s="164">
        <v>0</v>
      </c>
      <c r="O338" s="78">
        <v>0</v>
      </c>
      <c r="P338" s="164">
        <f t="shared" si="304"/>
        <v>0</v>
      </c>
      <c r="Q338" s="164">
        <v>0</v>
      </c>
      <c r="R338" s="164">
        <v>0</v>
      </c>
      <c r="S338" s="81">
        <v>0</v>
      </c>
      <c r="T338" s="78">
        <v>0</v>
      </c>
      <c r="U338" s="164">
        <v>0</v>
      </c>
      <c r="V338" s="164">
        <v>0</v>
      </c>
      <c r="W338" s="164">
        <v>0</v>
      </c>
      <c r="X338" s="164">
        <v>0</v>
      </c>
      <c r="Y338" s="78">
        <v>0</v>
      </c>
      <c r="Z338" s="164">
        <f t="shared" si="309"/>
        <v>0</v>
      </c>
      <c r="AA338" s="164">
        <v>0</v>
      </c>
      <c r="AB338" s="164">
        <v>0</v>
      </c>
      <c r="AC338" s="81">
        <v>0</v>
      </c>
      <c r="AD338" s="135"/>
    </row>
    <row r="339" spans="1:30" s="147" customFormat="1" ht="33" customHeight="1" outlineLevel="1" x14ac:dyDescent="0.2">
      <c r="A339" s="153" t="s">
        <v>1414</v>
      </c>
      <c r="B339" s="166" t="s">
        <v>170</v>
      </c>
      <c r="C339" s="78">
        <f t="shared" si="306"/>
        <v>0</v>
      </c>
      <c r="D339" s="164">
        <f t="shared" si="307"/>
        <v>0</v>
      </c>
      <c r="E339" s="117">
        <v>0</v>
      </c>
      <c r="F339" s="165">
        <f t="shared" si="308"/>
        <v>0</v>
      </c>
      <c r="G339" s="164">
        <v>0</v>
      </c>
      <c r="H339" s="164">
        <v>0</v>
      </c>
      <c r="I339" s="164">
        <v>0</v>
      </c>
      <c r="J339" s="117">
        <v>0</v>
      </c>
      <c r="K339" s="165">
        <f t="shared" si="303"/>
        <v>0</v>
      </c>
      <c r="L339" s="164">
        <v>0</v>
      </c>
      <c r="M339" s="164">
        <v>0</v>
      </c>
      <c r="N339" s="164">
        <v>0</v>
      </c>
      <c r="O339" s="78">
        <v>0</v>
      </c>
      <c r="P339" s="164">
        <f t="shared" si="304"/>
        <v>0</v>
      </c>
      <c r="Q339" s="164">
        <v>0</v>
      </c>
      <c r="R339" s="164">
        <v>0</v>
      </c>
      <c r="S339" s="81">
        <v>0</v>
      </c>
      <c r="T339" s="78">
        <v>0</v>
      </c>
      <c r="U339" s="164">
        <v>0</v>
      </c>
      <c r="V339" s="164">
        <v>0</v>
      </c>
      <c r="W339" s="164">
        <v>0</v>
      </c>
      <c r="X339" s="164">
        <v>0</v>
      </c>
      <c r="Y339" s="78">
        <v>0</v>
      </c>
      <c r="Z339" s="164">
        <f t="shared" si="309"/>
        <v>0</v>
      </c>
      <c r="AA339" s="164">
        <v>0</v>
      </c>
      <c r="AB339" s="164">
        <v>0</v>
      </c>
      <c r="AC339" s="81">
        <v>0</v>
      </c>
      <c r="AD339" s="135"/>
    </row>
    <row r="340" spans="1:30" s="147" customFormat="1" ht="31.15" customHeight="1" outlineLevel="1" x14ac:dyDescent="0.2">
      <c r="A340" s="153" t="s">
        <v>1415</v>
      </c>
      <c r="B340" s="166" t="s">
        <v>171</v>
      </c>
      <c r="C340" s="78">
        <f t="shared" si="306"/>
        <v>0</v>
      </c>
      <c r="D340" s="164">
        <f t="shared" si="307"/>
        <v>0</v>
      </c>
      <c r="E340" s="117">
        <v>0</v>
      </c>
      <c r="F340" s="165">
        <f t="shared" si="308"/>
        <v>0</v>
      </c>
      <c r="G340" s="164">
        <v>0</v>
      </c>
      <c r="H340" s="164">
        <v>0</v>
      </c>
      <c r="I340" s="164">
        <v>0</v>
      </c>
      <c r="J340" s="117">
        <v>0</v>
      </c>
      <c r="K340" s="165">
        <f t="shared" si="303"/>
        <v>0</v>
      </c>
      <c r="L340" s="164">
        <v>0</v>
      </c>
      <c r="M340" s="164">
        <v>0</v>
      </c>
      <c r="N340" s="164">
        <v>0</v>
      </c>
      <c r="O340" s="78">
        <v>0</v>
      </c>
      <c r="P340" s="164">
        <f t="shared" si="304"/>
        <v>0</v>
      </c>
      <c r="Q340" s="164">
        <v>0</v>
      </c>
      <c r="R340" s="164">
        <v>0</v>
      </c>
      <c r="S340" s="81">
        <v>0</v>
      </c>
      <c r="T340" s="78">
        <v>0</v>
      </c>
      <c r="U340" s="164">
        <v>0</v>
      </c>
      <c r="V340" s="164">
        <v>0</v>
      </c>
      <c r="W340" s="164">
        <v>0</v>
      </c>
      <c r="X340" s="164">
        <v>0</v>
      </c>
      <c r="Y340" s="78">
        <v>0</v>
      </c>
      <c r="Z340" s="164">
        <f t="shared" si="309"/>
        <v>0</v>
      </c>
      <c r="AA340" s="164">
        <v>0</v>
      </c>
      <c r="AB340" s="164">
        <v>0</v>
      </c>
      <c r="AC340" s="81">
        <v>0</v>
      </c>
      <c r="AD340" s="135"/>
    </row>
    <row r="341" spans="1:30" s="147" customFormat="1" ht="25.15" customHeight="1" outlineLevel="1" x14ac:dyDescent="0.2">
      <c r="A341" s="153" t="s">
        <v>1416</v>
      </c>
      <c r="B341" s="166" t="s">
        <v>172</v>
      </c>
      <c r="C341" s="78">
        <f t="shared" si="306"/>
        <v>0</v>
      </c>
      <c r="D341" s="164">
        <f t="shared" si="307"/>
        <v>0</v>
      </c>
      <c r="E341" s="117">
        <v>0</v>
      </c>
      <c r="F341" s="165">
        <f t="shared" si="308"/>
        <v>0</v>
      </c>
      <c r="G341" s="164">
        <v>0</v>
      </c>
      <c r="H341" s="164">
        <v>0</v>
      </c>
      <c r="I341" s="164">
        <v>0</v>
      </c>
      <c r="J341" s="117">
        <v>0</v>
      </c>
      <c r="K341" s="165">
        <f t="shared" si="303"/>
        <v>0</v>
      </c>
      <c r="L341" s="164">
        <v>0</v>
      </c>
      <c r="M341" s="164">
        <v>0</v>
      </c>
      <c r="N341" s="164">
        <v>0</v>
      </c>
      <c r="O341" s="78">
        <v>0</v>
      </c>
      <c r="P341" s="164">
        <f t="shared" si="304"/>
        <v>0</v>
      </c>
      <c r="Q341" s="164">
        <v>0</v>
      </c>
      <c r="R341" s="164">
        <v>0</v>
      </c>
      <c r="S341" s="81">
        <v>0</v>
      </c>
      <c r="T341" s="78">
        <v>0</v>
      </c>
      <c r="U341" s="164">
        <v>0</v>
      </c>
      <c r="V341" s="164">
        <v>0</v>
      </c>
      <c r="W341" s="164">
        <v>0</v>
      </c>
      <c r="X341" s="164">
        <v>0</v>
      </c>
      <c r="Y341" s="78">
        <v>0</v>
      </c>
      <c r="Z341" s="164">
        <f t="shared" si="309"/>
        <v>0</v>
      </c>
      <c r="AA341" s="164">
        <v>0</v>
      </c>
      <c r="AB341" s="164">
        <v>0</v>
      </c>
      <c r="AC341" s="81">
        <v>0</v>
      </c>
      <c r="AD341" s="135"/>
    </row>
    <row r="342" spans="1:30" s="147" customFormat="1" ht="24" customHeight="1" outlineLevel="1" x14ac:dyDescent="0.2">
      <c r="A342" s="153" t="s">
        <v>1417</v>
      </c>
      <c r="B342" s="166" t="s">
        <v>173</v>
      </c>
      <c r="C342" s="78">
        <f t="shared" si="306"/>
        <v>0</v>
      </c>
      <c r="D342" s="164">
        <f t="shared" si="307"/>
        <v>0</v>
      </c>
      <c r="E342" s="117">
        <v>0</v>
      </c>
      <c r="F342" s="165">
        <f t="shared" si="308"/>
        <v>0</v>
      </c>
      <c r="G342" s="164">
        <v>0</v>
      </c>
      <c r="H342" s="164">
        <v>0</v>
      </c>
      <c r="I342" s="164">
        <v>0</v>
      </c>
      <c r="J342" s="117">
        <v>0</v>
      </c>
      <c r="K342" s="165">
        <f t="shared" si="303"/>
        <v>0</v>
      </c>
      <c r="L342" s="164">
        <v>0</v>
      </c>
      <c r="M342" s="164">
        <v>0</v>
      </c>
      <c r="N342" s="164">
        <v>0</v>
      </c>
      <c r="O342" s="78">
        <v>0</v>
      </c>
      <c r="P342" s="164">
        <f t="shared" si="304"/>
        <v>0</v>
      </c>
      <c r="Q342" s="164">
        <v>0</v>
      </c>
      <c r="R342" s="164">
        <v>0</v>
      </c>
      <c r="S342" s="81">
        <v>0</v>
      </c>
      <c r="T342" s="78">
        <v>0</v>
      </c>
      <c r="U342" s="164">
        <v>0</v>
      </c>
      <c r="V342" s="164">
        <v>0</v>
      </c>
      <c r="W342" s="164">
        <v>0</v>
      </c>
      <c r="X342" s="164">
        <v>0</v>
      </c>
      <c r="Y342" s="78">
        <v>0</v>
      </c>
      <c r="Z342" s="164">
        <f t="shared" si="309"/>
        <v>0</v>
      </c>
      <c r="AA342" s="164">
        <v>0</v>
      </c>
      <c r="AB342" s="164">
        <v>0</v>
      </c>
      <c r="AC342" s="81">
        <v>0</v>
      </c>
      <c r="AD342" s="135"/>
    </row>
    <row r="343" spans="1:30" s="147" customFormat="1" ht="32.450000000000003" customHeight="1" outlineLevel="1" x14ac:dyDescent="0.2">
      <c r="A343" s="153" t="s">
        <v>1418</v>
      </c>
      <c r="B343" s="166" t="s">
        <v>174</v>
      </c>
      <c r="C343" s="78">
        <f t="shared" si="306"/>
        <v>0</v>
      </c>
      <c r="D343" s="164">
        <f t="shared" si="307"/>
        <v>0</v>
      </c>
      <c r="E343" s="117">
        <v>0</v>
      </c>
      <c r="F343" s="165">
        <f t="shared" si="308"/>
        <v>0</v>
      </c>
      <c r="G343" s="164">
        <v>0</v>
      </c>
      <c r="H343" s="164">
        <v>0</v>
      </c>
      <c r="I343" s="164">
        <v>0</v>
      </c>
      <c r="J343" s="117">
        <v>0</v>
      </c>
      <c r="K343" s="165">
        <f t="shared" si="303"/>
        <v>0</v>
      </c>
      <c r="L343" s="164">
        <v>0</v>
      </c>
      <c r="M343" s="164">
        <v>0</v>
      </c>
      <c r="N343" s="164">
        <v>0</v>
      </c>
      <c r="O343" s="78">
        <v>0</v>
      </c>
      <c r="P343" s="164">
        <f t="shared" si="304"/>
        <v>0</v>
      </c>
      <c r="Q343" s="164">
        <v>0</v>
      </c>
      <c r="R343" s="164">
        <v>0</v>
      </c>
      <c r="S343" s="81">
        <v>0</v>
      </c>
      <c r="T343" s="78">
        <v>0</v>
      </c>
      <c r="U343" s="164">
        <v>0</v>
      </c>
      <c r="V343" s="164">
        <v>0</v>
      </c>
      <c r="W343" s="164">
        <v>0</v>
      </c>
      <c r="X343" s="164">
        <v>0</v>
      </c>
      <c r="Y343" s="78">
        <v>0</v>
      </c>
      <c r="Z343" s="164">
        <f t="shared" si="309"/>
        <v>0</v>
      </c>
      <c r="AA343" s="164">
        <v>0</v>
      </c>
      <c r="AB343" s="164">
        <v>0</v>
      </c>
      <c r="AC343" s="81">
        <v>0</v>
      </c>
      <c r="AD343" s="135"/>
    </row>
    <row r="344" spans="1:30" s="147" customFormat="1" ht="30.6" customHeight="1" outlineLevel="1" x14ac:dyDescent="0.2">
      <c r="A344" s="153" t="s">
        <v>1419</v>
      </c>
      <c r="B344" s="166" t="s">
        <v>175</v>
      </c>
      <c r="C344" s="78">
        <f t="shared" si="306"/>
        <v>0</v>
      </c>
      <c r="D344" s="164">
        <f t="shared" si="307"/>
        <v>0</v>
      </c>
      <c r="E344" s="117">
        <v>0</v>
      </c>
      <c r="F344" s="165">
        <f t="shared" si="308"/>
        <v>0</v>
      </c>
      <c r="G344" s="164">
        <v>0</v>
      </c>
      <c r="H344" s="164">
        <v>0</v>
      </c>
      <c r="I344" s="164">
        <v>0</v>
      </c>
      <c r="J344" s="117">
        <v>0</v>
      </c>
      <c r="K344" s="165">
        <f t="shared" si="303"/>
        <v>0</v>
      </c>
      <c r="L344" s="164">
        <v>0</v>
      </c>
      <c r="M344" s="164">
        <v>0</v>
      </c>
      <c r="N344" s="164">
        <v>0</v>
      </c>
      <c r="O344" s="78">
        <v>0</v>
      </c>
      <c r="P344" s="164">
        <f t="shared" si="304"/>
        <v>0</v>
      </c>
      <c r="Q344" s="164">
        <v>0</v>
      </c>
      <c r="R344" s="164">
        <v>0</v>
      </c>
      <c r="S344" s="81">
        <v>0</v>
      </c>
      <c r="T344" s="78">
        <v>0</v>
      </c>
      <c r="U344" s="164">
        <v>0</v>
      </c>
      <c r="V344" s="164">
        <v>0</v>
      </c>
      <c r="W344" s="164">
        <v>0</v>
      </c>
      <c r="X344" s="164">
        <v>0</v>
      </c>
      <c r="Y344" s="78">
        <v>0</v>
      </c>
      <c r="Z344" s="164">
        <f t="shared" si="309"/>
        <v>0</v>
      </c>
      <c r="AA344" s="164">
        <v>0</v>
      </c>
      <c r="AB344" s="164">
        <v>0</v>
      </c>
      <c r="AC344" s="81">
        <v>0</v>
      </c>
      <c r="AD344" s="135"/>
    </row>
    <row r="345" spans="1:30" s="147" customFormat="1" ht="33" customHeight="1" outlineLevel="1" x14ac:dyDescent="0.2">
      <c r="A345" s="153" t="s">
        <v>1420</v>
      </c>
      <c r="B345" s="166" t="s">
        <v>176</v>
      </c>
      <c r="C345" s="78">
        <f t="shared" si="306"/>
        <v>0</v>
      </c>
      <c r="D345" s="164">
        <f t="shared" si="307"/>
        <v>0</v>
      </c>
      <c r="E345" s="117">
        <v>0</v>
      </c>
      <c r="F345" s="165">
        <f t="shared" si="308"/>
        <v>0</v>
      </c>
      <c r="G345" s="164">
        <v>0</v>
      </c>
      <c r="H345" s="164">
        <v>0</v>
      </c>
      <c r="I345" s="164">
        <v>0</v>
      </c>
      <c r="J345" s="117">
        <v>0</v>
      </c>
      <c r="K345" s="165">
        <f t="shared" si="303"/>
        <v>0</v>
      </c>
      <c r="L345" s="164">
        <v>0</v>
      </c>
      <c r="M345" s="164">
        <v>0</v>
      </c>
      <c r="N345" s="164">
        <v>0</v>
      </c>
      <c r="O345" s="78">
        <v>0</v>
      </c>
      <c r="P345" s="164">
        <f t="shared" si="304"/>
        <v>0</v>
      </c>
      <c r="Q345" s="164">
        <v>0</v>
      </c>
      <c r="R345" s="164">
        <v>0</v>
      </c>
      <c r="S345" s="81">
        <v>0</v>
      </c>
      <c r="T345" s="78">
        <v>0</v>
      </c>
      <c r="U345" s="164">
        <v>0</v>
      </c>
      <c r="V345" s="164">
        <v>0</v>
      </c>
      <c r="W345" s="164">
        <v>0</v>
      </c>
      <c r="X345" s="164">
        <v>0</v>
      </c>
      <c r="Y345" s="78">
        <v>0</v>
      </c>
      <c r="Z345" s="164">
        <f t="shared" si="309"/>
        <v>0</v>
      </c>
      <c r="AA345" s="164">
        <v>0</v>
      </c>
      <c r="AB345" s="164">
        <v>0</v>
      </c>
      <c r="AC345" s="81">
        <v>0</v>
      </c>
      <c r="AD345" s="135"/>
    </row>
    <row r="346" spans="1:30" s="147" customFormat="1" ht="35.450000000000003" customHeight="1" outlineLevel="1" x14ac:dyDescent="0.2">
      <c r="A346" s="153" t="s">
        <v>1421</v>
      </c>
      <c r="B346" s="166" t="s">
        <v>177</v>
      </c>
      <c r="C346" s="78">
        <f t="shared" si="306"/>
        <v>0</v>
      </c>
      <c r="D346" s="164">
        <f t="shared" si="307"/>
        <v>0</v>
      </c>
      <c r="E346" s="117">
        <v>0</v>
      </c>
      <c r="F346" s="165">
        <f t="shared" si="308"/>
        <v>0</v>
      </c>
      <c r="G346" s="164">
        <v>0</v>
      </c>
      <c r="H346" s="164">
        <v>0</v>
      </c>
      <c r="I346" s="164">
        <v>0</v>
      </c>
      <c r="J346" s="117">
        <v>0</v>
      </c>
      <c r="K346" s="165">
        <f t="shared" si="303"/>
        <v>0</v>
      </c>
      <c r="L346" s="164">
        <v>0</v>
      </c>
      <c r="M346" s="164">
        <v>0</v>
      </c>
      <c r="N346" s="164">
        <v>0</v>
      </c>
      <c r="O346" s="78">
        <v>0</v>
      </c>
      <c r="P346" s="164">
        <f t="shared" si="304"/>
        <v>0</v>
      </c>
      <c r="Q346" s="164">
        <v>0</v>
      </c>
      <c r="R346" s="164">
        <v>0</v>
      </c>
      <c r="S346" s="81">
        <v>0</v>
      </c>
      <c r="T346" s="78">
        <v>0</v>
      </c>
      <c r="U346" s="164">
        <v>0</v>
      </c>
      <c r="V346" s="164">
        <v>0</v>
      </c>
      <c r="W346" s="164">
        <v>0</v>
      </c>
      <c r="X346" s="164">
        <v>0</v>
      </c>
      <c r="Y346" s="78">
        <v>0</v>
      </c>
      <c r="Z346" s="164">
        <f t="shared" si="309"/>
        <v>0</v>
      </c>
      <c r="AA346" s="164">
        <v>0</v>
      </c>
      <c r="AB346" s="164">
        <v>0</v>
      </c>
      <c r="AC346" s="81">
        <v>0</v>
      </c>
      <c r="AD346" s="135"/>
    </row>
    <row r="347" spans="1:30" s="147" customFormat="1" ht="33" customHeight="1" outlineLevel="1" x14ac:dyDescent="0.2">
      <c r="A347" s="153" t="s">
        <v>1422</v>
      </c>
      <c r="B347" s="166" t="s">
        <v>178</v>
      </c>
      <c r="C347" s="78">
        <f t="shared" si="306"/>
        <v>0</v>
      </c>
      <c r="D347" s="164">
        <f t="shared" si="307"/>
        <v>0</v>
      </c>
      <c r="E347" s="117">
        <v>0</v>
      </c>
      <c r="F347" s="165">
        <f t="shared" si="308"/>
        <v>0</v>
      </c>
      <c r="G347" s="164">
        <v>0</v>
      </c>
      <c r="H347" s="164">
        <v>0</v>
      </c>
      <c r="I347" s="164">
        <v>0</v>
      </c>
      <c r="J347" s="117">
        <v>0</v>
      </c>
      <c r="K347" s="165">
        <f t="shared" si="303"/>
        <v>0</v>
      </c>
      <c r="L347" s="164">
        <v>0</v>
      </c>
      <c r="M347" s="164">
        <v>0</v>
      </c>
      <c r="N347" s="164">
        <v>0</v>
      </c>
      <c r="O347" s="78">
        <v>0</v>
      </c>
      <c r="P347" s="164">
        <f t="shared" si="304"/>
        <v>0</v>
      </c>
      <c r="Q347" s="164">
        <v>0</v>
      </c>
      <c r="R347" s="164">
        <v>0</v>
      </c>
      <c r="S347" s="81">
        <v>0</v>
      </c>
      <c r="T347" s="78">
        <v>0</v>
      </c>
      <c r="U347" s="164">
        <v>0</v>
      </c>
      <c r="V347" s="164">
        <v>0</v>
      </c>
      <c r="W347" s="164">
        <v>0</v>
      </c>
      <c r="X347" s="164">
        <v>0</v>
      </c>
      <c r="Y347" s="78">
        <v>0</v>
      </c>
      <c r="Z347" s="164">
        <f t="shared" si="309"/>
        <v>0</v>
      </c>
      <c r="AA347" s="164">
        <v>0</v>
      </c>
      <c r="AB347" s="164">
        <v>0</v>
      </c>
      <c r="AC347" s="81">
        <v>0</v>
      </c>
      <c r="AD347" s="135"/>
    </row>
    <row r="348" spans="1:30" s="147" customFormat="1" ht="31.9" customHeight="1" outlineLevel="1" x14ac:dyDescent="0.2">
      <c r="A348" s="153" t="s">
        <v>1423</v>
      </c>
      <c r="B348" s="166" t="s">
        <v>179</v>
      </c>
      <c r="C348" s="78">
        <f t="shared" si="306"/>
        <v>0</v>
      </c>
      <c r="D348" s="164">
        <f t="shared" si="307"/>
        <v>0</v>
      </c>
      <c r="E348" s="117">
        <v>0</v>
      </c>
      <c r="F348" s="165">
        <f t="shared" si="308"/>
        <v>0</v>
      </c>
      <c r="G348" s="164">
        <v>0</v>
      </c>
      <c r="H348" s="164">
        <v>0</v>
      </c>
      <c r="I348" s="164">
        <v>0</v>
      </c>
      <c r="J348" s="117">
        <v>0</v>
      </c>
      <c r="K348" s="165">
        <f t="shared" si="303"/>
        <v>0</v>
      </c>
      <c r="L348" s="164">
        <v>0</v>
      </c>
      <c r="M348" s="164">
        <v>0</v>
      </c>
      <c r="N348" s="164">
        <v>0</v>
      </c>
      <c r="O348" s="78">
        <v>0</v>
      </c>
      <c r="P348" s="164">
        <f t="shared" si="304"/>
        <v>0</v>
      </c>
      <c r="Q348" s="164">
        <v>0</v>
      </c>
      <c r="R348" s="164">
        <v>0</v>
      </c>
      <c r="S348" s="81">
        <v>0</v>
      </c>
      <c r="T348" s="78">
        <v>0</v>
      </c>
      <c r="U348" s="164">
        <v>0</v>
      </c>
      <c r="V348" s="164">
        <v>0</v>
      </c>
      <c r="W348" s="164">
        <v>0</v>
      </c>
      <c r="X348" s="164">
        <v>0</v>
      </c>
      <c r="Y348" s="78">
        <v>0</v>
      </c>
      <c r="Z348" s="164">
        <f t="shared" si="309"/>
        <v>0</v>
      </c>
      <c r="AA348" s="164">
        <v>0</v>
      </c>
      <c r="AB348" s="164">
        <v>0</v>
      </c>
      <c r="AC348" s="81">
        <v>0</v>
      </c>
      <c r="AD348" s="135"/>
    </row>
    <row r="349" spans="1:30" s="147" customFormat="1" ht="25.15" customHeight="1" outlineLevel="1" x14ac:dyDescent="0.2">
      <c r="A349" s="153" t="s">
        <v>1424</v>
      </c>
      <c r="B349" s="166" t="s">
        <v>180</v>
      </c>
      <c r="C349" s="78">
        <f t="shared" si="306"/>
        <v>0</v>
      </c>
      <c r="D349" s="164">
        <f t="shared" si="307"/>
        <v>0</v>
      </c>
      <c r="E349" s="117">
        <v>0</v>
      </c>
      <c r="F349" s="165">
        <f t="shared" si="308"/>
        <v>0</v>
      </c>
      <c r="G349" s="164">
        <v>0</v>
      </c>
      <c r="H349" s="164">
        <v>0</v>
      </c>
      <c r="I349" s="164">
        <v>0</v>
      </c>
      <c r="J349" s="117">
        <v>0</v>
      </c>
      <c r="K349" s="165">
        <f t="shared" si="303"/>
        <v>0</v>
      </c>
      <c r="L349" s="164">
        <v>0</v>
      </c>
      <c r="M349" s="164">
        <v>0</v>
      </c>
      <c r="N349" s="164">
        <v>0</v>
      </c>
      <c r="O349" s="78">
        <v>0</v>
      </c>
      <c r="P349" s="164">
        <f t="shared" si="304"/>
        <v>0</v>
      </c>
      <c r="Q349" s="164">
        <v>0</v>
      </c>
      <c r="R349" s="164">
        <v>0</v>
      </c>
      <c r="S349" s="81">
        <v>0</v>
      </c>
      <c r="T349" s="78">
        <v>0</v>
      </c>
      <c r="U349" s="164">
        <v>0</v>
      </c>
      <c r="V349" s="164">
        <v>0</v>
      </c>
      <c r="W349" s="164">
        <v>0</v>
      </c>
      <c r="X349" s="164">
        <v>0</v>
      </c>
      <c r="Y349" s="78">
        <v>0</v>
      </c>
      <c r="Z349" s="164">
        <f t="shared" si="309"/>
        <v>0</v>
      </c>
      <c r="AA349" s="164">
        <v>0</v>
      </c>
      <c r="AB349" s="164">
        <v>0</v>
      </c>
      <c r="AC349" s="81">
        <v>0</v>
      </c>
      <c r="AD349" s="135"/>
    </row>
    <row r="350" spans="1:30" s="147" customFormat="1" ht="24" customHeight="1" outlineLevel="1" x14ac:dyDescent="0.2">
      <c r="A350" s="153" t="s">
        <v>1425</v>
      </c>
      <c r="B350" s="166" t="s">
        <v>181</v>
      </c>
      <c r="C350" s="78">
        <f t="shared" si="306"/>
        <v>0</v>
      </c>
      <c r="D350" s="164">
        <f t="shared" si="307"/>
        <v>0</v>
      </c>
      <c r="E350" s="117">
        <v>0</v>
      </c>
      <c r="F350" s="165">
        <f t="shared" si="308"/>
        <v>0</v>
      </c>
      <c r="G350" s="164">
        <v>0</v>
      </c>
      <c r="H350" s="164">
        <v>0</v>
      </c>
      <c r="I350" s="164">
        <v>0</v>
      </c>
      <c r="J350" s="117">
        <v>0</v>
      </c>
      <c r="K350" s="165">
        <f t="shared" si="303"/>
        <v>0</v>
      </c>
      <c r="L350" s="164">
        <v>0</v>
      </c>
      <c r="M350" s="164">
        <v>0</v>
      </c>
      <c r="N350" s="164">
        <v>0</v>
      </c>
      <c r="O350" s="78">
        <v>0</v>
      </c>
      <c r="P350" s="164">
        <f t="shared" si="304"/>
        <v>0</v>
      </c>
      <c r="Q350" s="164">
        <v>0</v>
      </c>
      <c r="R350" s="164">
        <v>0</v>
      </c>
      <c r="S350" s="81">
        <v>0</v>
      </c>
      <c r="T350" s="78">
        <v>0</v>
      </c>
      <c r="U350" s="164">
        <v>0</v>
      </c>
      <c r="V350" s="164">
        <v>0</v>
      </c>
      <c r="W350" s="164">
        <v>0</v>
      </c>
      <c r="X350" s="164">
        <v>0</v>
      </c>
      <c r="Y350" s="78">
        <v>0</v>
      </c>
      <c r="Z350" s="164">
        <f t="shared" si="309"/>
        <v>0</v>
      </c>
      <c r="AA350" s="164">
        <v>0</v>
      </c>
      <c r="AB350" s="164">
        <v>0</v>
      </c>
      <c r="AC350" s="81">
        <v>0</v>
      </c>
      <c r="AD350" s="135"/>
    </row>
    <row r="351" spans="1:30" s="147" customFormat="1" ht="42" customHeight="1" outlineLevel="1" x14ac:dyDescent="0.2">
      <c r="A351" s="153" t="s">
        <v>1426</v>
      </c>
      <c r="B351" s="166" t="s">
        <v>182</v>
      </c>
      <c r="C351" s="78">
        <f t="shared" si="306"/>
        <v>0</v>
      </c>
      <c r="D351" s="164">
        <f t="shared" si="307"/>
        <v>0</v>
      </c>
      <c r="E351" s="117">
        <v>0</v>
      </c>
      <c r="F351" s="165">
        <f t="shared" si="308"/>
        <v>0</v>
      </c>
      <c r="G351" s="164">
        <v>0</v>
      </c>
      <c r="H351" s="164">
        <v>0</v>
      </c>
      <c r="I351" s="164">
        <v>0</v>
      </c>
      <c r="J351" s="117">
        <v>0</v>
      </c>
      <c r="K351" s="165">
        <f t="shared" si="303"/>
        <v>0</v>
      </c>
      <c r="L351" s="164">
        <v>0</v>
      </c>
      <c r="M351" s="164">
        <v>0</v>
      </c>
      <c r="N351" s="164">
        <v>0</v>
      </c>
      <c r="O351" s="78">
        <v>0</v>
      </c>
      <c r="P351" s="164">
        <f t="shared" si="304"/>
        <v>0</v>
      </c>
      <c r="Q351" s="164">
        <v>0</v>
      </c>
      <c r="R351" s="164">
        <v>0</v>
      </c>
      <c r="S351" s="81">
        <v>0</v>
      </c>
      <c r="T351" s="78">
        <v>0</v>
      </c>
      <c r="U351" s="164">
        <v>0</v>
      </c>
      <c r="V351" s="164">
        <v>0</v>
      </c>
      <c r="W351" s="164">
        <v>0</v>
      </c>
      <c r="X351" s="164">
        <v>0</v>
      </c>
      <c r="Y351" s="78">
        <v>0</v>
      </c>
      <c r="Z351" s="164">
        <f t="shared" si="309"/>
        <v>0</v>
      </c>
      <c r="AA351" s="164">
        <v>0</v>
      </c>
      <c r="AB351" s="164">
        <v>0</v>
      </c>
      <c r="AC351" s="81">
        <v>0</v>
      </c>
      <c r="AD351" s="135"/>
    </row>
    <row r="352" spans="1:30" s="147" customFormat="1" ht="28.9" customHeight="1" outlineLevel="1" x14ac:dyDescent="0.2">
      <c r="A352" s="153" t="s">
        <v>1427</v>
      </c>
      <c r="B352" s="166" t="s">
        <v>183</v>
      </c>
      <c r="C352" s="78">
        <f t="shared" si="306"/>
        <v>0</v>
      </c>
      <c r="D352" s="164">
        <f t="shared" si="307"/>
        <v>0</v>
      </c>
      <c r="E352" s="117">
        <v>0</v>
      </c>
      <c r="F352" s="165">
        <f t="shared" si="308"/>
        <v>0</v>
      </c>
      <c r="G352" s="164">
        <v>0</v>
      </c>
      <c r="H352" s="164">
        <v>0</v>
      </c>
      <c r="I352" s="164">
        <v>0</v>
      </c>
      <c r="J352" s="117">
        <v>0</v>
      </c>
      <c r="K352" s="165">
        <f t="shared" si="303"/>
        <v>0</v>
      </c>
      <c r="L352" s="164">
        <v>0</v>
      </c>
      <c r="M352" s="164">
        <v>0</v>
      </c>
      <c r="N352" s="164">
        <v>0</v>
      </c>
      <c r="O352" s="78">
        <v>0</v>
      </c>
      <c r="P352" s="164">
        <f t="shared" si="304"/>
        <v>0</v>
      </c>
      <c r="Q352" s="164">
        <v>0</v>
      </c>
      <c r="R352" s="164">
        <v>0</v>
      </c>
      <c r="S352" s="81">
        <v>0</v>
      </c>
      <c r="T352" s="78">
        <v>0</v>
      </c>
      <c r="U352" s="164">
        <v>0</v>
      </c>
      <c r="V352" s="164">
        <v>0</v>
      </c>
      <c r="W352" s="164">
        <v>0</v>
      </c>
      <c r="X352" s="81">
        <v>0</v>
      </c>
      <c r="Y352" s="78">
        <v>0</v>
      </c>
      <c r="Z352" s="164">
        <f t="shared" ref="Z352:Z366" si="310">AA352+AB352+AC352</f>
        <v>0</v>
      </c>
      <c r="AA352" s="164">
        <v>0</v>
      </c>
      <c r="AB352" s="164">
        <v>0</v>
      </c>
      <c r="AC352" s="81">
        <v>0</v>
      </c>
      <c r="AD352" s="135"/>
    </row>
    <row r="353" spans="1:30" s="147" customFormat="1" ht="42" customHeight="1" outlineLevel="1" x14ac:dyDescent="0.2">
      <c r="A353" s="153" t="s">
        <v>1428</v>
      </c>
      <c r="B353" s="166" t="s">
        <v>184</v>
      </c>
      <c r="C353" s="78">
        <f t="shared" si="306"/>
        <v>0</v>
      </c>
      <c r="D353" s="164">
        <f t="shared" si="307"/>
        <v>0</v>
      </c>
      <c r="E353" s="117">
        <v>0</v>
      </c>
      <c r="F353" s="165">
        <f t="shared" si="308"/>
        <v>0</v>
      </c>
      <c r="G353" s="164">
        <v>0</v>
      </c>
      <c r="H353" s="164">
        <v>0</v>
      </c>
      <c r="I353" s="164">
        <v>0</v>
      </c>
      <c r="J353" s="117">
        <v>0</v>
      </c>
      <c r="K353" s="165">
        <f t="shared" si="303"/>
        <v>0</v>
      </c>
      <c r="L353" s="164">
        <v>0</v>
      </c>
      <c r="M353" s="164">
        <v>0</v>
      </c>
      <c r="N353" s="164">
        <v>0</v>
      </c>
      <c r="O353" s="78">
        <v>0</v>
      </c>
      <c r="P353" s="164">
        <f t="shared" si="304"/>
        <v>0</v>
      </c>
      <c r="Q353" s="164">
        <v>0</v>
      </c>
      <c r="R353" s="164">
        <v>0</v>
      </c>
      <c r="S353" s="81">
        <v>0</v>
      </c>
      <c r="T353" s="78">
        <v>0</v>
      </c>
      <c r="U353" s="164">
        <v>0</v>
      </c>
      <c r="V353" s="164">
        <v>0</v>
      </c>
      <c r="W353" s="164">
        <v>0</v>
      </c>
      <c r="X353" s="81">
        <v>0</v>
      </c>
      <c r="Y353" s="78">
        <v>0</v>
      </c>
      <c r="Z353" s="164">
        <f t="shared" si="310"/>
        <v>0</v>
      </c>
      <c r="AA353" s="164">
        <v>0</v>
      </c>
      <c r="AB353" s="164">
        <v>0</v>
      </c>
      <c r="AC353" s="81">
        <v>0</v>
      </c>
      <c r="AD353" s="135"/>
    </row>
    <row r="354" spans="1:30" s="147" customFormat="1" ht="23.45" customHeight="1" outlineLevel="1" x14ac:dyDescent="0.2">
      <c r="A354" s="153" t="s">
        <v>1429</v>
      </c>
      <c r="B354" s="166" t="s">
        <v>185</v>
      </c>
      <c r="C354" s="78">
        <f t="shared" si="306"/>
        <v>0</v>
      </c>
      <c r="D354" s="164">
        <f t="shared" si="307"/>
        <v>0</v>
      </c>
      <c r="E354" s="117">
        <v>0</v>
      </c>
      <c r="F354" s="165">
        <f t="shared" si="308"/>
        <v>0</v>
      </c>
      <c r="G354" s="164">
        <v>0</v>
      </c>
      <c r="H354" s="164">
        <v>0</v>
      </c>
      <c r="I354" s="164">
        <v>0</v>
      </c>
      <c r="J354" s="117">
        <v>0</v>
      </c>
      <c r="K354" s="165">
        <f t="shared" si="303"/>
        <v>0</v>
      </c>
      <c r="L354" s="164">
        <v>0</v>
      </c>
      <c r="M354" s="164">
        <v>0</v>
      </c>
      <c r="N354" s="164">
        <v>0</v>
      </c>
      <c r="O354" s="78">
        <v>0</v>
      </c>
      <c r="P354" s="164">
        <f t="shared" si="304"/>
        <v>0</v>
      </c>
      <c r="Q354" s="164">
        <v>0</v>
      </c>
      <c r="R354" s="164">
        <v>0</v>
      </c>
      <c r="S354" s="81">
        <v>0</v>
      </c>
      <c r="T354" s="78">
        <v>0</v>
      </c>
      <c r="U354" s="164">
        <v>0</v>
      </c>
      <c r="V354" s="164">
        <v>0</v>
      </c>
      <c r="W354" s="164">
        <v>0</v>
      </c>
      <c r="X354" s="81">
        <v>0</v>
      </c>
      <c r="Y354" s="78">
        <v>0</v>
      </c>
      <c r="Z354" s="164">
        <f t="shared" si="310"/>
        <v>0</v>
      </c>
      <c r="AA354" s="164">
        <v>0</v>
      </c>
      <c r="AB354" s="164">
        <v>0</v>
      </c>
      <c r="AC354" s="81">
        <v>0</v>
      </c>
      <c r="AD354" s="135"/>
    </row>
    <row r="355" spans="1:30" s="147" customFormat="1" ht="46.9" customHeight="1" outlineLevel="1" x14ac:dyDescent="0.2">
      <c r="A355" s="153" t="s">
        <v>1430</v>
      </c>
      <c r="B355" s="166" t="s">
        <v>361</v>
      </c>
      <c r="C355" s="78">
        <f t="shared" si="306"/>
        <v>0</v>
      </c>
      <c r="D355" s="164">
        <f t="shared" si="307"/>
        <v>0</v>
      </c>
      <c r="E355" s="117">
        <v>0</v>
      </c>
      <c r="F355" s="165">
        <f t="shared" si="308"/>
        <v>0</v>
      </c>
      <c r="G355" s="164">
        <v>0</v>
      </c>
      <c r="H355" s="164">
        <v>0</v>
      </c>
      <c r="I355" s="164">
        <v>0</v>
      </c>
      <c r="J355" s="117">
        <v>0</v>
      </c>
      <c r="K355" s="165">
        <f t="shared" si="303"/>
        <v>0</v>
      </c>
      <c r="L355" s="164">
        <v>0</v>
      </c>
      <c r="M355" s="164">
        <v>0</v>
      </c>
      <c r="N355" s="164">
        <v>0</v>
      </c>
      <c r="O355" s="78">
        <v>0</v>
      </c>
      <c r="P355" s="164">
        <f t="shared" si="304"/>
        <v>0</v>
      </c>
      <c r="Q355" s="164">
        <v>0</v>
      </c>
      <c r="R355" s="164">
        <v>0</v>
      </c>
      <c r="S355" s="81">
        <v>0</v>
      </c>
      <c r="T355" s="78">
        <v>0</v>
      </c>
      <c r="U355" s="164">
        <v>0</v>
      </c>
      <c r="V355" s="164">
        <v>0</v>
      </c>
      <c r="W355" s="164">
        <v>0</v>
      </c>
      <c r="X355" s="81">
        <v>0</v>
      </c>
      <c r="Y355" s="78">
        <v>0</v>
      </c>
      <c r="Z355" s="164">
        <f t="shared" si="310"/>
        <v>0</v>
      </c>
      <c r="AA355" s="164">
        <v>0</v>
      </c>
      <c r="AB355" s="164">
        <v>0</v>
      </c>
      <c r="AC355" s="81">
        <v>0</v>
      </c>
      <c r="AD355" s="135"/>
    </row>
    <row r="356" spans="1:30" s="147" customFormat="1" ht="27" customHeight="1" outlineLevel="1" x14ac:dyDescent="0.2">
      <c r="A356" s="153" t="s">
        <v>1431</v>
      </c>
      <c r="B356" s="166" t="s">
        <v>186</v>
      </c>
      <c r="C356" s="78">
        <f t="shared" si="306"/>
        <v>0</v>
      </c>
      <c r="D356" s="164">
        <f t="shared" si="307"/>
        <v>0</v>
      </c>
      <c r="E356" s="117">
        <v>0</v>
      </c>
      <c r="F356" s="165">
        <f t="shared" si="308"/>
        <v>0</v>
      </c>
      <c r="G356" s="164">
        <v>0</v>
      </c>
      <c r="H356" s="164">
        <v>0</v>
      </c>
      <c r="I356" s="164">
        <v>0</v>
      </c>
      <c r="J356" s="117">
        <v>0</v>
      </c>
      <c r="K356" s="165">
        <f t="shared" si="303"/>
        <v>0</v>
      </c>
      <c r="L356" s="164">
        <v>0</v>
      </c>
      <c r="M356" s="164">
        <v>0</v>
      </c>
      <c r="N356" s="164">
        <v>0</v>
      </c>
      <c r="O356" s="78">
        <v>0</v>
      </c>
      <c r="P356" s="164">
        <f t="shared" si="304"/>
        <v>0</v>
      </c>
      <c r="Q356" s="164">
        <v>0</v>
      </c>
      <c r="R356" s="164">
        <v>0</v>
      </c>
      <c r="S356" s="81">
        <v>0</v>
      </c>
      <c r="T356" s="78">
        <v>0</v>
      </c>
      <c r="U356" s="164">
        <v>0</v>
      </c>
      <c r="V356" s="164">
        <v>0</v>
      </c>
      <c r="W356" s="164">
        <v>0</v>
      </c>
      <c r="X356" s="81">
        <v>0</v>
      </c>
      <c r="Y356" s="78">
        <v>0</v>
      </c>
      <c r="Z356" s="164">
        <f t="shared" si="310"/>
        <v>0</v>
      </c>
      <c r="AA356" s="164">
        <v>0</v>
      </c>
      <c r="AB356" s="164">
        <v>0</v>
      </c>
      <c r="AC356" s="81">
        <v>0</v>
      </c>
      <c r="AD356" s="135"/>
    </row>
    <row r="357" spans="1:30" s="147" customFormat="1" ht="34.15" customHeight="1" outlineLevel="1" x14ac:dyDescent="0.2">
      <c r="A357" s="153" t="s">
        <v>1432</v>
      </c>
      <c r="B357" s="166" t="s">
        <v>187</v>
      </c>
      <c r="C357" s="78">
        <f t="shared" si="306"/>
        <v>0</v>
      </c>
      <c r="D357" s="164">
        <f t="shared" si="307"/>
        <v>0</v>
      </c>
      <c r="E357" s="117">
        <v>0</v>
      </c>
      <c r="F357" s="165">
        <f t="shared" si="308"/>
        <v>0</v>
      </c>
      <c r="G357" s="164">
        <v>0</v>
      </c>
      <c r="H357" s="164">
        <v>0</v>
      </c>
      <c r="I357" s="164">
        <v>0</v>
      </c>
      <c r="J357" s="117">
        <v>0</v>
      </c>
      <c r="K357" s="165">
        <f t="shared" si="303"/>
        <v>0</v>
      </c>
      <c r="L357" s="164">
        <v>0</v>
      </c>
      <c r="M357" s="164">
        <v>0</v>
      </c>
      <c r="N357" s="164">
        <v>0</v>
      </c>
      <c r="O357" s="78">
        <v>0</v>
      </c>
      <c r="P357" s="164">
        <f t="shared" si="304"/>
        <v>0</v>
      </c>
      <c r="Q357" s="164">
        <v>0</v>
      </c>
      <c r="R357" s="164">
        <v>0</v>
      </c>
      <c r="S357" s="81">
        <v>0</v>
      </c>
      <c r="T357" s="78">
        <v>0</v>
      </c>
      <c r="U357" s="164">
        <v>0</v>
      </c>
      <c r="V357" s="164">
        <v>0</v>
      </c>
      <c r="W357" s="164">
        <v>0</v>
      </c>
      <c r="X357" s="81">
        <v>0</v>
      </c>
      <c r="Y357" s="78">
        <v>0</v>
      </c>
      <c r="Z357" s="164">
        <f t="shared" si="310"/>
        <v>0</v>
      </c>
      <c r="AA357" s="164">
        <v>0</v>
      </c>
      <c r="AB357" s="164">
        <v>0</v>
      </c>
      <c r="AC357" s="81">
        <v>0</v>
      </c>
      <c r="AD357" s="135"/>
    </row>
    <row r="358" spans="1:30" s="147" customFormat="1" ht="27" customHeight="1" outlineLevel="1" x14ac:dyDescent="0.2">
      <c r="A358" s="153" t="s">
        <v>1433</v>
      </c>
      <c r="B358" s="166" t="s">
        <v>188</v>
      </c>
      <c r="C358" s="78">
        <f t="shared" si="306"/>
        <v>0</v>
      </c>
      <c r="D358" s="164">
        <f t="shared" si="307"/>
        <v>0</v>
      </c>
      <c r="E358" s="117">
        <v>0</v>
      </c>
      <c r="F358" s="165">
        <f t="shared" si="308"/>
        <v>0</v>
      </c>
      <c r="G358" s="164">
        <v>0</v>
      </c>
      <c r="H358" s="164">
        <v>0</v>
      </c>
      <c r="I358" s="164">
        <v>0</v>
      </c>
      <c r="J358" s="117">
        <v>0</v>
      </c>
      <c r="K358" s="165">
        <f t="shared" si="303"/>
        <v>0</v>
      </c>
      <c r="L358" s="164">
        <v>0</v>
      </c>
      <c r="M358" s="164">
        <v>0</v>
      </c>
      <c r="N358" s="164">
        <v>0</v>
      </c>
      <c r="O358" s="78">
        <v>0</v>
      </c>
      <c r="P358" s="164">
        <f t="shared" si="304"/>
        <v>0</v>
      </c>
      <c r="Q358" s="164">
        <v>0</v>
      </c>
      <c r="R358" s="164">
        <v>0</v>
      </c>
      <c r="S358" s="81">
        <v>0</v>
      </c>
      <c r="T358" s="78">
        <v>0</v>
      </c>
      <c r="U358" s="164">
        <v>0</v>
      </c>
      <c r="V358" s="164">
        <v>0</v>
      </c>
      <c r="W358" s="164">
        <v>0</v>
      </c>
      <c r="X358" s="81">
        <v>0</v>
      </c>
      <c r="Y358" s="78">
        <v>0</v>
      </c>
      <c r="Z358" s="164">
        <f t="shared" si="310"/>
        <v>0</v>
      </c>
      <c r="AA358" s="164">
        <v>0</v>
      </c>
      <c r="AB358" s="164">
        <v>0</v>
      </c>
      <c r="AC358" s="81">
        <v>0</v>
      </c>
      <c r="AD358" s="135"/>
    </row>
    <row r="359" spans="1:30" s="147" customFormat="1" ht="26.45" customHeight="1" outlineLevel="1" x14ac:dyDescent="0.2">
      <c r="A359" s="153" t="s">
        <v>1434</v>
      </c>
      <c r="B359" s="166" t="s">
        <v>189</v>
      </c>
      <c r="C359" s="78">
        <f t="shared" si="306"/>
        <v>0</v>
      </c>
      <c r="D359" s="164">
        <f t="shared" si="307"/>
        <v>0</v>
      </c>
      <c r="E359" s="117">
        <v>0</v>
      </c>
      <c r="F359" s="165">
        <f t="shared" si="308"/>
        <v>0</v>
      </c>
      <c r="G359" s="164">
        <v>0</v>
      </c>
      <c r="H359" s="164">
        <v>0</v>
      </c>
      <c r="I359" s="164">
        <v>0</v>
      </c>
      <c r="J359" s="117">
        <v>0</v>
      </c>
      <c r="K359" s="165">
        <f t="shared" si="303"/>
        <v>0</v>
      </c>
      <c r="L359" s="164">
        <v>0</v>
      </c>
      <c r="M359" s="164">
        <v>0</v>
      </c>
      <c r="N359" s="164">
        <v>0</v>
      </c>
      <c r="O359" s="78">
        <v>0</v>
      </c>
      <c r="P359" s="164">
        <f t="shared" si="304"/>
        <v>0</v>
      </c>
      <c r="Q359" s="164">
        <v>0</v>
      </c>
      <c r="R359" s="164">
        <v>0</v>
      </c>
      <c r="S359" s="81">
        <v>0</v>
      </c>
      <c r="T359" s="78">
        <v>0</v>
      </c>
      <c r="U359" s="164">
        <v>0</v>
      </c>
      <c r="V359" s="164">
        <v>0</v>
      </c>
      <c r="W359" s="164">
        <v>0</v>
      </c>
      <c r="X359" s="81">
        <v>0</v>
      </c>
      <c r="Y359" s="78">
        <v>0</v>
      </c>
      <c r="Z359" s="164">
        <f t="shared" si="310"/>
        <v>0</v>
      </c>
      <c r="AA359" s="164">
        <v>0</v>
      </c>
      <c r="AB359" s="164">
        <v>0</v>
      </c>
      <c r="AC359" s="81">
        <v>0</v>
      </c>
      <c r="AD359" s="135"/>
    </row>
    <row r="360" spans="1:30" s="147" customFormat="1" ht="25.9" customHeight="1" outlineLevel="1" x14ac:dyDescent="0.2">
      <c r="A360" s="153" t="s">
        <v>1435</v>
      </c>
      <c r="B360" s="166" t="s">
        <v>190</v>
      </c>
      <c r="C360" s="78">
        <f t="shared" si="306"/>
        <v>0</v>
      </c>
      <c r="D360" s="164">
        <f t="shared" si="307"/>
        <v>0</v>
      </c>
      <c r="E360" s="117">
        <v>0</v>
      </c>
      <c r="F360" s="165">
        <f t="shared" si="308"/>
        <v>0</v>
      </c>
      <c r="G360" s="164">
        <v>0</v>
      </c>
      <c r="H360" s="164">
        <v>0</v>
      </c>
      <c r="I360" s="164">
        <v>0</v>
      </c>
      <c r="J360" s="117">
        <v>0</v>
      </c>
      <c r="K360" s="165">
        <f t="shared" si="303"/>
        <v>0</v>
      </c>
      <c r="L360" s="164">
        <v>0</v>
      </c>
      <c r="M360" s="164">
        <v>0</v>
      </c>
      <c r="N360" s="164">
        <v>0</v>
      </c>
      <c r="O360" s="78">
        <v>0</v>
      </c>
      <c r="P360" s="164">
        <f t="shared" si="304"/>
        <v>0</v>
      </c>
      <c r="Q360" s="164">
        <v>0</v>
      </c>
      <c r="R360" s="164">
        <v>0</v>
      </c>
      <c r="S360" s="81">
        <v>0</v>
      </c>
      <c r="T360" s="78">
        <v>0</v>
      </c>
      <c r="U360" s="164">
        <v>0</v>
      </c>
      <c r="V360" s="164">
        <v>0</v>
      </c>
      <c r="W360" s="164">
        <v>0</v>
      </c>
      <c r="X360" s="81">
        <v>0</v>
      </c>
      <c r="Y360" s="78">
        <v>0</v>
      </c>
      <c r="Z360" s="164">
        <f t="shared" si="310"/>
        <v>0</v>
      </c>
      <c r="AA360" s="164">
        <v>0</v>
      </c>
      <c r="AB360" s="164">
        <v>0</v>
      </c>
      <c r="AC360" s="81">
        <v>0</v>
      </c>
      <c r="AD360" s="135"/>
    </row>
    <row r="361" spans="1:30" s="147" customFormat="1" ht="23.45" customHeight="1" outlineLevel="1" x14ac:dyDescent="0.2">
      <c r="A361" s="153" t="s">
        <v>1436</v>
      </c>
      <c r="B361" s="166" t="s">
        <v>191</v>
      </c>
      <c r="C361" s="78">
        <f t="shared" si="306"/>
        <v>0</v>
      </c>
      <c r="D361" s="164">
        <f t="shared" si="307"/>
        <v>0</v>
      </c>
      <c r="E361" s="117">
        <v>0</v>
      </c>
      <c r="F361" s="165">
        <f t="shared" si="308"/>
        <v>0</v>
      </c>
      <c r="G361" s="164">
        <v>0</v>
      </c>
      <c r="H361" s="164">
        <v>0</v>
      </c>
      <c r="I361" s="164">
        <v>0</v>
      </c>
      <c r="J361" s="117">
        <v>0</v>
      </c>
      <c r="K361" s="165">
        <f t="shared" si="303"/>
        <v>0</v>
      </c>
      <c r="L361" s="164">
        <v>0</v>
      </c>
      <c r="M361" s="164">
        <v>0</v>
      </c>
      <c r="N361" s="164">
        <v>0</v>
      </c>
      <c r="O361" s="78">
        <v>0</v>
      </c>
      <c r="P361" s="164">
        <f t="shared" si="304"/>
        <v>0</v>
      </c>
      <c r="Q361" s="164">
        <v>0</v>
      </c>
      <c r="R361" s="164">
        <v>0</v>
      </c>
      <c r="S361" s="81">
        <v>0</v>
      </c>
      <c r="T361" s="78">
        <v>0</v>
      </c>
      <c r="U361" s="164">
        <v>0</v>
      </c>
      <c r="V361" s="164">
        <v>0</v>
      </c>
      <c r="W361" s="164">
        <v>0</v>
      </c>
      <c r="X361" s="81">
        <v>0</v>
      </c>
      <c r="Y361" s="78">
        <v>0</v>
      </c>
      <c r="Z361" s="164">
        <f t="shared" si="310"/>
        <v>0</v>
      </c>
      <c r="AA361" s="164">
        <v>0</v>
      </c>
      <c r="AB361" s="164">
        <v>0</v>
      </c>
      <c r="AC361" s="81">
        <v>0</v>
      </c>
      <c r="AD361" s="135"/>
    </row>
    <row r="362" spans="1:30" s="147" customFormat="1" ht="25.15" customHeight="1" outlineLevel="1" x14ac:dyDescent="0.2">
      <c r="A362" s="153" t="s">
        <v>1437</v>
      </c>
      <c r="B362" s="166" t="s">
        <v>192</v>
      </c>
      <c r="C362" s="78">
        <f t="shared" si="306"/>
        <v>0</v>
      </c>
      <c r="D362" s="164">
        <f t="shared" si="307"/>
        <v>0</v>
      </c>
      <c r="E362" s="117">
        <v>0</v>
      </c>
      <c r="F362" s="165">
        <f t="shared" si="308"/>
        <v>0</v>
      </c>
      <c r="G362" s="164">
        <v>0</v>
      </c>
      <c r="H362" s="164">
        <v>0</v>
      </c>
      <c r="I362" s="164">
        <v>0</v>
      </c>
      <c r="J362" s="117">
        <v>0</v>
      </c>
      <c r="K362" s="165">
        <f t="shared" si="303"/>
        <v>0</v>
      </c>
      <c r="L362" s="164">
        <v>0</v>
      </c>
      <c r="M362" s="164">
        <v>0</v>
      </c>
      <c r="N362" s="164">
        <v>0</v>
      </c>
      <c r="O362" s="78">
        <v>0</v>
      </c>
      <c r="P362" s="164">
        <f t="shared" si="304"/>
        <v>0</v>
      </c>
      <c r="Q362" s="164">
        <v>0</v>
      </c>
      <c r="R362" s="164">
        <v>0</v>
      </c>
      <c r="S362" s="81">
        <v>0</v>
      </c>
      <c r="T362" s="78">
        <v>0</v>
      </c>
      <c r="U362" s="164">
        <v>0</v>
      </c>
      <c r="V362" s="164">
        <v>0</v>
      </c>
      <c r="W362" s="164">
        <v>0</v>
      </c>
      <c r="X362" s="81">
        <v>0</v>
      </c>
      <c r="Y362" s="78">
        <v>0</v>
      </c>
      <c r="Z362" s="164">
        <f t="shared" si="310"/>
        <v>0</v>
      </c>
      <c r="AA362" s="164">
        <v>0</v>
      </c>
      <c r="AB362" s="164">
        <v>0</v>
      </c>
      <c r="AC362" s="81">
        <v>0</v>
      </c>
      <c r="AD362" s="135"/>
    </row>
    <row r="363" spans="1:30" s="147" customFormat="1" ht="33" customHeight="1" outlineLevel="1" x14ac:dyDescent="0.2">
      <c r="A363" s="153" t="s">
        <v>1438</v>
      </c>
      <c r="B363" s="166" t="s">
        <v>193</v>
      </c>
      <c r="C363" s="78">
        <f t="shared" si="306"/>
        <v>0</v>
      </c>
      <c r="D363" s="164">
        <f t="shared" si="307"/>
        <v>0</v>
      </c>
      <c r="E363" s="117">
        <v>0</v>
      </c>
      <c r="F363" s="165">
        <f t="shared" si="308"/>
        <v>0</v>
      </c>
      <c r="G363" s="164">
        <v>0</v>
      </c>
      <c r="H363" s="164">
        <v>0</v>
      </c>
      <c r="I363" s="164">
        <v>0</v>
      </c>
      <c r="J363" s="117">
        <v>0</v>
      </c>
      <c r="K363" s="165">
        <f t="shared" si="303"/>
        <v>0</v>
      </c>
      <c r="L363" s="164">
        <v>0</v>
      </c>
      <c r="M363" s="164">
        <v>0</v>
      </c>
      <c r="N363" s="164">
        <v>0</v>
      </c>
      <c r="O363" s="78">
        <v>0</v>
      </c>
      <c r="P363" s="164">
        <f t="shared" si="304"/>
        <v>0</v>
      </c>
      <c r="Q363" s="164">
        <v>0</v>
      </c>
      <c r="R363" s="164">
        <v>0</v>
      </c>
      <c r="S363" s="81">
        <v>0</v>
      </c>
      <c r="T363" s="78">
        <v>0</v>
      </c>
      <c r="U363" s="164">
        <v>0</v>
      </c>
      <c r="V363" s="164">
        <v>0</v>
      </c>
      <c r="W363" s="164">
        <v>0</v>
      </c>
      <c r="X363" s="81">
        <v>0</v>
      </c>
      <c r="Y363" s="78">
        <v>0</v>
      </c>
      <c r="Z363" s="164">
        <f t="shared" si="310"/>
        <v>0</v>
      </c>
      <c r="AA363" s="164">
        <v>0</v>
      </c>
      <c r="AB363" s="164">
        <v>0</v>
      </c>
      <c r="AC363" s="81">
        <v>0</v>
      </c>
      <c r="AD363" s="135"/>
    </row>
    <row r="364" spans="1:30" s="147" customFormat="1" ht="22.9" customHeight="1" outlineLevel="1" x14ac:dyDescent="0.2">
      <c r="A364" s="153" t="s">
        <v>1439</v>
      </c>
      <c r="B364" s="166" t="s">
        <v>194</v>
      </c>
      <c r="C364" s="78">
        <f t="shared" si="306"/>
        <v>0</v>
      </c>
      <c r="D364" s="164">
        <f t="shared" si="307"/>
        <v>0</v>
      </c>
      <c r="E364" s="117">
        <v>0</v>
      </c>
      <c r="F364" s="165">
        <f t="shared" si="308"/>
        <v>0</v>
      </c>
      <c r="G364" s="164">
        <v>0</v>
      </c>
      <c r="H364" s="164">
        <v>0</v>
      </c>
      <c r="I364" s="164">
        <v>0</v>
      </c>
      <c r="J364" s="117">
        <v>0</v>
      </c>
      <c r="K364" s="165">
        <f t="shared" si="303"/>
        <v>0</v>
      </c>
      <c r="L364" s="164">
        <v>0</v>
      </c>
      <c r="M364" s="164">
        <v>0</v>
      </c>
      <c r="N364" s="164">
        <v>0</v>
      </c>
      <c r="O364" s="78">
        <v>0</v>
      </c>
      <c r="P364" s="164">
        <f t="shared" si="304"/>
        <v>0</v>
      </c>
      <c r="Q364" s="164">
        <v>0</v>
      </c>
      <c r="R364" s="164">
        <v>0</v>
      </c>
      <c r="S364" s="81">
        <v>0</v>
      </c>
      <c r="T364" s="78">
        <v>0</v>
      </c>
      <c r="U364" s="164">
        <v>0</v>
      </c>
      <c r="V364" s="164">
        <v>0</v>
      </c>
      <c r="W364" s="164">
        <v>0</v>
      </c>
      <c r="X364" s="81">
        <v>0</v>
      </c>
      <c r="Y364" s="78">
        <v>0</v>
      </c>
      <c r="Z364" s="164">
        <f t="shared" si="310"/>
        <v>0</v>
      </c>
      <c r="AA364" s="164">
        <v>0</v>
      </c>
      <c r="AB364" s="164">
        <v>0</v>
      </c>
      <c r="AC364" s="81">
        <v>0</v>
      </c>
      <c r="AD364" s="135"/>
    </row>
    <row r="365" spans="1:30" s="147" customFormat="1" ht="40.9" customHeight="1" outlineLevel="1" x14ac:dyDescent="0.2">
      <c r="A365" s="153" t="s">
        <v>1440</v>
      </c>
      <c r="B365" s="166" t="s">
        <v>195</v>
      </c>
      <c r="C365" s="78">
        <f t="shared" si="306"/>
        <v>0</v>
      </c>
      <c r="D365" s="164">
        <f t="shared" si="307"/>
        <v>0</v>
      </c>
      <c r="E365" s="117">
        <v>0</v>
      </c>
      <c r="F365" s="165">
        <f t="shared" si="308"/>
        <v>0</v>
      </c>
      <c r="G365" s="164">
        <v>0</v>
      </c>
      <c r="H365" s="164">
        <v>0</v>
      </c>
      <c r="I365" s="164">
        <v>0</v>
      </c>
      <c r="J365" s="117">
        <v>0</v>
      </c>
      <c r="K365" s="165">
        <f t="shared" si="303"/>
        <v>0</v>
      </c>
      <c r="L365" s="164">
        <v>0</v>
      </c>
      <c r="M365" s="164">
        <v>0</v>
      </c>
      <c r="N365" s="164">
        <v>0</v>
      </c>
      <c r="O365" s="78">
        <v>0</v>
      </c>
      <c r="P365" s="164">
        <f t="shared" si="304"/>
        <v>0</v>
      </c>
      <c r="Q365" s="164">
        <v>0</v>
      </c>
      <c r="R365" s="164">
        <v>0</v>
      </c>
      <c r="S365" s="81">
        <v>0</v>
      </c>
      <c r="T365" s="78">
        <v>0</v>
      </c>
      <c r="U365" s="164">
        <v>0</v>
      </c>
      <c r="V365" s="164">
        <v>0</v>
      </c>
      <c r="W365" s="164">
        <v>0</v>
      </c>
      <c r="X365" s="81">
        <v>0</v>
      </c>
      <c r="Y365" s="78">
        <v>0</v>
      </c>
      <c r="Z365" s="164">
        <f t="shared" si="310"/>
        <v>0</v>
      </c>
      <c r="AA365" s="164">
        <v>0</v>
      </c>
      <c r="AB365" s="164">
        <v>0</v>
      </c>
      <c r="AC365" s="81">
        <v>0</v>
      </c>
      <c r="AD365" s="135"/>
    </row>
    <row r="366" spans="1:30" s="147" customFormat="1" ht="37.15" customHeight="1" outlineLevel="1" x14ac:dyDescent="0.2">
      <c r="A366" s="153" t="s">
        <v>1441</v>
      </c>
      <c r="B366" s="166" t="s">
        <v>196</v>
      </c>
      <c r="C366" s="78">
        <f t="shared" si="306"/>
        <v>0</v>
      </c>
      <c r="D366" s="164">
        <f t="shared" si="307"/>
        <v>0</v>
      </c>
      <c r="E366" s="117">
        <v>0</v>
      </c>
      <c r="F366" s="165">
        <f t="shared" si="308"/>
        <v>0</v>
      </c>
      <c r="G366" s="164">
        <v>0</v>
      </c>
      <c r="H366" s="164">
        <v>0</v>
      </c>
      <c r="I366" s="164">
        <v>0</v>
      </c>
      <c r="J366" s="117">
        <v>0</v>
      </c>
      <c r="K366" s="165">
        <f t="shared" si="303"/>
        <v>0</v>
      </c>
      <c r="L366" s="164">
        <v>0</v>
      </c>
      <c r="M366" s="164">
        <v>0</v>
      </c>
      <c r="N366" s="164">
        <v>0</v>
      </c>
      <c r="O366" s="78">
        <v>0</v>
      </c>
      <c r="P366" s="164">
        <f t="shared" si="304"/>
        <v>0</v>
      </c>
      <c r="Q366" s="164">
        <v>0</v>
      </c>
      <c r="R366" s="164">
        <v>0</v>
      </c>
      <c r="S366" s="81">
        <v>0</v>
      </c>
      <c r="T366" s="78">
        <v>0</v>
      </c>
      <c r="U366" s="164">
        <v>0</v>
      </c>
      <c r="V366" s="164">
        <v>0</v>
      </c>
      <c r="W366" s="164">
        <v>0</v>
      </c>
      <c r="X366" s="81">
        <v>0</v>
      </c>
      <c r="Y366" s="78">
        <v>0</v>
      </c>
      <c r="Z366" s="164">
        <f t="shared" si="310"/>
        <v>0</v>
      </c>
      <c r="AA366" s="164">
        <v>0</v>
      </c>
      <c r="AB366" s="164">
        <v>0</v>
      </c>
      <c r="AC366" s="81">
        <v>0</v>
      </c>
      <c r="AD366" s="135"/>
    </row>
    <row r="367" spans="1:30" s="147" customFormat="1" ht="26.45" customHeight="1" outlineLevel="1" x14ac:dyDescent="0.2">
      <c r="A367" s="153" t="s">
        <v>1442</v>
      </c>
      <c r="B367" s="166" t="s">
        <v>197</v>
      </c>
      <c r="C367" s="78">
        <f t="shared" si="306"/>
        <v>0</v>
      </c>
      <c r="D367" s="164">
        <f t="shared" si="307"/>
        <v>0</v>
      </c>
      <c r="E367" s="117">
        <v>0</v>
      </c>
      <c r="F367" s="165">
        <f t="shared" si="308"/>
        <v>0</v>
      </c>
      <c r="G367" s="164">
        <v>0</v>
      </c>
      <c r="H367" s="164">
        <v>0</v>
      </c>
      <c r="I367" s="164">
        <v>0</v>
      </c>
      <c r="J367" s="117">
        <v>0</v>
      </c>
      <c r="K367" s="165">
        <f t="shared" ref="K367:K430" si="311">L367+M367+N367</f>
        <v>0</v>
      </c>
      <c r="L367" s="164">
        <v>0</v>
      </c>
      <c r="M367" s="164">
        <v>0</v>
      </c>
      <c r="N367" s="164">
        <v>0</v>
      </c>
      <c r="O367" s="78">
        <v>0</v>
      </c>
      <c r="P367" s="164">
        <f t="shared" ref="P367:P430" si="312">Q367+R367+S367</f>
        <v>0</v>
      </c>
      <c r="Q367" s="164">
        <v>0</v>
      </c>
      <c r="R367" s="164">
        <v>0</v>
      </c>
      <c r="S367" s="81">
        <v>0</v>
      </c>
      <c r="T367" s="78">
        <v>0</v>
      </c>
      <c r="U367" s="164">
        <v>0</v>
      </c>
      <c r="V367" s="164">
        <v>0</v>
      </c>
      <c r="W367" s="164">
        <v>0</v>
      </c>
      <c r="X367" s="81">
        <v>0</v>
      </c>
      <c r="Y367" s="78">
        <v>0</v>
      </c>
      <c r="Z367" s="164">
        <f t="shared" ref="Z367:Z430" si="313">AA367+AB367+AC367</f>
        <v>0</v>
      </c>
      <c r="AA367" s="164">
        <v>0</v>
      </c>
      <c r="AB367" s="164">
        <v>0</v>
      </c>
      <c r="AC367" s="81">
        <v>0</v>
      </c>
      <c r="AD367" s="135"/>
    </row>
    <row r="368" spans="1:30" s="147" customFormat="1" ht="29.45" customHeight="1" outlineLevel="1" x14ac:dyDescent="0.2">
      <c r="A368" s="153" t="s">
        <v>1443</v>
      </c>
      <c r="B368" s="166" t="s">
        <v>198</v>
      </c>
      <c r="C368" s="78">
        <f t="shared" ref="C368:C431" si="314">E368+J368+O368+Y368+T368</f>
        <v>0</v>
      </c>
      <c r="D368" s="164">
        <f t="shared" ref="D368:D437" si="315">F368+K368+P368+Z368+U368</f>
        <v>0</v>
      </c>
      <c r="E368" s="117">
        <v>0</v>
      </c>
      <c r="F368" s="165">
        <f t="shared" ref="F368:F437" si="316">G368+H368+I368</f>
        <v>0</v>
      </c>
      <c r="G368" s="164">
        <v>0</v>
      </c>
      <c r="H368" s="164">
        <v>0</v>
      </c>
      <c r="I368" s="164">
        <v>0</v>
      </c>
      <c r="J368" s="117">
        <v>0</v>
      </c>
      <c r="K368" s="165">
        <f t="shared" si="311"/>
        <v>0</v>
      </c>
      <c r="L368" s="164">
        <v>0</v>
      </c>
      <c r="M368" s="164">
        <v>0</v>
      </c>
      <c r="N368" s="164">
        <v>0</v>
      </c>
      <c r="O368" s="78">
        <v>0</v>
      </c>
      <c r="P368" s="164">
        <f t="shared" si="312"/>
        <v>0</v>
      </c>
      <c r="Q368" s="164">
        <v>0</v>
      </c>
      <c r="R368" s="164">
        <v>0</v>
      </c>
      <c r="S368" s="81">
        <v>0</v>
      </c>
      <c r="T368" s="78">
        <v>0</v>
      </c>
      <c r="U368" s="164">
        <v>0</v>
      </c>
      <c r="V368" s="164">
        <v>0</v>
      </c>
      <c r="W368" s="164">
        <v>0</v>
      </c>
      <c r="X368" s="81">
        <v>0</v>
      </c>
      <c r="Y368" s="78">
        <v>0</v>
      </c>
      <c r="Z368" s="164">
        <f t="shared" si="313"/>
        <v>0</v>
      </c>
      <c r="AA368" s="164">
        <v>0</v>
      </c>
      <c r="AB368" s="164">
        <v>0</v>
      </c>
      <c r="AC368" s="81">
        <v>0</v>
      </c>
      <c r="AD368" s="135"/>
    </row>
    <row r="369" spans="1:30" s="147" customFormat="1" ht="29.45" customHeight="1" outlineLevel="1" x14ac:dyDescent="0.2">
      <c r="A369" s="153" t="s">
        <v>1444</v>
      </c>
      <c r="B369" s="166" t="s">
        <v>199</v>
      </c>
      <c r="C369" s="78">
        <f t="shared" si="314"/>
        <v>0</v>
      </c>
      <c r="D369" s="164">
        <f t="shared" si="315"/>
        <v>0</v>
      </c>
      <c r="E369" s="117">
        <v>0</v>
      </c>
      <c r="F369" s="165">
        <f t="shared" si="316"/>
        <v>0</v>
      </c>
      <c r="G369" s="164">
        <v>0</v>
      </c>
      <c r="H369" s="164">
        <v>0</v>
      </c>
      <c r="I369" s="164">
        <v>0</v>
      </c>
      <c r="J369" s="117">
        <v>0</v>
      </c>
      <c r="K369" s="165">
        <f t="shared" si="311"/>
        <v>0</v>
      </c>
      <c r="L369" s="164">
        <v>0</v>
      </c>
      <c r="M369" s="164">
        <v>0</v>
      </c>
      <c r="N369" s="164">
        <v>0</v>
      </c>
      <c r="O369" s="78">
        <v>0</v>
      </c>
      <c r="P369" s="164">
        <f t="shared" si="312"/>
        <v>0</v>
      </c>
      <c r="Q369" s="164">
        <v>0</v>
      </c>
      <c r="R369" s="164">
        <v>0</v>
      </c>
      <c r="S369" s="81">
        <v>0</v>
      </c>
      <c r="T369" s="78">
        <v>0</v>
      </c>
      <c r="U369" s="164">
        <v>0</v>
      </c>
      <c r="V369" s="164">
        <v>0</v>
      </c>
      <c r="W369" s="164">
        <v>0</v>
      </c>
      <c r="X369" s="81">
        <v>0</v>
      </c>
      <c r="Y369" s="78">
        <v>0</v>
      </c>
      <c r="Z369" s="164">
        <f t="shared" si="313"/>
        <v>0</v>
      </c>
      <c r="AA369" s="164">
        <v>0</v>
      </c>
      <c r="AB369" s="164">
        <v>0</v>
      </c>
      <c r="AC369" s="81">
        <v>0</v>
      </c>
      <c r="AD369" s="135"/>
    </row>
    <row r="370" spans="1:30" s="147" customFormat="1" ht="23.45" customHeight="1" outlineLevel="1" x14ac:dyDescent="0.2">
      <c r="A370" s="153" t="s">
        <v>1445</v>
      </c>
      <c r="B370" s="166" t="s">
        <v>200</v>
      </c>
      <c r="C370" s="78">
        <f t="shared" si="314"/>
        <v>0</v>
      </c>
      <c r="D370" s="164">
        <f t="shared" si="315"/>
        <v>0</v>
      </c>
      <c r="E370" s="117">
        <v>0</v>
      </c>
      <c r="F370" s="165">
        <f t="shared" si="316"/>
        <v>0</v>
      </c>
      <c r="G370" s="164">
        <v>0</v>
      </c>
      <c r="H370" s="164">
        <v>0</v>
      </c>
      <c r="I370" s="164">
        <v>0</v>
      </c>
      <c r="J370" s="117">
        <v>0</v>
      </c>
      <c r="K370" s="165">
        <f t="shared" si="311"/>
        <v>0</v>
      </c>
      <c r="L370" s="164">
        <v>0</v>
      </c>
      <c r="M370" s="164">
        <v>0</v>
      </c>
      <c r="N370" s="164">
        <v>0</v>
      </c>
      <c r="O370" s="78">
        <v>0</v>
      </c>
      <c r="P370" s="164">
        <f t="shared" si="312"/>
        <v>0</v>
      </c>
      <c r="Q370" s="164">
        <v>0</v>
      </c>
      <c r="R370" s="164">
        <v>0</v>
      </c>
      <c r="S370" s="81">
        <v>0</v>
      </c>
      <c r="T370" s="78">
        <v>0</v>
      </c>
      <c r="U370" s="164">
        <v>0</v>
      </c>
      <c r="V370" s="164">
        <v>0</v>
      </c>
      <c r="W370" s="164">
        <v>0</v>
      </c>
      <c r="X370" s="81">
        <v>0</v>
      </c>
      <c r="Y370" s="78">
        <v>0</v>
      </c>
      <c r="Z370" s="164">
        <f t="shared" si="313"/>
        <v>0</v>
      </c>
      <c r="AA370" s="164">
        <v>0</v>
      </c>
      <c r="AB370" s="164">
        <v>0</v>
      </c>
      <c r="AC370" s="81">
        <v>0</v>
      </c>
      <c r="AD370" s="135"/>
    </row>
    <row r="371" spans="1:30" s="147" customFormat="1" ht="24" customHeight="1" outlineLevel="1" x14ac:dyDescent="0.2">
      <c r="A371" s="153" t="s">
        <v>1446</v>
      </c>
      <c r="B371" s="166" t="s">
        <v>201</v>
      </c>
      <c r="C371" s="78">
        <f t="shared" si="314"/>
        <v>0</v>
      </c>
      <c r="D371" s="164">
        <f t="shared" si="315"/>
        <v>0</v>
      </c>
      <c r="E371" s="117">
        <v>0</v>
      </c>
      <c r="F371" s="165">
        <f t="shared" si="316"/>
        <v>0</v>
      </c>
      <c r="G371" s="164">
        <v>0</v>
      </c>
      <c r="H371" s="164">
        <v>0</v>
      </c>
      <c r="I371" s="164">
        <v>0</v>
      </c>
      <c r="J371" s="117">
        <v>0</v>
      </c>
      <c r="K371" s="165">
        <f t="shared" si="311"/>
        <v>0</v>
      </c>
      <c r="L371" s="164">
        <v>0</v>
      </c>
      <c r="M371" s="164">
        <v>0</v>
      </c>
      <c r="N371" s="164">
        <v>0</v>
      </c>
      <c r="O371" s="78">
        <v>0</v>
      </c>
      <c r="P371" s="164">
        <f t="shared" si="312"/>
        <v>0</v>
      </c>
      <c r="Q371" s="164">
        <v>0</v>
      </c>
      <c r="R371" s="164">
        <v>0</v>
      </c>
      <c r="S371" s="81">
        <v>0</v>
      </c>
      <c r="T371" s="78">
        <v>0</v>
      </c>
      <c r="U371" s="164">
        <v>0</v>
      </c>
      <c r="V371" s="164">
        <v>0</v>
      </c>
      <c r="W371" s="164">
        <v>0</v>
      </c>
      <c r="X371" s="81">
        <v>0</v>
      </c>
      <c r="Y371" s="78">
        <v>0</v>
      </c>
      <c r="Z371" s="164">
        <f t="shared" si="313"/>
        <v>0</v>
      </c>
      <c r="AA371" s="164">
        <v>0</v>
      </c>
      <c r="AB371" s="164">
        <v>0</v>
      </c>
      <c r="AC371" s="81">
        <v>0</v>
      </c>
      <c r="AD371" s="135"/>
    </row>
    <row r="372" spans="1:30" s="147" customFormat="1" ht="27.75" customHeight="1" outlineLevel="1" x14ac:dyDescent="0.2">
      <c r="A372" s="153" t="s">
        <v>1447</v>
      </c>
      <c r="B372" s="166" t="s">
        <v>202</v>
      </c>
      <c r="C372" s="78">
        <f t="shared" si="314"/>
        <v>0</v>
      </c>
      <c r="D372" s="164">
        <f t="shared" si="315"/>
        <v>0</v>
      </c>
      <c r="E372" s="117">
        <v>0</v>
      </c>
      <c r="F372" s="165">
        <f t="shared" si="316"/>
        <v>0</v>
      </c>
      <c r="G372" s="164">
        <v>0</v>
      </c>
      <c r="H372" s="164">
        <v>0</v>
      </c>
      <c r="I372" s="164">
        <v>0</v>
      </c>
      <c r="J372" s="117">
        <v>0</v>
      </c>
      <c r="K372" s="165">
        <f t="shared" si="311"/>
        <v>0</v>
      </c>
      <c r="L372" s="164">
        <v>0</v>
      </c>
      <c r="M372" s="164">
        <v>0</v>
      </c>
      <c r="N372" s="164">
        <v>0</v>
      </c>
      <c r="O372" s="78">
        <v>0</v>
      </c>
      <c r="P372" s="164">
        <f t="shared" si="312"/>
        <v>0</v>
      </c>
      <c r="Q372" s="164">
        <v>0</v>
      </c>
      <c r="R372" s="164">
        <v>0</v>
      </c>
      <c r="S372" s="81">
        <v>0</v>
      </c>
      <c r="T372" s="78">
        <v>0</v>
      </c>
      <c r="U372" s="164">
        <v>0</v>
      </c>
      <c r="V372" s="164">
        <v>0</v>
      </c>
      <c r="W372" s="164">
        <v>0</v>
      </c>
      <c r="X372" s="81">
        <v>0</v>
      </c>
      <c r="Y372" s="78">
        <v>0</v>
      </c>
      <c r="Z372" s="164">
        <f t="shared" si="313"/>
        <v>0</v>
      </c>
      <c r="AA372" s="164">
        <v>0</v>
      </c>
      <c r="AB372" s="164">
        <v>0</v>
      </c>
      <c r="AC372" s="81">
        <v>0</v>
      </c>
      <c r="AD372" s="135"/>
    </row>
    <row r="373" spans="1:30" s="147" customFormat="1" ht="21" customHeight="1" outlineLevel="1" x14ac:dyDescent="0.2">
      <c r="A373" s="153" t="s">
        <v>1448</v>
      </c>
      <c r="B373" s="166" t="s">
        <v>203</v>
      </c>
      <c r="C373" s="78">
        <f t="shared" si="314"/>
        <v>0</v>
      </c>
      <c r="D373" s="164">
        <f t="shared" si="315"/>
        <v>0</v>
      </c>
      <c r="E373" s="117">
        <v>0</v>
      </c>
      <c r="F373" s="165">
        <f t="shared" si="316"/>
        <v>0</v>
      </c>
      <c r="G373" s="164">
        <v>0</v>
      </c>
      <c r="H373" s="164">
        <v>0</v>
      </c>
      <c r="I373" s="164">
        <v>0</v>
      </c>
      <c r="J373" s="117">
        <v>0</v>
      </c>
      <c r="K373" s="165">
        <f t="shared" si="311"/>
        <v>0</v>
      </c>
      <c r="L373" s="164">
        <v>0</v>
      </c>
      <c r="M373" s="164">
        <v>0</v>
      </c>
      <c r="N373" s="164">
        <v>0</v>
      </c>
      <c r="O373" s="78">
        <v>0</v>
      </c>
      <c r="P373" s="164">
        <f t="shared" si="312"/>
        <v>0</v>
      </c>
      <c r="Q373" s="164">
        <v>0</v>
      </c>
      <c r="R373" s="164">
        <v>0</v>
      </c>
      <c r="S373" s="81">
        <v>0</v>
      </c>
      <c r="T373" s="78">
        <v>0</v>
      </c>
      <c r="U373" s="164">
        <v>0</v>
      </c>
      <c r="V373" s="164">
        <v>0</v>
      </c>
      <c r="W373" s="164">
        <v>0</v>
      </c>
      <c r="X373" s="81">
        <v>0</v>
      </c>
      <c r="Y373" s="78">
        <v>0</v>
      </c>
      <c r="Z373" s="164">
        <f t="shared" si="313"/>
        <v>0</v>
      </c>
      <c r="AA373" s="164">
        <v>0</v>
      </c>
      <c r="AB373" s="164">
        <v>0</v>
      </c>
      <c r="AC373" s="81">
        <v>0</v>
      </c>
      <c r="AD373" s="135"/>
    </row>
    <row r="374" spans="1:30" s="147" customFormat="1" ht="22.9" customHeight="1" outlineLevel="1" x14ac:dyDescent="0.2">
      <c r="A374" s="153" t="s">
        <v>1449</v>
      </c>
      <c r="B374" s="166" t="s">
        <v>204</v>
      </c>
      <c r="C374" s="78">
        <f t="shared" si="314"/>
        <v>0</v>
      </c>
      <c r="D374" s="164">
        <f t="shared" si="315"/>
        <v>0</v>
      </c>
      <c r="E374" s="117">
        <v>0</v>
      </c>
      <c r="F374" s="165">
        <f t="shared" si="316"/>
        <v>0</v>
      </c>
      <c r="G374" s="164">
        <v>0</v>
      </c>
      <c r="H374" s="164">
        <v>0</v>
      </c>
      <c r="I374" s="164">
        <v>0</v>
      </c>
      <c r="J374" s="117">
        <v>0</v>
      </c>
      <c r="K374" s="165">
        <f t="shared" si="311"/>
        <v>0</v>
      </c>
      <c r="L374" s="164">
        <v>0</v>
      </c>
      <c r="M374" s="164">
        <v>0</v>
      </c>
      <c r="N374" s="164">
        <v>0</v>
      </c>
      <c r="O374" s="78">
        <v>0</v>
      </c>
      <c r="P374" s="164">
        <f t="shared" si="312"/>
        <v>0</v>
      </c>
      <c r="Q374" s="164">
        <v>0</v>
      </c>
      <c r="R374" s="164">
        <v>0</v>
      </c>
      <c r="S374" s="81">
        <v>0</v>
      </c>
      <c r="T374" s="78">
        <v>0</v>
      </c>
      <c r="U374" s="164">
        <v>0</v>
      </c>
      <c r="V374" s="164">
        <v>0</v>
      </c>
      <c r="W374" s="164">
        <v>0</v>
      </c>
      <c r="X374" s="81">
        <v>0</v>
      </c>
      <c r="Y374" s="78">
        <v>0</v>
      </c>
      <c r="Z374" s="164">
        <f t="shared" si="313"/>
        <v>0</v>
      </c>
      <c r="AA374" s="164">
        <v>0</v>
      </c>
      <c r="AB374" s="164">
        <v>0</v>
      </c>
      <c r="AC374" s="81">
        <v>0</v>
      </c>
      <c r="AD374" s="135"/>
    </row>
    <row r="375" spans="1:30" s="147" customFormat="1" ht="22.15" customHeight="1" outlineLevel="1" x14ac:dyDescent="0.2">
      <c r="A375" s="153" t="s">
        <v>1450</v>
      </c>
      <c r="B375" s="166" t="s">
        <v>205</v>
      </c>
      <c r="C375" s="78">
        <f t="shared" si="314"/>
        <v>0</v>
      </c>
      <c r="D375" s="164">
        <f t="shared" si="315"/>
        <v>0</v>
      </c>
      <c r="E375" s="117">
        <v>0</v>
      </c>
      <c r="F375" s="165">
        <f t="shared" si="316"/>
        <v>0</v>
      </c>
      <c r="G375" s="164">
        <v>0</v>
      </c>
      <c r="H375" s="164">
        <v>0</v>
      </c>
      <c r="I375" s="164">
        <v>0</v>
      </c>
      <c r="J375" s="117">
        <v>0</v>
      </c>
      <c r="K375" s="165">
        <f t="shared" si="311"/>
        <v>0</v>
      </c>
      <c r="L375" s="164">
        <v>0</v>
      </c>
      <c r="M375" s="164">
        <v>0</v>
      </c>
      <c r="N375" s="164">
        <v>0</v>
      </c>
      <c r="O375" s="78">
        <v>0</v>
      </c>
      <c r="P375" s="164">
        <f t="shared" si="312"/>
        <v>0</v>
      </c>
      <c r="Q375" s="164">
        <v>0</v>
      </c>
      <c r="R375" s="164">
        <v>0</v>
      </c>
      <c r="S375" s="81">
        <v>0</v>
      </c>
      <c r="T375" s="78">
        <v>0</v>
      </c>
      <c r="U375" s="164">
        <v>0</v>
      </c>
      <c r="V375" s="164">
        <v>0</v>
      </c>
      <c r="W375" s="164">
        <v>0</v>
      </c>
      <c r="X375" s="81">
        <v>0</v>
      </c>
      <c r="Y375" s="78">
        <v>0</v>
      </c>
      <c r="Z375" s="164">
        <f t="shared" si="313"/>
        <v>0</v>
      </c>
      <c r="AA375" s="164">
        <v>0</v>
      </c>
      <c r="AB375" s="164">
        <v>0</v>
      </c>
      <c r="AC375" s="81">
        <v>0</v>
      </c>
      <c r="AD375" s="135"/>
    </row>
    <row r="376" spans="1:30" s="147" customFormat="1" ht="23.45" customHeight="1" outlineLevel="1" x14ac:dyDescent="0.2">
      <c r="A376" s="153" t="s">
        <v>1451</v>
      </c>
      <c r="B376" s="166" t="s">
        <v>206</v>
      </c>
      <c r="C376" s="78">
        <f t="shared" si="314"/>
        <v>0</v>
      </c>
      <c r="D376" s="164">
        <f t="shared" si="315"/>
        <v>0</v>
      </c>
      <c r="E376" s="117">
        <v>0</v>
      </c>
      <c r="F376" s="165">
        <f t="shared" si="316"/>
        <v>0</v>
      </c>
      <c r="G376" s="164">
        <v>0</v>
      </c>
      <c r="H376" s="164">
        <v>0</v>
      </c>
      <c r="I376" s="164">
        <v>0</v>
      </c>
      <c r="J376" s="117">
        <v>0</v>
      </c>
      <c r="K376" s="165">
        <f t="shared" si="311"/>
        <v>0</v>
      </c>
      <c r="L376" s="164">
        <v>0</v>
      </c>
      <c r="M376" s="164">
        <v>0</v>
      </c>
      <c r="N376" s="164">
        <v>0</v>
      </c>
      <c r="O376" s="78">
        <v>0</v>
      </c>
      <c r="P376" s="164">
        <f t="shared" si="312"/>
        <v>0</v>
      </c>
      <c r="Q376" s="164">
        <v>0</v>
      </c>
      <c r="R376" s="164">
        <v>0</v>
      </c>
      <c r="S376" s="81">
        <v>0</v>
      </c>
      <c r="T376" s="78">
        <v>0</v>
      </c>
      <c r="U376" s="164">
        <v>0</v>
      </c>
      <c r="V376" s="164">
        <v>0</v>
      </c>
      <c r="W376" s="164">
        <v>0</v>
      </c>
      <c r="X376" s="81">
        <v>0</v>
      </c>
      <c r="Y376" s="78">
        <v>0</v>
      </c>
      <c r="Z376" s="164">
        <f t="shared" si="313"/>
        <v>0</v>
      </c>
      <c r="AA376" s="164">
        <v>0</v>
      </c>
      <c r="AB376" s="164">
        <v>0</v>
      </c>
      <c r="AC376" s="81">
        <v>0</v>
      </c>
      <c r="AD376" s="135"/>
    </row>
    <row r="377" spans="1:30" s="147" customFormat="1" ht="23.45" customHeight="1" outlineLevel="1" x14ac:dyDescent="0.2">
      <c r="A377" s="153" t="s">
        <v>1452</v>
      </c>
      <c r="B377" s="166" t="s">
        <v>207</v>
      </c>
      <c r="C377" s="78">
        <f t="shared" si="314"/>
        <v>0</v>
      </c>
      <c r="D377" s="164">
        <f t="shared" si="315"/>
        <v>0</v>
      </c>
      <c r="E377" s="117">
        <v>0</v>
      </c>
      <c r="F377" s="165">
        <f t="shared" si="316"/>
        <v>0</v>
      </c>
      <c r="G377" s="164">
        <v>0</v>
      </c>
      <c r="H377" s="164">
        <v>0</v>
      </c>
      <c r="I377" s="164">
        <v>0</v>
      </c>
      <c r="J377" s="117">
        <v>0</v>
      </c>
      <c r="K377" s="165">
        <f t="shared" si="311"/>
        <v>0</v>
      </c>
      <c r="L377" s="164">
        <v>0</v>
      </c>
      <c r="M377" s="164">
        <v>0</v>
      </c>
      <c r="N377" s="164">
        <v>0</v>
      </c>
      <c r="O377" s="78">
        <v>0</v>
      </c>
      <c r="P377" s="164">
        <f t="shared" si="312"/>
        <v>0</v>
      </c>
      <c r="Q377" s="164">
        <v>0</v>
      </c>
      <c r="R377" s="164">
        <v>0</v>
      </c>
      <c r="S377" s="81">
        <v>0</v>
      </c>
      <c r="T377" s="78">
        <v>0</v>
      </c>
      <c r="U377" s="164">
        <v>0</v>
      </c>
      <c r="V377" s="164">
        <v>0</v>
      </c>
      <c r="W377" s="164">
        <v>0</v>
      </c>
      <c r="X377" s="81">
        <v>0</v>
      </c>
      <c r="Y377" s="78">
        <v>0</v>
      </c>
      <c r="Z377" s="164">
        <f t="shared" si="313"/>
        <v>0</v>
      </c>
      <c r="AA377" s="164">
        <v>0</v>
      </c>
      <c r="AB377" s="164">
        <v>0</v>
      </c>
      <c r="AC377" s="81">
        <v>0</v>
      </c>
      <c r="AD377" s="135"/>
    </row>
    <row r="378" spans="1:30" s="147" customFormat="1" ht="26.25" customHeight="1" outlineLevel="1" x14ac:dyDescent="0.2">
      <c r="A378" s="153" t="s">
        <v>1453</v>
      </c>
      <c r="B378" s="166" t="s">
        <v>208</v>
      </c>
      <c r="C378" s="78">
        <f t="shared" si="314"/>
        <v>0</v>
      </c>
      <c r="D378" s="164">
        <f t="shared" si="315"/>
        <v>0</v>
      </c>
      <c r="E378" s="117">
        <v>0</v>
      </c>
      <c r="F378" s="165">
        <f t="shared" si="316"/>
        <v>0</v>
      </c>
      <c r="G378" s="164">
        <v>0</v>
      </c>
      <c r="H378" s="164">
        <v>0</v>
      </c>
      <c r="I378" s="164">
        <v>0</v>
      </c>
      <c r="J378" s="117">
        <v>0</v>
      </c>
      <c r="K378" s="165">
        <f t="shared" si="311"/>
        <v>0</v>
      </c>
      <c r="L378" s="164">
        <v>0</v>
      </c>
      <c r="M378" s="164">
        <v>0</v>
      </c>
      <c r="N378" s="164">
        <v>0</v>
      </c>
      <c r="O378" s="78">
        <v>0</v>
      </c>
      <c r="P378" s="164">
        <f t="shared" si="312"/>
        <v>0</v>
      </c>
      <c r="Q378" s="164">
        <v>0</v>
      </c>
      <c r="R378" s="164">
        <v>0</v>
      </c>
      <c r="S378" s="81">
        <v>0</v>
      </c>
      <c r="T378" s="78">
        <v>0</v>
      </c>
      <c r="U378" s="164">
        <v>0</v>
      </c>
      <c r="V378" s="164">
        <v>0</v>
      </c>
      <c r="W378" s="164">
        <v>0</v>
      </c>
      <c r="X378" s="81">
        <v>0</v>
      </c>
      <c r="Y378" s="78">
        <v>0</v>
      </c>
      <c r="Z378" s="164">
        <f t="shared" si="313"/>
        <v>0</v>
      </c>
      <c r="AA378" s="164">
        <v>0</v>
      </c>
      <c r="AB378" s="164">
        <v>0</v>
      </c>
      <c r="AC378" s="81">
        <v>0</v>
      </c>
      <c r="AD378" s="135"/>
    </row>
    <row r="379" spans="1:30" s="147" customFormat="1" ht="25.15" customHeight="1" outlineLevel="1" x14ac:dyDescent="0.2">
      <c r="A379" s="153" t="s">
        <v>1454</v>
      </c>
      <c r="B379" s="166" t="s">
        <v>209</v>
      </c>
      <c r="C379" s="78">
        <f t="shared" si="314"/>
        <v>0</v>
      </c>
      <c r="D379" s="164">
        <f t="shared" si="315"/>
        <v>0</v>
      </c>
      <c r="E379" s="117">
        <v>0</v>
      </c>
      <c r="F379" s="165">
        <f t="shared" si="316"/>
        <v>0</v>
      </c>
      <c r="G379" s="164">
        <v>0</v>
      </c>
      <c r="H379" s="164">
        <v>0</v>
      </c>
      <c r="I379" s="164">
        <v>0</v>
      </c>
      <c r="J379" s="117">
        <v>0</v>
      </c>
      <c r="K379" s="165">
        <f t="shared" si="311"/>
        <v>0</v>
      </c>
      <c r="L379" s="164">
        <v>0</v>
      </c>
      <c r="M379" s="164">
        <v>0</v>
      </c>
      <c r="N379" s="164">
        <v>0</v>
      </c>
      <c r="O379" s="78">
        <v>0</v>
      </c>
      <c r="P379" s="164">
        <f t="shared" si="312"/>
        <v>0</v>
      </c>
      <c r="Q379" s="164">
        <v>0</v>
      </c>
      <c r="R379" s="164">
        <v>0</v>
      </c>
      <c r="S379" s="81">
        <v>0</v>
      </c>
      <c r="T379" s="78">
        <v>0</v>
      </c>
      <c r="U379" s="164">
        <v>0</v>
      </c>
      <c r="V379" s="164">
        <v>0</v>
      </c>
      <c r="W379" s="164">
        <v>0</v>
      </c>
      <c r="X379" s="81">
        <v>0</v>
      </c>
      <c r="Y379" s="78">
        <v>0</v>
      </c>
      <c r="Z379" s="164">
        <f t="shared" si="313"/>
        <v>0</v>
      </c>
      <c r="AA379" s="164">
        <v>0</v>
      </c>
      <c r="AB379" s="164">
        <v>0</v>
      </c>
      <c r="AC379" s="81">
        <v>0</v>
      </c>
      <c r="AD379" s="135"/>
    </row>
    <row r="380" spans="1:30" s="147" customFormat="1" ht="25.9" customHeight="1" outlineLevel="1" x14ac:dyDescent="0.2">
      <c r="A380" s="153" t="s">
        <v>1455</v>
      </c>
      <c r="B380" s="166" t="s">
        <v>210</v>
      </c>
      <c r="C380" s="78">
        <f t="shared" si="314"/>
        <v>0</v>
      </c>
      <c r="D380" s="164">
        <f t="shared" si="315"/>
        <v>0</v>
      </c>
      <c r="E380" s="117">
        <v>0</v>
      </c>
      <c r="F380" s="165">
        <f t="shared" si="316"/>
        <v>0</v>
      </c>
      <c r="G380" s="164">
        <v>0</v>
      </c>
      <c r="H380" s="164">
        <v>0</v>
      </c>
      <c r="I380" s="164">
        <v>0</v>
      </c>
      <c r="J380" s="117">
        <v>0</v>
      </c>
      <c r="K380" s="165">
        <f t="shared" si="311"/>
        <v>0</v>
      </c>
      <c r="L380" s="164">
        <v>0</v>
      </c>
      <c r="M380" s="164">
        <v>0</v>
      </c>
      <c r="N380" s="164">
        <v>0</v>
      </c>
      <c r="O380" s="78">
        <v>0</v>
      </c>
      <c r="P380" s="164">
        <f t="shared" si="312"/>
        <v>0</v>
      </c>
      <c r="Q380" s="164">
        <v>0</v>
      </c>
      <c r="R380" s="164">
        <v>0</v>
      </c>
      <c r="S380" s="81">
        <v>0</v>
      </c>
      <c r="T380" s="78">
        <v>0</v>
      </c>
      <c r="U380" s="164">
        <v>0</v>
      </c>
      <c r="V380" s="164">
        <v>0</v>
      </c>
      <c r="W380" s="164">
        <v>0</v>
      </c>
      <c r="X380" s="81">
        <v>0</v>
      </c>
      <c r="Y380" s="78">
        <v>0</v>
      </c>
      <c r="Z380" s="164">
        <f t="shared" si="313"/>
        <v>0</v>
      </c>
      <c r="AA380" s="164">
        <v>0</v>
      </c>
      <c r="AB380" s="164">
        <v>0</v>
      </c>
      <c r="AC380" s="81">
        <v>0</v>
      </c>
      <c r="AD380" s="135"/>
    </row>
    <row r="381" spans="1:30" s="147" customFormat="1" ht="28.15" customHeight="1" outlineLevel="1" x14ac:dyDescent="0.2">
      <c r="A381" s="153" t="s">
        <v>1456</v>
      </c>
      <c r="B381" s="166" t="s">
        <v>211</v>
      </c>
      <c r="C381" s="78">
        <f t="shared" si="314"/>
        <v>0</v>
      </c>
      <c r="D381" s="164">
        <f t="shared" si="315"/>
        <v>0</v>
      </c>
      <c r="E381" s="117">
        <v>0</v>
      </c>
      <c r="F381" s="165">
        <f t="shared" si="316"/>
        <v>0</v>
      </c>
      <c r="G381" s="164">
        <v>0</v>
      </c>
      <c r="H381" s="164">
        <v>0</v>
      </c>
      <c r="I381" s="164">
        <v>0</v>
      </c>
      <c r="J381" s="117">
        <v>0</v>
      </c>
      <c r="K381" s="165">
        <f t="shared" si="311"/>
        <v>0</v>
      </c>
      <c r="L381" s="164">
        <v>0</v>
      </c>
      <c r="M381" s="164">
        <v>0</v>
      </c>
      <c r="N381" s="164">
        <v>0</v>
      </c>
      <c r="O381" s="78">
        <v>0</v>
      </c>
      <c r="P381" s="164">
        <f t="shared" si="312"/>
        <v>0</v>
      </c>
      <c r="Q381" s="164">
        <v>0</v>
      </c>
      <c r="R381" s="164">
        <v>0</v>
      </c>
      <c r="S381" s="81">
        <v>0</v>
      </c>
      <c r="T381" s="78">
        <v>0</v>
      </c>
      <c r="U381" s="164">
        <v>0</v>
      </c>
      <c r="V381" s="164">
        <v>0</v>
      </c>
      <c r="W381" s="164">
        <v>0</v>
      </c>
      <c r="X381" s="81">
        <v>0</v>
      </c>
      <c r="Y381" s="78">
        <v>0</v>
      </c>
      <c r="Z381" s="164">
        <f t="shared" si="313"/>
        <v>0</v>
      </c>
      <c r="AA381" s="164">
        <v>0</v>
      </c>
      <c r="AB381" s="164">
        <v>0</v>
      </c>
      <c r="AC381" s="81">
        <v>0</v>
      </c>
      <c r="AD381" s="135"/>
    </row>
    <row r="382" spans="1:30" s="147" customFormat="1" ht="28.15" customHeight="1" outlineLevel="1" x14ac:dyDescent="0.2">
      <c r="A382" s="153" t="s">
        <v>1457</v>
      </c>
      <c r="B382" s="166" t="s">
        <v>212</v>
      </c>
      <c r="C382" s="78">
        <f t="shared" si="314"/>
        <v>0</v>
      </c>
      <c r="D382" s="164">
        <f t="shared" si="315"/>
        <v>0</v>
      </c>
      <c r="E382" s="117">
        <v>0</v>
      </c>
      <c r="F382" s="165">
        <f t="shared" si="316"/>
        <v>0</v>
      </c>
      <c r="G382" s="164">
        <v>0</v>
      </c>
      <c r="H382" s="164">
        <v>0</v>
      </c>
      <c r="I382" s="164">
        <v>0</v>
      </c>
      <c r="J382" s="117">
        <v>0</v>
      </c>
      <c r="K382" s="165">
        <f t="shared" si="311"/>
        <v>0</v>
      </c>
      <c r="L382" s="164">
        <v>0</v>
      </c>
      <c r="M382" s="164">
        <v>0</v>
      </c>
      <c r="N382" s="164">
        <v>0</v>
      </c>
      <c r="O382" s="78">
        <v>0</v>
      </c>
      <c r="P382" s="164">
        <f t="shared" si="312"/>
        <v>0</v>
      </c>
      <c r="Q382" s="164">
        <v>0</v>
      </c>
      <c r="R382" s="164">
        <v>0</v>
      </c>
      <c r="S382" s="81">
        <v>0</v>
      </c>
      <c r="T382" s="78">
        <v>0</v>
      </c>
      <c r="U382" s="164">
        <v>0</v>
      </c>
      <c r="V382" s="164">
        <v>0</v>
      </c>
      <c r="W382" s="164">
        <v>0</v>
      </c>
      <c r="X382" s="81">
        <v>0</v>
      </c>
      <c r="Y382" s="78">
        <v>0</v>
      </c>
      <c r="Z382" s="164">
        <f t="shared" si="313"/>
        <v>0</v>
      </c>
      <c r="AA382" s="164">
        <v>0</v>
      </c>
      <c r="AB382" s="164">
        <v>0</v>
      </c>
      <c r="AC382" s="81">
        <v>0</v>
      </c>
      <c r="AD382" s="135"/>
    </row>
    <row r="383" spans="1:30" s="147" customFormat="1" ht="24" customHeight="1" outlineLevel="1" x14ac:dyDescent="0.2">
      <c r="A383" s="153" t="s">
        <v>1458</v>
      </c>
      <c r="B383" s="166" t="s">
        <v>213</v>
      </c>
      <c r="C383" s="78">
        <f t="shared" si="314"/>
        <v>0</v>
      </c>
      <c r="D383" s="164">
        <f t="shared" si="315"/>
        <v>0</v>
      </c>
      <c r="E383" s="117">
        <v>0</v>
      </c>
      <c r="F383" s="165">
        <f t="shared" si="316"/>
        <v>0</v>
      </c>
      <c r="G383" s="164">
        <v>0</v>
      </c>
      <c r="H383" s="164">
        <v>0</v>
      </c>
      <c r="I383" s="164">
        <v>0</v>
      </c>
      <c r="J383" s="117">
        <v>0</v>
      </c>
      <c r="K383" s="165">
        <f t="shared" si="311"/>
        <v>0</v>
      </c>
      <c r="L383" s="164">
        <v>0</v>
      </c>
      <c r="M383" s="164">
        <v>0</v>
      </c>
      <c r="N383" s="164">
        <v>0</v>
      </c>
      <c r="O383" s="78">
        <v>0</v>
      </c>
      <c r="P383" s="164">
        <f t="shared" si="312"/>
        <v>0</v>
      </c>
      <c r="Q383" s="164">
        <v>0</v>
      </c>
      <c r="R383" s="164">
        <v>0</v>
      </c>
      <c r="S383" s="81">
        <v>0</v>
      </c>
      <c r="T383" s="78">
        <v>0</v>
      </c>
      <c r="U383" s="164">
        <v>0</v>
      </c>
      <c r="V383" s="164">
        <v>0</v>
      </c>
      <c r="W383" s="164">
        <v>0</v>
      </c>
      <c r="X383" s="81">
        <v>0</v>
      </c>
      <c r="Y383" s="78">
        <v>0</v>
      </c>
      <c r="Z383" s="164">
        <f t="shared" si="313"/>
        <v>0</v>
      </c>
      <c r="AA383" s="164">
        <v>0</v>
      </c>
      <c r="AB383" s="164">
        <v>0</v>
      </c>
      <c r="AC383" s="81">
        <v>0</v>
      </c>
      <c r="AD383" s="135"/>
    </row>
    <row r="384" spans="1:30" s="147" customFormat="1" ht="26.45" customHeight="1" outlineLevel="1" x14ac:dyDescent="0.2">
      <c r="A384" s="153" t="s">
        <v>1459</v>
      </c>
      <c r="B384" s="166" t="s">
        <v>214</v>
      </c>
      <c r="C384" s="78">
        <f t="shared" si="314"/>
        <v>0</v>
      </c>
      <c r="D384" s="164">
        <f t="shared" si="315"/>
        <v>0</v>
      </c>
      <c r="E384" s="117">
        <v>0</v>
      </c>
      <c r="F384" s="165">
        <f t="shared" si="316"/>
        <v>0</v>
      </c>
      <c r="G384" s="164">
        <v>0</v>
      </c>
      <c r="H384" s="164">
        <v>0</v>
      </c>
      <c r="I384" s="164">
        <v>0</v>
      </c>
      <c r="J384" s="117">
        <v>0</v>
      </c>
      <c r="K384" s="165">
        <f t="shared" si="311"/>
        <v>0</v>
      </c>
      <c r="L384" s="164">
        <v>0</v>
      </c>
      <c r="M384" s="164">
        <v>0</v>
      </c>
      <c r="N384" s="164">
        <v>0</v>
      </c>
      <c r="O384" s="78">
        <v>0</v>
      </c>
      <c r="P384" s="164">
        <f t="shared" si="312"/>
        <v>0</v>
      </c>
      <c r="Q384" s="164">
        <v>0</v>
      </c>
      <c r="R384" s="164">
        <v>0</v>
      </c>
      <c r="S384" s="81">
        <v>0</v>
      </c>
      <c r="T384" s="78">
        <v>0</v>
      </c>
      <c r="U384" s="164">
        <v>0</v>
      </c>
      <c r="V384" s="164">
        <v>0</v>
      </c>
      <c r="W384" s="164">
        <v>0</v>
      </c>
      <c r="X384" s="81">
        <v>0</v>
      </c>
      <c r="Y384" s="78">
        <v>0</v>
      </c>
      <c r="Z384" s="164">
        <f t="shared" si="313"/>
        <v>0</v>
      </c>
      <c r="AA384" s="164">
        <v>0</v>
      </c>
      <c r="AB384" s="164">
        <v>0</v>
      </c>
      <c r="AC384" s="81">
        <v>0</v>
      </c>
      <c r="AD384" s="135"/>
    </row>
    <row r="385" spans="1:30" s="147" customFormat="1" ht="34.15" customHeight="1" outlineLevel="1" x14ac:dyDescent="0.2">
      <c r="A385" s="153" t="s">
        <v>1460</v>
      </c>
      <c r="B385" s="166" t="s">
        <v>215</v>
      </c>
      <c r="C385" s="78">
        <f t="shared" si="314"/>
        <v>0</v>
      </c>
      <c r="D385" s="164">
        <f t="shared" si="315"/>
        <v>0</v>
      </c>
      <c r="E385" s="117">
        <v>0</v>
      </c>
      <c r="F385" s="165">
        <f t="shared" si="316"/>
        <v>0</v>
      </c>
      <c r="G385" s="164">
        <v>0</v>
      </c>
      <c r="H385" s="164">
        <v>0</v>
      </c>
      <c r="I385" s="164">
        <v>0</v>
      </c>
      <c r="J385" s="117">
        <v>0</v>
      </c>
      <c r="K385" s="165">
        <f t="shared" si="311"/>
        <v>0</v>
      </c>
      <c r="L385" s="164">
        <v>0</v>
      </c>
      <c r="M385" s="164">
        <v>0</v>
      </c>
      <c r="N385" s="164">
        <v>0</v>
      </c>
      <c r="O385" s="78">
        <v>0</v>
      </c>
      <c r="P385" s="164">
        <f t="shared" si="312"/>
        <v>0</v>
      </c>
      <c r="Q385" s="164">
        <v>0</v>
      </c>
      <c r="R385" s="164">
        <v>0</v>
      </c>
      <c r="S385" s="81">
        <v>0</v>
      </c>
      <c r="T385" s="78">
        <v>0</v>
      </c>
      <c r="U385" s="164">
        <v>0</v>
      </c>
      <c r="V385" s="164">
        <v>0</v>
      </c>
      <c r="W385" s="164">
        <v>0</v>
      </c>
      <c r="X385" s="81">
        <v>0</v>
      </c>
      <c r="Y385" s="78">
        <v>0</v>
      </c>
      <c r="Z385" s="164">
        <f t="shared" si="313"/>
        <v>0</v>
      </c>
      <c r="AA385" s="164">
        <v>0</v>
      </c>
      <c r="AB385" s="164">
        <v>0</v>
      </c>
      <c r="AC385" s="81">
        <v>0</v>
      </c>
      <c r="AD385" s="135"/>
    </row>
    <row r="386" spans="1:30" s="147" customFormat="1" ht="28.9" customHeight="1" outlineLevel="1" x14ac:dyDescent="0.2">
      <c r="A386" s="153" t="s">
        <v>1461</v>
      </c>
      <c r="B386" s="166" t="s">
        <v>216</v>
      </c>
      <c r="C386" s="78">
        <f t="shared" si="314"/>
        <v>0</v>
      </c>
      <c r="D386" s="164">
        <f t="shared" si="315"/>
        <v>0</v>
      </c>
      <c r="E386" s="117">
        <v>0</v>
      </c>
      <c r="F386" s="165">
        <f t="shared" si="316"/>
        <v>0</v>
      </c>
      <c r="G386" s="164">
        <v>0</v>
      </c>
      <c r="H386" s="164">
        <v>0</v>
      </c>
      <c r="I386" s="164">
        <v>0</v>
      </c>
      <c r="J386" s="117">
        <v>0</v>
      </c>
      <c r="K386" s="165">
        <f t="shared" si="311"/>
        <v>0</v>
      </c>
      <c r="L386" s="164">
        <v>0</v>
      </c>
      <c r="M386" s="164">
        <v>0</v>
      </c>
      <c r="N386" s="164">
        <v>0</v>
      </c>
      <c r="O386" s="78">
        <v>0</v>
      </c>
      <c r="P386" s="164">
        <f t="shared" si="312"/>
        <v>0</v>
      </c>
      <c r="Q386" s="164">
        <v>0</v>
      </c>
      <c r="R386" s="164">
        <v>0</v>
      </c>
      <c r="S386" s="81">
        <v>0</v>
      </c>
      <c r="T386" s="78">
        <v>0</v>
      </c>
      <c r="U386" s="164">
        <v>0</v>
      </c>
      <c r="V386" s="164">
        <v>0</v>
      </c>
      <c r="W386" s="164">
        <v>0</v>
      </c>
      <c r="X386" s="81">
        <v>0</v>
      </c>
      <c r="Y386" s="78">
        <v>0</v>
      </c>
      <c r="Z386" s="164">
        <f t="shared" si="313"/>
        <v>0</v>
      </c>
      <c r="AA386" s="164">
        <v>0</v>
      </c>
      <c r="AB386" s="164">
        <v>0</v>
      </c>
      <c r="AC386" s="81">
        <v>0</v>
      </c>
      <c r="AD386" s="135"/>
    </row>
    <row r="387" spans="1:30" s="147" customFormat="1" ht="26.45" customHeight="1" outlineLevel="1" x14ac:dyDescent="0.2">
      <c r="A387" s="153" t="s">
        <v>1462</v>
      </c>
      <c r="B387" s="166" t="s">
        <v>217</v>
      </c>
      <c r="C387" s="78">
        <f t="shared" si="314"/>
        <v>0</v>
      </c>
      <c r="D387" s="164">
        <f t="shared" si="315"/>
        <v>0</v>
      </c>
      <c r="E387" s="117">
        <v>0</v>
      </c>
      <c r="F387" s="165">
        <f t="shared" si="316"/>
        <v>0</v>
      </c>
      <c r="G387" s="164">
        <v>0</v>
      </c>
      <c r="H387" s="164">
        <v>0</v>
      </c>
      <c r="I387" s="164">
        <v>0</v>
      </c>
      <c r="J387" s="117">
        <v>0</v>
      </c>
      <c r="K387" s="165">
        <f t="shared" si="311"/>
        <v>0</v>
      </c>
      <c r="L387" s="164">
        <v>0</v>
      </c>
      <c r="M387" s="164">
        <v>0</v>
      </c>
      <c r="N387" s="164">
        <v>0</v>
      </c>
      <c r="O387" s="78">
        <v>0</v>
      </c>
      <c r="P387" s="164">
        <f t="shared" si="312"/>
        <v>0</v>
      </c>
      <c r="Q387" s="164">
        <v>0</v>
      </c>
      <c r="R387" s="164">
        <v>0</v>
      </c>
      <c r="S387" s="81">
        <v>0</v>
      </c>
      <c r="T387" s="78">
        <v>0</v>
      </c>
      <c r="U387" s="164">
        <v>0</v>
      </c>
      <c r="V387" s="164">
        <v>0</v>
      </c>
      <c r="W387" s="164">
        <v>0</v>
      </c>
      <c r="X387" s="81">
        <v>0</v>
      </c>
      <c r="Y387" s="78">
        <v>0</v>
      </c>
      <c r="Z387" s="164">
        <f t="shared" si="313"/>
        <v>0</v>
      </c>
      <c r="AA387" s="164">
        <v>0</v>
      </c>
      <c r="AB387" s="164">
        <v>0</v>
      </c>
      <c r="AC387" s="81">
        <v>0</v>
      </c>
      <c r="AD387" s="135"/>
    </row>
    <row r="388" spans="1:30" s="147" customFormat="1" ht="24" customHeight="1" outlineLevel="1" x14ac:dyDescent="0.2">
      <c r="A388" s="153" t="s">
        <v>1463</v>
      </c>
      <c r="B388" s="166" t="s">
        <v>218</v>
      </c>
      <c r="C388" s="78">
        <f t="shared" si="314"/>
        <v>0</v>
      </c>
      <c r="D388" s="164">
        <f t="shared" si="315"/>
        <v>0</v>
      </c>
      <c r="E388" s="117">
        <v>0</v>
      </c>
      <c r="F388" s="165">
        <f t="shared" si="316"/>
        <v>0</v>
      </c>
      <c r="G388" s="164">
        <v>0</v>
      </c>
      <c r="H388" s="164">
        <v>0</v>
      </c>
      <c r="I388" s="164">
        <v>0</v>
      </c>
      <c r="J388" s="117">
        <v>0</v>
      </c>
      <c r="K388" s="165">
        <f t="shared" si="311"/>
        <v>0</v>
      </c>
      <c r="L388" s="164">
        <v>0</v>
      </c>
      <c r="M388" s="164">
        <v>0</v>
      </c>
      <c r="N388" s="164">
        <v>0</v>
      </c>
      <c r="O388" s="78">
        <v>0</v>
      </c>
      <c r="P388" s="164">
        <f t="shared" si="312"/>
        <v>0</v>
      </c>
      <c r="Q388" s="164">
        <v>0</v>
      </c>
      <c r="R388" s="164">
        <v>0</v>
      </c>
      <c r="S388" s="81">
        <v>0</v>
      </c>
      <c r="T388" s="78">
        <v>0</v>
      </c>
      <c r="U388" s="164">
        <v>0</v>
      </c>
      <c r="V388" s="164">
        <v>0</v>
      </c>
      <c r="W388" s="164">
        <v>0</v>
      </c>
      <c r="X388" s="81">
        <v>0</v>
      </c>
      <c r="Y388" s="78">
        <v>0</v>
      </c>
      <c r="Z388" s="164">
        <f t="shared" si="313"/>
        <v>0</v>
      </c>
      <c r="AA388" s="164">
        <v>0</v>
      </c>
      <c r="AB388" s="164">
        <v>0</v>
      </c>
      <c r="AC388" s="81">
        <v>0</v>
      </c>
      <c r="AD388" s="135"/>
    </row>
    <row r="389" spans="1:30" s="147" customFormat="1" ht="24" customHeight="1" outlineLevel="1" x14ac:dyDescent="0.2">
      <c r="A389" s="153" t="s">
        <v>1464</v>
      </c>
      <c r="B389" s="166" t="s">
        <v>219</v>
      </c>
      <c r="C389" s="78">
        <f t="shared" si="314"/>
        <v>0</v>
      </c>
      <c r="D389" s="164">
        <f t="shared" si="315"/>
        <v>0</v>
      </c>
      <c r="E389" s="117">
        <v>0</v>
      </c>
      <c r="F389" s="165">
        <f t="shared" si="316"/>
        <v>0</v>
      </c>
      <c r="G389" s="164">
        <v>0</v>
      </c>
      <c r="H389" s="164">
        <v>0</v>
      </c>
      <c r="I389" s="164">
        <v>0</v>
      </c>
      <c r="J389" s="117">
        <v>0</v>
      </c>
      <c r="K389" s="165">
        <f t="shared" si="311"/>
        <v>0</v>
      </c>
      <c r="L389" s="164">
        <v>0</v>
      </c>
      <c r="M389" s="164">
        <v>0</v>
      </c>
      <c r="N389" s="164">
        <v>0</v>
      </c>
      <c r="O389" s="78">
        <v>0</v>
      </c>
      <c r="P389" s="164">
        <f t="shared" si="312"/>
        <v>0</v>
      </c>
      <c r="Q389" s="164">
        <v>0</v>
      </c>
      <c r="R389" s="164">
        <v>0</v>
      </c>
      <c r="S389" s="81">
        <v>0</v>
      </c>
      <c r="T389" s="78">
        <v>0</v>
      </c>
      <c r="U389" s="164">
        <v>0</v>
      </c>
      <c r="V389" s="164">
        <v>0</v>
      </c>
      <c r="W389" s="164">
        <v>0</v>
      </c>
      <c r="X389" s="81">
        <v>0</v>
      </c>
      <c r="Y389" s="78">
        <v>0</v>
      </c>
      <c r="Z389" s="164">
        <f t="shared" si="313"/>
        <v>0</v>
      </c>
      <c r="AA389" s="164">
        <v>0</v>
      </c>
      <c r="AB389" s="164">
        <v>0</v>
      </c>
      <c r="AC389" s="81">
        <v>0</v>
      </c>
      <c r="AD389" s="135"/>
    </row>
    <row r="390" spans="1:30" s="147" customFormat="1" ht="37.9" customHeight="1" outlineLevel="1" x14ac:dyDescent="0.2">
      <c r="A390" s="153" t="s">
        <v>1465</v>
      </c>
      <c r="B390" s="166" t="s">
        <v>340</v>
      </c>
      <c r="C390" s="78">
        <f t="shared" si="314"/>
        <v>0</v>
      </c>
      <c r="D390" s="164">
        <f t="shared" si="315"/>
        <v>0</v>
      </c>
      <c r="E390" s="117">
        <v>0</v>
      </c>
      <c r="F390" s="165">
        <f t="shared" si="316"/>
        <v>0</v>
      </c>
      <c r="G390" s="164">
        <v>0</v>
      </c>
      <c r="H390" s="164">
        <v>0</v>
      </c>
      <c r="I390" s="164">
        <v>0</v>
      </c>
      <c r="J390" s="117">
        <v>0</v>
      </c>
      <c r="K390" s="165">
        <f t="shared" si="311"/>
        <v>0</v>
      </c>
      <c r="L390" s="164">
        <v>0</v>
      </c>
      <c r="M390" s="164">
        <v>0</v>
      </c>
      <c r="N390" s="164">
        <v>0</v>
      </c>
      <c r="O390" s="78">
        <v>0</v>
      </c>
      <c r="P390" s="164">
        <f t="shared" si="312"/>
        <v>0</v>
      </c>
      <c r="Q390" s="164">
        <v>0</v>
      </c>
      <c r="R390" s="164">
        <v>0</v>
      </c>
      <c r="S390" s="81">
        <v>0</v>
      </c>
      <c r="T390" s="78">
        <v>0</v>
      </c>
      <c r="U390" s="164">
        <v>0</v>
      </c>
      <c r="V390" s="164">
        <v>0</v>
      </c>
      <c r="W390" s="164">
        <v>0</v>
      </c>
      <c r="X390" s="81">
        <v>0</v>
      </c>
      <c r="Y390" s="78">
        <v>0</v>
      </c>
      <c r="Z390" s="164">
        <f t="shared" si="313"/>
        <v>0</v>
      </c>
      <c r="AA390" s="164">
        <v>0</v>
      </c>
      <c r="AB390" s="164">
        <v>0</v>
      </c>
      <c r="AC390" s="81">
        <v>0</v>
      </c>
      <c r="AD390" s="135"/>
    </row>
    <row r="391" spans="1:30" s="147" customFormat="1" ht="29.45" customHeight="1" outlineLevel="1" x14ac:dyDescent="0.2">
      <c r="A391" s="153" t="s">
        <v>1466</v>
      </c>
      <c r="B391" s="166" t="s">
        <v>220</v>
      </c>
      <c r="C391" s="78">
        <f t="shared" si="314"/>
        <v>0</v>
      </c>
      <c r="D391" s="164">
        <f t="shared" si="315"/>
        <v>0</v>
      </c>
      <c r="E391" s="117">
        <v>0</v>
      </c>
      <c r="F391" s="165">
        <f t="shared" si="316"/>
        <v>0</v>
      </c>
      <c r="G391" s="164">
        <v>0</v>
      </c>
      <c r="H391" s="164">
        <v>0</v>
      </c>
      <c r="I391" s="164">
        <v>0</v>
      </c>
      <c r="J391" s="117">
        <v>0</v>
      </c>
      <c r="K391" s="165">
        <f t="shared" si="311"/>
        <v>0</v>
      </c>
      <c r="L391" s="164">
        <v>0</v>
      </c>
      <c r="M391" s="164">
        <v>0</v>
      </c>
      <c r="N391" s="164">
        <v>0</v>
      </c>
      <c r="O391" s="78">
        <v>0</v>
      </c>
      <c r="P391" s="164">
        <f t="shared" si="312"/>
        <v>0</v>
      </c>
      <c r="Q391" s="164">
        <v>0</v>
      </c>
      <c r="R391" s="164">
        <v>0</v>
      </c>
      <c r="S391" s="81">
        <v>0</v>
      </c>
      <c r="T391" s="78">
        <v>0</v>
      </c>
      <c r="U391" s="164">
        <v>0</v>
      </c>
      <c r="V391" s="164">
        <v>0</v>
      </c>
      <c r="W391" s="164">
        <v>0</v>
      </c>
      <c r="X391" s="81">
        <v>0</v>
      </c>
      <c r="Y391" s="78">
        <v>0</v>
      </c>
      <c r="Z391" s="164">
        <f t="shared" si="313"/>
        <v>0</v>
      </c>
      <c r="AA391" s="164">
        <v>0</v>
      </c>
      <c r="AB391" s="164">
        <v>0</v>
      </c>
      <c r="AC391" s="81">
        <v>0</v>
      </c>
      <c r="AD391" s="135"/>
    </row>
    <row r="392" spans="1:30" s="147" customFormat="1" ht="25.15" customHeight="1" outlineLevel="1" x14ac:dyDescent="0.2">
      <c r="A392" s="153" t="s">
        <v>1467</v>
      </c>
      <c r="B392" s="166" t="s">
        <v>221</v>
      </c>
      <c r="C392" s="78">
        <f t="shared" si="314"/>
        <v>0</v>
      </c>
      <c r="D392" s="164">
        <f t="shared" si="315"/>
        <v>0</v>
      </c>
      <c r="E392" s="117">
        <v>0</v>
      </c>
      <c r="F392" s="165">
        <f t="shared" si="316"/>
        <v>0</v>
      </c>
      <c r="G392" s="164">
        <v>0</v>
      </c>
      <c r="H392" s="164">
        <v>0</v>
      </c>
      <c r="I392" s="164">
        <v>0</v>
      </c>
      <c r="J392" s="117">
        <v>0</v>
      </c>
      <c r="K392" s="165">
        <f t="shared" si="311"/>
        <v>0</v>
      </c>
      <c r="L392" s="164">
        <v>0</v>
      </c>
      <c r="M392" s="164">
        <v>0</v>
      </c>
      <c r="N392" s="164">
        <v>0</v>
      </c>
      <c r="O392" s="78">
        <v>0</v>
      </c>
      <c r="P392" s="164">
        <f t="shared" si="312"/>
        <v>0</v>
      </c>
      <c r="Q392" s="164">
        <v>0</v>
      </c>
      <c r="R392" s="164">
        <v>0</v>
      </c>
      <c r="S392" s="81">
        <v>0</v>
      </c>
      <c r="T392" s="78">
        <v>0</v>
      </c>
      <c r="U392" s="164">
        <v>0</v>
      </c>
      <c r="V392" s="164">
        <v>0</v>
      </c>
      <c r="W392" s="164">
        <v>0</v>
      </c>
      <c r="X392" s="81">
        <v>0</v>
      </c>
      <c r="Y392" s="78">
        <v>0</v>
      </c>
      <c r="Z392" s="164">
        <f t="shared" si="313"/>
        <v>0</v>
      </c>
      <c r="AA392" s="164">
        <v>0</v>
      </c>
      <c r="AB392" s="164">
        <v>0</v>
      </c>
      <c r="AC392" s="81">
        <v>0</v>
      </c>
      <c r="AD392" s="135"/>
    </row>
    <row r="393" spans="1:30" s="147" customFormat="1" ht="37.15" customHeight="1" outlineLevel="1" x14ac:dyDescent="0.2">
      <c r="A393" s="153" t="s">
        <v>1468</v>
      </c>
      <c r="B393" s="166" t="s">
        <v>222</v>
      </c>
      <c r="C393" s="78">
        <f t="shared" si="314"/>
        <v>0</v>
      </c>
      <c r="D393" s="164">
        <f t="shared" si="315"/>
        <v>0</v>
      </c>
      <c r="E393" s="117">
        <v>0</v>
      </c>
      <c r="F393" s="165">
        <f t="shared" si="316"/>
        <v>0</v>
      </c>
      <c r="G393" s="164">
        <v>0</v>
      </c>
      <c r="H393" s="164">
        <v>0</v>
      </c>
      <c r="I393" s="164">
        <v>0</v>
      </c>
      <c r="J393" s="117">
        <v>0</v>
      </c>
      <c r="K393" s="165">
        <f t="shared" si="311"/>
        <v>0</v>
      </c>
      <c r="L393" s="164">
        <v>0</v>
      </c>
      <c r="M393" s="164">
        <v>0</v>
      </c>
      <c r="N393" s="164">
        <v>0</v>
      </c>
      <c r="O393" s="78">
        <v>0</v>
      </c>
      <c r="P393" s="164">
        <f t="shared" si="312"/>
        <v>0</v>
      </c>
      <c r="Q393" s="164">
        <v>0</v>
      </c>
      <c r="R393" s="164">
        <v>0</v>
      </c>
      <c r="S393" s="81">
        <v>0</v>
      </c>
      <c r="T393" s="78">
        <v>0</v>
      </c>
      <c r="U393" s="164">
        <v>0</v>
      </c>
      <c r="V393" s="164">
        <v>0</v>
      </c>
      <c r="W393" s="164">
        <v>0</v>
      </c>
      <c r="X393" s="81">
        <v>0</v>
      </c>
      <c r="Y393" s="78">
        <v>0</v>
      </c>
      <c r="Z393" s="164">
        <f t="shared" si="313"/>
        <v>0</v>
      </c>
      <c r="AA393" s="164">
        <v>0</v>
      </c>
      <c r="AB393" s="164">
        <v>0</v>
      </c>
      <c r="AC393" s="81">
        <v>0</v>
      </c>
      <c r="AD393" s="135"/>
    </row>
    <row r="394" spans="1:30" s="147" customFormat="1" ht="25.9" customHeight="1" outlineLevel="1" x14ac:dyDescent="0.2">
      <c r="A394" s="153" t="s">
        <v>1469</v>
      </c>
      <c r="B394" s="166" t="s">
        <v>341</v>
      </c>
      <c r="C394" s="78">
        <f t="shared" si="314"/>
        <v>0</v>
      </c>
      <c r="D394" s="164">
        <f t="shared" si="315"/>
        <v>0</v>
      </c>
      <c r="E394" s="117">
        <v>0</v>
      </c>
      <c r="F394" s="165">
        <f t="shared" si="316"/>
        <v>0</v>
      </c>
      <c r="G394" s="164">
        <v>0</v>
      </c>
      <c r="H394" s="164">
        <v>0</v>
      </c>
      <c r="I394" s="164">
        <v>0</v>
      </c>
      <c r="J394" s="117">
        <v>0</v>
      </c>
      <c r="K394" s="165">
        <f t="shared" si="311"/>
        <v>0</v>
      </c>
      <c r="L394" s="164">
        <v>0</v>
      </c>
      <c r="M394" s="164">
        <v>0</v>
      </c>
      <c r="N394" s="164">
        <v>0</v>
      </c>
      <c r="O394" s="78">
        <v>0</v>
      </c>
      <c r="P394" s="164">
        <f t="shared" si="312"/>
        <v>0</v>
      </c>
      <c r="Q394" s="164">
        <v>0</v>
      </c>
      <c r="R394" s="164">
        <v>0</v>
      </c>
      <c r="S394" s="81">
        <v>0</v>
      </c>
      <c r="T394" s="78">
        <v>0</v>
      </c>
      <c r="U394" s="164">
        <v>0</v>
      </c>
      <c r="V394" s="164">
        <v>0</v>
      </c>
      <c r="W394" s="164">
        <v>0</v>
      </c>
      <c r="X394" s="81">
        <v>0</v>
      </c>
      <c r="Y394" s="78">
        <v>0</v>
      </c>
      <c r="Z394" s="164">
        <f t="shared" si="313"/>
        <v>0</v>
      </c>
      <c r="AA394" s="164">
        <v>0</v>
      </c>
      <c r="AB394" s="164">
        <v>0</v>
      </c>
      <c r="AC394" s="81">
        <v>0</v>
      </c>
      <c r="AD394" s="135"/>
    </row>
    <row r="395" spans="1:30" s="147" customFormat="1" ht="29.45" customHeight="1" outlineLevel="1" x14ac:dyDescent="0.2">
      <c r="A395" s="153" t="s">
        <v>1470</v>
      </c>
      <c r="B395" s="166" t="s">
        <v>342</v>
      </c>
      <c r="C395" s="78">
        <f t="shared" si="314"/>
        <v>0</v>
      </c>
      <c r="D395" s="164">
        <f t="shared" si="315"/>
        <v>0</v>
      </c>
      <c r="E395" s="117">
        <v>0</v>
      </c>
      <c r="F395" s="165">
        <f t="shared" si="316"/>
        <v>0</v>
      </c>
      <c r="G395" s="164">
        <v>0</v>
      </c>
      <c r="H395" s="164">
        <v>0</v>
      </c>
      <c r="I395" s="164">
        <v>0</v>
      </c>
      <c r="J395" s="117">
        <v>0</v>
      </c>
      <c r="K395" s="165">
        <f t="shared" si="311"/>
        <v>0</v>
      </c>
      <c r="L395" s="164">
        <v>0</v>
      </c>
      <c r="M395" s="164">
        <v>0</v>
      </c>
      <c r="N395" s="164">
        <v>0</v>
      </c>
      <c r="O395" s="78">
        <v>0</v>
      </c>
      <c r="P395" s="164">
        <f t="shared" si="312"/>
        <v>0</v>
      </c>
      <c r="Q395" s="164">
        <v>0</v>
      </c>
      <c r="R395" s="164">
        <v>0</v>
      </c>
      <c r="S395" s="81">
        <v>0</v>
      </c>
      <c r="T395" s="78">
        <v>0</v>
      </c>
      <c r="U395" s="164">
        <v>0</v>
      </c>
      <c r="V395" s="164">
        <v>0</v>
      </c>
      <c r="W395" s="164">
        <v>0</v>
      </c>
      <c r="X395" s="81">
        <v>0</v>
      </c>
      <c r="Y395" s="78">
        <v>0</v>
      </c>
      <c r="Z395" s="164">
        <f t="shared" si="313"/>
        <v>0</v>
      </c>
      <c r="AA395" s="164">
        <v>0</v>
      </c>
      <c r="AB395" s="164">
        <v>0</v>
      </c>
      <c r="AC395" s="81">
        <v>0</v>
      </c>
      <c r="AD395" s="135"/>
    </row>
    <row r="396" spans="1:30" s="147" customFormat="1" ht="25.15" customHeight="1" outlineLevel="1" x14ac:dyDescent="0.2">
      <c r="A396" s="153" t="s">
        <v>1471</v>
      </c>
      <c r="B396" s="166" t="s">
        <v>343</v>
      </c>
      <c r="C396" s="78">
        <f t="shared" si="314"/>
        <v>0</v>
      </c>
      <c r="D396" s="164">
        <f t="shared" si="315"/>
        <v>0</v>
      </c>
      <c r="E396" s="117">
        <v>0</v>
      </c>
      <c r="F396" s="165">
        <f t="shared" si="316"/>
        <v>0</v>
      </c>
      <c r="G396" s="164">
        <v>0</v>
      </c>
      <c r="H396" s="164">
        <v>0</v>
      </c>
      <c r="I396" s="164">
        <v>0</v>
      </c>
      <c r="J396" s="117">
        <v>0</v>
      </c>
      <c r="K396" s="165">
        <f t="shared" si="311"/>
        <v>0</v>
      </c>
      <c r="L396" s="164">
        <v>0</v>
      </c>
      <c r="M396" s="164">
        <v>0</v>
      </c>
      <c r="N396" s="164">
        <v>0</v>
      </c>
      <c r="O396" s="78">
        <v>0</v>
      </c>
      <c r="P396" s="164">
        <f t="shared" si="312"/>
        <v>0</v>
      </c>
      <c r="Q396" s="164">
        <v>0</v>
      </c>
      <c r="R396" s="164">
        <v>0</v>
      </c>
      <c r="S396" s="81">
        <v>0</v>
      </c>
      <c r="T396" s="78">
        <v>0</v>
      </c>
      <c r="U396" s="164">
        <v>0</v>
      </c>
      <c r="V396" s="164">
        <v>0</v>
      </c>
      <c r="W396" s="164">
        <v>0</v>
      </c>
      <c r="X396" s="81">
        <v>0</v>
      </c>
      <c r="Y396" s="78">
        <v>0</v>
      </c>
      <c r="Z396" s="164">
        <f t="shared" si="313"/>
        <v>0</v>
      </c>
      <c r="AA396" s="164">
        <v>0</v>
      </c>
      <c r="AB396" s="164">
        <v>0</v>
      </c>
      <c r="AC396" s="81">
        <v>0</v>
      </c>
      <c r="AD396" s="135"/>
    </row>
    <row r="397" spans="1:30" s="147" customFormat="1" ht="27" customHeight="1" outlineLevel="1" x14ac:dyDescent="0.2">
      <c r="A397" s="153" t="s">
        <v>1472</v>
      </c>
      <c r="B397" s="166" t="s">
        <v>344</v>
      </c>
      <c r="C397" s="78">
        <f t="shared" si="314"/>
        <v>0</v>
      </c>
      <c r="D397" s="164">
        <f t="shared" si="315"/>
        <v>0</v>
      </c>
      <c r="E397" s="117">
        <v>0</v>
      </c>
      <c r="F397" s="165">
        <f t="shared" si="316"/>
        <v>0</v>
      </c>
      <c r="G397" s="164">
        <v>0</v>
      </c>
      <c r="H397" s="164">
        <v>0</v>
      </c>
      <c r="I397" s="164">
        <v>0</v>
      </c>
      <c r="J397" s="117">
        <v>0</v>
      </c>
      <c r="K397" s="165">
        <f t="shared" si="311"/>
        <v>0</v>
      </c>
      <c r="L397" s="164">
        <v>0</v>
      </c>
      <c r="M397" s="164">
        <v>0</v>
      </c>
      <c r="N397" s="164">
        <v>0</v>
      </c>
      <c r="O397" s="78">
        <v>0</v>
      </c>
      <c r="P397" s="164">
        <f t="shared" si="312"/>
        <v>0</v>
      </c>
      <c r="Q397" s="164">
        <v>0</v>
      </c>
      <c r="R397" s="164">
        <v>0</v>
      </c>
      <c r="S397" s="81">
        <v>0</v>
      </c>
      <c r="T397" s="78">
        <v>0</v>
      </c>
      <c r="U397" s="164">
        <v>0</v>
      </c>
      <c r="V397" s="164">
        <v>0</v>
      </c>
      <c r="W397" s="164">
        <v>0</v>
      </c>
      <c r="X397" s="81">
        <v>0</v>
      </c>
      <c r="Y397" s="78">
        <v>0</v>
      </c>
      <c r="Z397" s="164">
        <f t="shared" si="313"/>
        <v>0</v>
      </c>
      <c r="AA397" s="164">
        <v>0</v>
      </c>
      <c r="AB397" s="164">
        <v>0</v>
      </c>
      <c r="AC397" s="81">
        <v>0</v>
      </c>
      <c r="AD397" s="135"/>
    </row>
    <row r="398" spans="1:30" s="147" customFormat="1" ht="25.15" customHeight="1" outlineLevel="1" x14ac:dyDescent="0.2">
      <c r="A398" s="153" t="s">
        <v>1473</v>
      </c>
      <c r="B398" s="166" t="s">
        <v>223</v>
      </c>
      <c r="C398" s="78">
        <f t="shared" si="314"/>
        <v>0</v>
      </c>
      <c r="D398" s="164">
        <f t="shared" si="315"/>
        <v>0</v>
      </c>
      <c r="E398" s="117">
        <v>0</v>
      </c>
      <c r="F398" s="165">
        <f t="shared" si="316"/>
        <v>0</v>
      </c>
      <c r="G398" s="164">
        <v>0</v>
      </c>
      <c r="H398" s="164">
        <v>0</v>
      </c>
      <c r="I398" s="164">
        <v>0</v>
      </c>
      <c r="J398" s="117">
        <v>0</v>
      </c>
      <c r="K398" s="165">
        <f t="shared" si="311"/>
        <v>0</v>
      </c>
      <c r="L398" s="164">
        <v>0</v>
      </c>
      <c r="M398" s="164">
        <v>0</v>
      </c>
      <c r="N398" s="164">
        <v>0</v>
      </c>
      <c r="O398" s="78">
        <v>0</v>
      </c>
      <c r="P398" s="164">
        <f t="shared" si="312"/>
        <v>0</v>
      </c>
      <c r="Q398" s="164">
        <v>0</v>
      </c>
      <c r="R398" s="164">
        <v>0</v>
      </c>
      <c r="S398" s="81">
        <v>0</v>
      </c>
      <c r="T398" s="78">
        <v>0</v>
      </c>
      <c r="U398" s="164">
        <v>0</v>
      </c>
      <c r="V398" s="164">
        <v>0</v>
      </c>
      <c r="W398" s="164">
        <v>0</v>
      </c>
      <c r="X398" s="81">
        <v>0</v>
      </c>
      <c r="Y398" s="78">
        <v>0</v>
      </c>
      <c r="Z398" s="164">
        <f t="shared" si="313"/>
        <v>0</v>
      </c>
      <c r="AA398" s="164">
        <v>0</v>
      </c>
      <c r="AB398" s="164">
        <v>0</v>
      </c>
      <c r="AC398" s="81">
        <v>0</v>
      </c>
      <c r="AD398" s="135"/>
    </row>
    <row r="399" spans="1:30" s="147" customFormat="1" ht="22.9" customHeight="1" outlineLevel="1" x14ac:dyDescent="0.2">
      <c r="A399" s="153" t="s">
        <v>1474</v>
      </c>
      <c r="B399" s="166" t="s">
        <v>224</v>
      </c>
      <c r="C399" s="78">
        <f t="shared" si="314"/>
        <v>0</v>
      </c>
      <c r="D399" s="164">
        <f t="shared" si="315"/>
        <v>0</v>
      </c>
      <c r="E399" s="117">
        <v>0</v>
      </c>
      <c r="F399" s="165">
        <f t="shared" si="316"/>
        <v>0</v>
      </c>
      <c r="G399" s="164">
        <v>0</v>
      </c>
      <c r="H399" s="164">
        <v>0</v>
      </c>
      <c r="I399" s="164">
        <v>0</v>
      </c>
      <c r="J399" s="117">
        <v>0</v>
      </c>
      <c r="K399" s="165">
        <f t="shared" si="311"/>
        <v>0</v>
      </c>
      <c r="L399" s="164">
        <v>0</v>
      </c>
      <c r="M399" s="164">
        <v>0</v>
      </c>
      <c r="N399" s="164">
        <v>0</v>
      </c>
      <c r="O399" s="78">
        <v>0</v>
      </c>
      <c r="P399" s="164">
        <f t="shared" si="312"/>
        <v>0</v>
      </c>
      <c r="Q399" s="164">
        <v>0</v>
      </c>
      <c r="R399" s="164">
        <v>0</v>
      </c>
      <c r="S399" s="81">
        <v>0</v>
      </c>
      <c r="T399" s="78">
        <v>0</v>
      </c>
      <c r="U399" s="164">
        <v>0</v>
      </c>
      <c r="V399" s="164">
        <v>0</v>
      </c>
      <c r="W399" s="164">
        <v>0</v>
      </c>
      <c r="X399" s="81">
        <v>0</v>
      </c>
      <c r="Y399" s="78">
        <v>0</v>
      </c>
      <c r="Z399" s="164">
        <f t="shared" si="313"/>
        <v>0</v>
      </c>
      <c r="AA399" s="164">
        <v>0</v>
      </c>
      <c r="AB399" s="164">
        <v>0</v>
      </c>
      <c r="AC399" s="81">
        <v>0</v>
      </c>
      <c r="AD399" s="135"/>
    </row>
    <row r="400" spans="1:30" s="147" customFormat="1" ht="31.15" customHeight="1" outlineLevel="1" x14ac:dyDescent="0.2">
      <c r="A400" s="153" t="s">
        <v>1475</v>
      </c>
      <c r="B400" s="166" t="s">
        <v>225</v>
      </c>
      <c r="C400" s="78">
        <f t="shared" si="314"/>
        <v>0</v>
      </c>
      <c r="D400" s="164">
        <f t="shared" si="315"/>
        <v>0</v>
      </c>
      <c r="E400" s="117">
        <v>0</v>
      </c>
      <c r="F400" s="165">
        <f t="shared" si="316"/>
        <v>0</v>
      </c>
      <c r="G400" s="164">
        <v>0</v>
      </c>
      <c r="H400" s="164">
        <v>0</v>
      </c>
      <c r="I400" s="164">
        <v>0</v>
      </c>
      <c r="J400" s="117">
        <v>0</v>
      </c>
      <c r="K400" s="165">
        <f t="shared" si="311"/>
        <v>0</v>
      </c>
      <c r="L400" s="164">
        <v>0</v>
      </c>
      <c r="M400" s="164">
        <v>0</v>
      </c>
      <c r="N400" s="164">
        <v>0</v>
      </c>
      <c r="O400" s="78">
        <v>0</v>
      </c>
      <c r="P400" s="164">
        <f t="shared" si="312"/>
        <v>0</v>
      </c>
      <c r="Q400" s="164">
        <v>0</v>
      </c>
      <c r="R400" s="164">
        <v>0</v>
      </c>
      <c r="S400" s="81">
        <v>0</v>
      </c>
      <c r="T400" s="78">
        <v>0</v>
      </c>
      <c r="U400" s="164">
        <v>0</v>
      </c>
      <c r="V400" s="164">
        <v>0</v>
      </c>
      <c r="W400" s="164">
        <v>0</v>
      </c>
      <c r="X400" s="81">
        <v>0</v>
      </c>
      <c r="Y400" s="78">
        <v>0</v>
      </c>
      <c r="Z400" s="164">
        <f t="shared" si="313"/>
        <v>0</v>
      </c>
      <c r="AA400" s="164">
        <v>0</v>
      </c>
      <c r="AB400" s="164">
        <v>0</v>
      </c>
      <c r="AC400" s="81">
        <v>0</v>
      </c>
      <c r="AD400" s="135"/>
    </row>
    <row r="401" spans="1:30" s="147" customFormat="1" ht="31.15" customHeight="1" outlineLevel="1" x14ac:dyDescent="0.2">
      <c r="A401" s="153" t="s">
        <v>1476</v>
      </c>
      <c r="B401" s="166" t="s">
        <v>226</v>
      </c>
      <c r="C401" s="78">
        <f t="shared" si="314"/>
        <v>0</v>
      </c>
      <c r="D401" s="164">
        <f t="shared" si="315"/>
        <v>0</v>
      </c>
      <c r="E401" s="117">
        <v>0</v>
      </c>
      <c r="F401" s="165">
        <f t="shared" si="316"/>
        <v>0</v>
      </c>
      <c r="G401" s="164">
        <v>0</v>
      </c>
      <c r="H401" s="164">
        <v>0</v>
      </c>
      <c r="I401" s="164">
        <v>0</v>
      </c>
      <c r="J401" s="117">
        <v>0</v>
      </c>
      <c r="K401" s="165">
        <f t="shared" si="311"/>
        <v>0</v>
      </c>
      <c r="L401" s="164">
        <v>0</v>
      </c>
      <c r="M401" s="164">
        <v>0</v>
      </c>
      <c r="N401" s="164">
        <v>0</v>
      </c>
      <c r="O401" s="78">
        <v>0</v>
      </c>
      <c r="P401" s="164">
        <f t="shared" si="312"/>
        <v>0</v>
      </c>
      <c r="Q401" s="164">
        <v>0</v>
      </c>
      <c r="R401" s="164">
        <v>0</v>
      </c>
      <c r="S401" s="81">
        <v>0</v>
      </c>
      <c r="T401" s="78">
        <v>0</v>
      </c>
      <c r="U401" s="164">
        <v>0</v>
      </c>
      <c r="V401" s="164">
        <v>0</v>
      </c>
      <c r="W401" s="164">
        <v>0</v>
      </c>
      <c r="X401" s="81">
        <v>0</v>
      </c>
      <c r="Y401" s="78">
        <v>0</v>
      </c>
      <c r="Z401" s="164">
        <f t="shared" si="313"/>
        <v>0</v>
      </c>
      <c r="AA401" s="164">
        <v>0</v>
      </c>
      <c r="AB401" s="164">
        <v>0</v>
      </c>
      <c r="AC401" s="81">
        <v>0</v>
      </c>
      <c r="AD401" s="135"/>
    </row>
    <row r="402" spans="1:30" s="147" customFormat="1" ht="31.9" customHeight="1" outlineLevel="1" x14ac:dyDescent="0.2">
      <c r="A402" s="153" t="s">
        <v>1477</v>
      </c>
      <c r="B402" s="166" t="s">
        <v>227</v>
      </c>
      <c r="C402" s="78">
        <f t="shared" si="314"/>
        <v>0</v>
      </c>
      <c r="D402" s="164">
        <f t="shared" si="315"/>
        <v>0</v>
      </c>
      <c r="E402" s="117">
        <v>0</v>
      </c>
      <c r="F402" s="165">
        <f t="shared" si="316"/>
        <v>0</v>
      </c>
      <c r="G402" s="164">
        <v>0</v>
      </c>
      <c r="H402" s="164">
        <v>0</v>
      </c>
      <c r="I402" s="164">
        <v>0</v>
      </c>
      <c r="J402" s="117">
        <v>0</v>
      </c>
      <c r="K402" s="165">
        <f t="shared" si="311"/>
        <v>0</v>
      </c>
      <c r="L402" s="164">
        <v>0</v>
      </c>
      <c r="M402" s="164">
        <v>0</v>
      </c>
      <c r="N402" s="164">
        <v>0</v>
      </c>
      <c r="O402" s="78">
        <v>0</v>
      </c>
      <c r="P402" s="164">
        <f t="shared" si="312"/>
        <v>0</v>
      </c>
      <c r="Q402" s="164">
        <v>0</v>
      </c>
      <c r="R402" s="164">
        <v>0</v>
      </c>
      <c r="S402" s="81">
        <v>0</v>
      </c>
      <c r="T402" s="78">
        <v>0</v>
      </c>
      <c r="U402" s="164">
        <v>0</v>
      </c>
      <c r="V402" s="164">
        <v>0</v>
      </c>
      <c r="W402" s="164">
        <v>0</v>
      </c>
      <c r="X402" s="81">
        <v>0</v>
      </c>
      <c r="Y402" s="78">
        <v>0</v>
      </c>
      <c r="Z402" s="164">
        <f t="shared" si="313"/>
        <v>0</v>
      </c>
      <c r="AA402" s="164">
        <v>0</v>
      </c>
      <c r="AB402" s="164">
        <v>0</v>
      </c>
      <c r="AC402" s="81">
        <v>0</v>
      </c>
      <c r="AD402" s="135"/>
    </row>
    <row r="403" spans="1:30" s="147" customFormat="1" ht="33" customHeight="1" outlineLevel="1" x14ac:dyDescent="0.2">
      <c r="A403" s="153" t="s">
        <v>1478</v>
      </c>
      <c r="B403" s="166" t="s">
        <v>228</v>
      </c>
      <c r="C403" s="78">
        <f t="shared" si="314"/>
        <v>0</v>
      </c>
      <c r="D403" s="164">
        <f t="shared" si="315"/>
        <v>0</v>
      </c>
      <c r="E403" s="117">
        <v>0</v>
      </c>
      <c r="F403" s="165">
        <f t="shared" si="316"/>
        <v>0</v>
      </c>
      <c r="G403" s="164">
        <v>0</v>
      </c>
      <c r="H403" s="164">
        <v>0</v>
      </c>
      <c r="I403" s="164">
        <v>0</v>
      </c>
      <c r="J403" s="117">
        <v>0</v>
      </c>
      <c r="K403" s="165">
        <f t="shared" si="311"/>
        <v>0</v>
      </c>
      <c r="L403" s="164">
        <v>0</v>
      </c>
      <c r="M403" s="164">
        <v>0</v>
      </c>
      <c r="N403" s="164">
        <v>0</v>
      </c>
      <c r="O403" s="78">
        <v>0</v>
      </c>
      <c r="P403" s="164">
        <f t="shared" si="312"/>
        <v>0</v>
      </c>
      <c r="Q403" s="164">
        <v>0</v>
      </c>
      <c r="R403" s="164">
        <v>0</v>
      </c>
      <c r="S403" s="81">
        <v>0</v>
      </c>
      <c r="T403" s="78">
        <v>0</v>
      </c>
      <c r="U403" s="164">
        <v>0</v>
      </c>
      <c r="V403" s="164">
        <v>0</v>
      </c>
      <c r="W403" s="164">
        <v>0</v>
      </c>
      <c r="X403" s="81">
        <v>0</v>
      </c>
      <c r="Y403" s="78">
        <v>0</v>
      </c>
      <c r="Z403" s="164">
        <f t="shared" si="313"/>
        <v>0</v>
      </c>
      <c r="AA403" s="164">
        <v>0</v>
      </c>
      <c r="AB403" s="164">
        <v>0</v>
      </c>
      <c r="AC403" s="81">
        <v>0</v>
      </c>
      <c r="AD403" s="135"/>
    </row>
    <row r="404" spans="1:30" s="147" customFormat="1" ht="31.15" customHeight="1" outlineLevel="1" x14ac:dyDescent="0.2">
      <c r="A404" s="153" t="s">
        <v>1479</v>
      </c>
      <c r="B404" s="166" t="s">
        <v>229</v>
      </c>
      <c r="C404" s="78">
        <f t="shared" si="314"/>
        <v>0</v>
      </c>
      <c r="D404" s="164">
        <f t="shared" si="315"/>
        <v>0</v>
      </c>
      <c r="E404" s="117">
        <v>0</v>
      </c>
      <c r="F404" s="165">
        <f t="shared" si="316"/>
        <v>0</v>
      </c>
      <c r="G404" s="164">
        <v>0</v>
      </c>
      <c r="H404" s="164">
        <v>0</v>
      </c>
      <c r="I404" s="164">
        <v>0</v>
      </c>
      <c r="J404" s="117">
        <v>0</v>
      </c>
      <c r="K404" s="165">
        <f t="shared" si="311"/>
        <v>0</v>
      </c>
      <c r="L404" s="164">
        <v>0</v>
      </c>
      <c r="M404" s="164">
        <v>0</v>
      </c>
      <c r="N404" s="164">
        <v>0</v>
      </c>
      <c r="O404" s="78">
        <v>0</v>
      </c>
      <c r="P404" s="164">
        <f t="shared" si="312"/>
        <v>0</v>
      </c>
      <c r="Q404" s="164">
        <v>0</v>
      </c>
      <c r="R404" s="164">
        <v>0</v>
      </c>
      <c r="S404" s="81">
        <v>0</v>
      </c>
      <c r="T404" s="78">
        <v>0</v>
      </c>
      <c r="U404" s="164">
        <v>0</v>
      </c>
      <c r="V404" s="164">
        <v>0</v>
      </c>
      <c r="W404" s="164">
        <v>0</v>
      </c>
      <c r="X404" s="81">
        <v>0</v>
      </c>
      <c r="Y404" s="78">
        <v>0</v>
      </c>
      <c r="Z404" s="164">
        <f t="shared" si="313"/>
        <v>0</v>
      </c>
      <c r="AA404" s="164">
        <v>0</v>
      </c>
      <c r="AB404" s="164">
        <v>0</v>
      </c>
      <c r="AC404" s="81">
        <v>0</v>
      </c>
      <c r="AD404" s="135"/>
    </row>
    <row r="405" spans="1:30" s="147" customFormat="1" ht="31.15" customHeight="1" outlineLevel="1" x14ac:dyDescent="0.2">
      <c r="A405" s="153" t="s">
        <v>1480</v>
      </c>
      <c r="B405" s="166" t="s">
        <v>230</v>
      </c>
      <c r="C405" s="78">
        <f t="shared" si="314"/>
        <v>0</v>
      </c>
      <c r="D405" s="164">
        <f t="shared" si="315"/>
        <v>0</v>
      </c>
      <c r="E405" s="117">
        <v>0</v>
      </c>
      <c r="F405" s="165">
        <f t="shared" si="316"/>
        <v>0</v>
      </c>
      <c r="G405" s="164">
        <v>0</v>
      </c>
      <c r="H405" s="164">
        <v>0</v>
      </c>
      <c r="I405" s="164">
        <v>0</v>
      </c>
      <c r="J405" s="117">
        <v>0</v>
      </c>
      <c r="K405" s="165">
        <f t="shared" si="311"/>
        <v>0</v>
      </c>
      <c r="L405" s="164">
        <v>0</v>
      </c>
      <c r="M405" s="164">
        <v>0</v>
      </c>
      <c r="N405" s="164">
        <v>0</v>
      </c>
      <c r="O405" s="78">
        <v>0</v>
      </c>
      <c r="P405" s="164">
        <f t="shared" si="312"/>
        <v>0</v>
      </c>
      <c r="Q405" s="164">
        <v>0</v>
      </c>
      <c r="R405" s="164">
        <v>0</v>
      </c>
      <c r="S405" s="81">
        <v>0</v>
      </c>
      <c r="T405" s="78">
        <v>0</v>
      </c>
      <c r="U405" s="164">
        <v>0</v>
      </c>
      <c r="V405" s="164">
        <v>0</v>
      </c>
      <c r="W405" s="164">
        <v>0</v>
      </c>
      <c r="X405" s="81">
        <v>0</v>
      </c>
      <c r="Y405" s="78">
        <v>0</v>
      </c>
      <c r="Z405" s="164">
        <f t="shared" si="313"/>
        <v>0</v>
      </c>
      <c r="AA405" s="164">
        <v>0</v>
      </c>
      <c r="AB405" s="164">
        <v>0</v>
      </c>
      <c r="AC405" s="81">
        <v>0</v>
      </c>
      <c r="AD405" s="135"/>
    </row>
    <row r="406" spans="1:30" s="147" customFormat="1" ht="30" customHeight="1" outlineLevel="1" x14ac:dyDescent="0.2">
      <c r="A406" s="153" t="s">
        <v>1481</v>
      </c>
      <c r="B406" s="166" t="s">
        <v>231</v>
      </c>
      <c r="C406" s="78">
        <f t="shared" si="314"/>
        <v>0</v>
      </c>
      <c r="D406" s="164">
        <f t="shared" si="315"/>
        <v>0</v>
      </c>
      <c r="E406" s="117">
        <v>0</v>
      </c>
      <c r="F406" s="165">
        <f t="shared" si="316"/>
        <v>0</v>
      </c>
      <c r="G406" s="164">
        <v>0</v>
      </c>
      <c r="H406" s="164">
        <v>0</v>
      </c>
      <c r="I406" s="164">
        <v>0</v>
      </c>
      <c r="J406" s="117">
        <v>0</v>
      </c>
      <c r="K406" s="165">
        <f t="shared" si="311"/>
        <v>0</v>
      </c>
      <c r="L406" s="164">
        <v>0</v>
      </c>
      <c r="M406" s="164">
        <v>0</v>
      </c>
      <c r="N406" s="164">
        <v>0</v>
      </c>
      <c r="O406" s="78">
        <v>0</v>
      </c>
      <c r="P406" s="164">
        <f t="shared" si="312"/>
        <v>0</v>
      </c>
      <c r="Q406" s="164">
        <v>0</v>
      </c>
      <c r="R406" s="164">
        <v>0</v>
      </c>
      <c r="S406" s="81">
        <v>0</v>
      </c>
      <c r="T406" s="78">
        <v>0</v>
      </c>
      <c r="U406" s="164">
        <v>0</v>
      </c>
      <c r="V406" s="164">
        <v>0</v>
      </c>
      <c r="W406" s="164">
        <v>0</v>
      </c>
      <c r="X406" s="81">
        <v>0</v>
      </c>
      <c r="Y406" s="78">
        <v>0</v>
      </c>
      <c r="Z406" s="164">
        <f t="shared" si="313"/>
        <v>0</v>
      </c>
      <c r="AA406" s="164">
        <v>0</v>
      </c>
      <c r="AB406" s="164">
        <v>0</v>
      </c>
      <c r="AC406" s="81">
        <v>0</v>
      </c>
      <c r="AD406" s="135"/>
    </row>
    <row r="407" spans="1:30" s="147" customFormat="1" ht="22.15" customHeight="1" outlineLevel="1" x14ac:dyDescent="0.2">
      <c r="A407" s="153" t="s">
        <v>1482</v>
      </c>
      <c r="B407" s="166" t="s">
        <v>232</v>
      </c>
      <c r="C407" s="78">
        <f t="shared" si="314"/>
        <v>0</v>
      </c>
      <c r="D407" s="164">
        <f t="shared" si="315"/>
        <v>0</v>
      </c>
      <c r="E407" s="117">
        <v>0</v>
      </c>
      <c r="F407" s="165">
        <f t="shared" si="316"/>
        <v>0</v>
      </c>
      <c r="G407" s="164">
        <v>0</v>
      </c>
      <c r="H407" s="164">
        <v>0</v>
      </c>
      <c r="I407" s="164">
        <v>0</v>
      </c>
      <c r="J407" s="117">
        <v>0</v>
      </c>
      <c r="K407" s="165">
        <f t="shared" si="311"/>
        <v>0</v>
      </c>
      <c r="L407" s="164">
        <v>0</v>
      </c>
      <c r="M407" s="164">
        <v>0</v>
      </c>
      <c r="N407" s="164">
        <v>0</v>
      </c>
      <c r="O407" s="78">
        <v>0</v>
      </c>
      <c r="P407" s="164">
        <f t="shared" si="312"/>
        <v>0</v>
      </c>
      <c r="Q407" s="164">
        <v>0</v>
      </c>
      <c r="R407" s="164">
        <v>0</v>
      </c>
      <c r="S407" s="81">
        <v>0</v>
      </c>
      <c r="T407" s="78">
        <v>0</v>
      </c>
      <c r="U407" s="164">
        <v>0</v>
      </c>
      <c r="V407" s="164">
        <v>0</v>
      </c>
      <c r="W407" s="164">
        <v>0</v>
      </c>
      <c r="X407" s="81">
        <v>0</v>
      </c>
      <c r="Y407" s="78">
        <v>0</v>
      </c>
      <c r="Z407" s="164">
        <f t="shared" si="313"/>
        <v>0</v>
      </c>
      <c r="AA407" s="164">
        <v>0</v>
      </c>
      <c r="AB407" s="164">
        <v>0</v>
      </c>
      <c r="AC407" s="81">
        <v>0</v>
      </c>
      <c r="AD407" s="135"/>
    </row>
    <row r="408" spans="1:30" s="147" customFormat="1" ht="26.45" customHeight="1" outlineLevel="1" x14ac:dyDescent="0.2">
      <c r="A408" s="153" t="s">
        <v>1483</v>
      </c>
      <c r="B408" s="166" t="s">
        <v>233</v>
      </c>
      <c r="C408" s="78">
        <f t="shared" si="314"/>
        <v>0</v>
      </c>
      <c r="D408" s="164">
        <f t="shared" si="315"/>
        <v>0</v>
      </c>
      <c r="E408" s="117">
        <v>0</v>
      </c>
      <c r="F408" s="165">
        <f t="shared" si="316"/>
        <v>0</v>
      </c>
      <c r="G408" s="164">
        <v>0</v>
      </c>
      <c r="H408" s="164">
        <v>0</v>
      </c>
      <c r="I408" s="164">
        <v>0</v>
      </c>
      <c r="J408" s="117">
        <v>0</v>
      </c>
      <c r="K408" s="165">
        <f t="shared" si="311"/>
        <v>0</v>
      </c>
      <c r="L408" s="164">
        <v>0</v>
      </c>
      <c r="M408" s="164">
        <v>0</v>
      </c>
      <c r="N408" s="164">
        <v>0</v>
      </c>
      <c r="O408" s="78">
        <v>0</v>
      </c>
      <c r="P408" s="164">
        <f t="shared" si="312"/>
        <v>0</v>
      </c>
      <c r="Q408" s="164">
        <v>0</v>
      </c>
      <c r="R408" s="164">
        <v>0</v>
      </c>
      <c r="S408" s="81">
        <v>0</v>
      </c>
      <c r="T408" s="78">
        <v>0</v>
      </c>
      <c r="U408" s="164">
        <v>0</v>
      </c>
      <c r="V408" s="164">
        <v>0</v>
      </c>
      <c r="W408" s="164">
        <v>0</v>
      </c>
      <c r="X408" s="81">
        <v>0</v>
      </c>
      <c r="Y408" s="78">
        <v>0</v>
      </c>
      <c r="Z408" s="164">
        <f t="shared" si="313"/>
        <v>0</v>
      </c>
      <c r="AA408" s="164">
        <v>0</v>
      </c>
      <c r="AB408" s="164">
        <v>0</v>
      </c>
      <c r="AC408" s="81">
        <v>0</v>
      </c>
      <c r="AD408" s="135"/>
    </row>
    <row r="409" spans="1:30" s="147" customFormat="1" ht="25.9" customHeight="1" outlineLevel="1" x14ac:dyDescent="0.2">
      <c r="A409" s="153" t="s">
        <v>1484</v>
      </c>
      <c r="B409" s="166" t="s">
        <v>234</v>
      </c>
      <c r="C409" s="78">
        <f t="shared" si="314"/>
        <v>0</v>
      </c>
      <c r="D409" s="164">
        <f t="shared" si="315"/>
        <v>0</v>
      </c>
      <c r="E409" s="117">
        <v>0</v>
      </c>
      <c r="F409" s="165">
        <f t="shared" si="316"/>
        <v>0</v>
      </c>
      <c r="G409" s="164">
        <v>0</v>
      </c>
      <c r="H409" s="164">
        <v>0</v>
      </c>
      <c r="I409" s="164">
        <v>0</v>
      </c>
      <c r="J409" s="117">
        <v>0</v>
      </c>
      <c r="K409" s="165">
        <f t="shared" si="311"/>
        <v>0</v>
      </c>
      <c r="L409" s="164">
        <v>0</v>
      </c>
      <c r="M409" s="164">
        <v>0</v>
      </c>
      <c r="N409" s="164">
        <v>0</v>
      </c>
      <c r="O409" s="78">
        <v>0</v>
      </c>
      <c r="P409" s="164">
        <f t="shared" si="312"/>
        <v>0</v>
      </c>
      <c r="Q409" s="164">
        <v>0</v>
      </c>
      <c r="R409" s="164">
        <v>0</v>
      </c>
      <c r="S409" s="81">
        <v>0</v>
      </c>
      <c r="T409" s="78">
        <v>0</v>
      </c>
      <c r="U409" s="164">
        <v>0</v>
      </c>
      <c r="V409" s="164">
        <v>0</v>
      </c>
      <c r="W409" s="164">
        <v>0</v>
      </c>
      <c r="X409" s="81">
        <v>0</v>
      </c>
      <c r="Y409" s="78">
        <v>0</v>
      </c>
      <c r="Z409" s="164">
        <f t="shared" si="313"/>
        <v>0</v>
      </c>
      <c r="AA409" s="164">
        <v>0</v>
      </c>
      <c r="AB409" s="164">
        <v>0</v>
      </c>
      <c r="AC409" s="81">
        <v>0</v>
      </c>
      <c r="AD409" s="135"/>
    </row>
    <row r="410" spans="1:30" s="147" customFormat="1" ht="24" customHeight="1" outlineLevel="1" x14ac:dyDescent="0.2">
      <c r="A410" s="153" t="s">
        <v>1485</v>
      </c>
      <c r="B410" s="166" t="s">
        <v>235</v>
      </c>
      <c r="C410" s="78">
        <f t="shared" si="314"/>
        <v>0</v>
      </c>
      <c r="D410" s="164">
        <f t="shared" si="315"/>
        <v>0</v>
      </c>
      <c r="E410" s="117">
        <v>0</v>
      </c>
      <c r="F410" s="165">
        <f t="shared" si="316"/>
        <v>0</v>
      </c>
      <c r="G410" s="164">
        <v>0</v>
      </c>
      <c r="H410" s="164">
        <v>0</v>
      </c>
      <c r="I410" s="164">
        <v>0</v>
      </c>
      <c r="J410" s="117">
        <v>0</v>
      </c>
      <c r="K410" s="165">
        <f t="shared" si="311"/>
        <v>0</v>
      </c>
      <c r="L410" s="164">
        <v>0</v>
      </c>
      <c r="M410" s="164">
        <v>0</v>
      </c>
      <c r="N410" s="164">
        <v>0</v>
      </c>
      <c r="O410" s="78">
        <v>0</v>
      </c>
      <c r="P410" s="164">
        <f t="shared" si="312"/>
        <v>0</v>
      </c>
      <c r="Q410" s="164">
        <v>0</v>
      </c>
      <c r="R410" s="164">
        <v>0</v>
      </c>
      <c r="S410" s="81">
        <v>0</v>
      </c>
      <c r="T410" s="78">
        <v>0</v>
      </c>
      <c r="U410" s="164">
        <v>0</v>
      </c>
      <c r="V410" s="164">
        <v>0</v>
      </c>
      <c r="W410" s="164">
        <v>0</v>
      </c>
      <c r="X410" s="81">
        <v>0</v>
      </c>
      <c r="Y410" s="78">
        <v>0</v>
      </c>
      <c r="Z410" s="164">
        <f t="shared" si="313"/>
        <v>0</v>
      </c>
      <c r="AA410" s="164">
        <v>0</v>
      </c>
      <c r="AB410" s="164">
        <v>0</v>
      </c>
      <c r="AC410" s="81">
        <v>0</v>
      </c>
      <c r="AD410" s="135"/>
    </row>
    <row r="411" spans="1:30" s="147" customFormat="1" ht="25.9" customHeight="1" outlineLevel="1" x14ac:dyDescent="0.2">
      <c r="A411" s="153" t="s">
        <v>1486</v>
      </c>
      <c r="B411" s="166" t="s">
        <v>236</v>
      </c>
      <c r="C411" s="78">
        <f t="shared" si="314"/>
        <v>0</v>
      </c>
      <c r="D411" s="164">
        <f t="shared" si="315"/>
        <v>0</v>
      </c>
      <c r="E411" s="117">
        <v>0</v>
      </c>
      <c r="F411" s="165">
        <f t="shared" si="316"/>
        <v>0</v>
      </c>
      <c r="G411" s="164">
        <v>0</v>
      </c>
      <c r="H411" s="164">
        <v>0</v>
      </c>
      <c r="I411" s="164">
        <v>0</v>
      </c>
      <c r="J411" s="117">
        <v>0</v>
      </c>
      <c r="K411" s="165">
        <f t="shared" si="311"/>
        <v>0</v>
      </c>
      <c r="L411" s="164">
        <v>0</v>
      </c>
      <c r="M411" s="164">
        <v>0</v>
      </c>
      <c r="N411" s="164">
        <v>0</v>
      </c>
      <c r="O411" s="78">
        <v>0</v>
      </c>
      <c r="P411" s="164">
        <f t="shared" si="312"/>
        <v>0</v>
      </c>
      <c r="Q411" s="164">
        <v>0</v>
      </c>
      <c r="R411" s="164">
        <v>0</v>
      </c>
      <c r="S411" s="81">
        <v>0</v>
      </c>
      <c r="T411" s="78">
        <v>0</v>
      </c>
      <c r="U411" s="164">
        <v>0</v>
      </c>
      <c r="V411" s="164">
        <v>0</v>
      </c>
      <c r="W411" s="164">
        <v>0</v>
      </c>
      <c r="X411" s="81">
        <v>0</v>
      </c>
      <c r="Y411" s="78">
        <v>0</v>
      </c>
      <c r="Z411" s="164">
        <f t="shared" si="313"/>
        <v>0</v>
      </c>
      <c r="AA411" s="164">
        <v>0</v>
      </c>
      <c r="AB411" s="164">
        <v>0</v>
      </c>
      <c r="AC411" s="81">
        <v>0</v>
      </c>
      <c r="AD411" s="135"/>
    </row>
    <row r="412" spans="1:30" s="147" customFormat="1" ht="28.15" customHeight="1" outlineLevel="1" x14ac:dyDescent="0.2">
      <c r="A412" s="153" t="s">
        <v>1487</v>
      </c>
      <c r="B412" s="166" t="s">
        <v>237</v>
      </c>
      <c r="C412" s="78">
        <f t="shared" si="314"/>
        <v>0</v>
      </c>
      <c r="D412" s="164">
        <f t="shared" si="315"/>
        <v>0</v>
      </c>
      <c r="E412" s="117">
        <v>0</v>
      </c>
      <c r="F412" s="165">
        <f t="shared" si="316"/>
        <v>0</v>
      </c>
      <c r="G412" s="164">
        <v>0</v>
      </c>
      <c r="H412" s="164">
        <v>0</v>
      </c>
      <c r="I412" s="164">
        <v>0</v>
      </c>
      <c r="J412" s="117">
        <v>0</v>
      </c>
      <c r="K412" s="165">
        <f t="shared" si="311"/>
        <v>0</v>
      </c>
      <c r="L412" s="164">
        <v>0</v>
      </c>
      <c r="M412" s="164">
        <v>0</v>
      </c>
      <c r="N412" s="164">
        <v>0</v>
      </c>
      <c r="O412" s="78">
        <v>0</v>
      </c>
      <c r="P412" s="164">
        <f t="shared" si="312"/>
        <v>0</v>
      </c>
      <c r="Q412" s="164">
        <v>0</v>
      </c>
      <c r="R412" s="164">
        <v>0</v>
      </c>
      <c r="S412" s="81">
        <v>0</v>
      </c>
      <c r="T412" s="78">
        <v>0</v>
      </c>
      <c r="U412" s="164">
        <v>0</v>
      </c>
      <c r="V412" s="164">
        <v>0</v>
      </c>
      <c r="W412" s="164">
        <v>0</v>
      </c>
      <c r="X412" s="81">
        <v>0</v>
      </c>
      <c r="Y412" s="78">
        <v>0</v>
      </c>
      <c r="Z412" s="164">
        <f t="shared" si="313"/>
        <v>0</v>
      </c>
      <c r="AA412" s="164">
        <v>0</v>
      </c>
      <c r="AB412" s="164">
        <v>0</v>
      </c>
      <c r="AC412" s="81">
        <v>0</v>
      </c>
      <c r="AD412" s="135"/>
    </row>
    <row r="413" spans="1:30" s="147" customFormat="1" ht="31.9" customHeight="1" outlineLevel="1" x14ac:dyDescent="0.2">
      <c r="A413" s="153" t="s">
        <v>1488</v>
      </c>
      <c r="B413" s="166" t="s">
        <v>238</v>
      </c>
      <c r="C413" s="78">
        <f t="shared" si="314"/>
        <v>0</v>
      </c>
      <c r="D413" s="164">
        <f t="shared" si="315"/>
        <v>0</v>
      </c>
      <c r="E413" s="117">
        <v>0</v>
      </c>
      <c r="F413" s="165">
        <f t="shared" si="316"/>
        <v>0</v>
      </c>
      <c r="G413" s="164">
        <v>0</v>
      </c>
      <c r="H413" s="164">
        <v>0</v>
      </c>
      <c r="I413" s="164">
        <v>0</v>
      </c>
      <c r="J413" s="117">
        <v>0</v>
      </c>
      <c r="K413" s="165">
        <f t="shared" si="311"/>
        <v>0</v>
      </c>
      <c r="L413" s="164">
        <v>0</v>
      </c>
      <c r="M413" s="164">
        <v>0</v>
      </c>
      <c r="N413" s="164">
        <v>0</v>
      </c>
      <c r="O413" s="78">
        <v>0</v>
      </c>
      <c r="P413" s="164">
        <f t="shared" si="312"/>
        <v>0</v>
      </c>
      <c r="Q413" s="164">
        <v>0</v>
      </c>
      <c r="R413" s="164">
        <v>0</v>
      </c>
      <c r="S413" s="81">
        <v>0</v>
      </c>
      <c r="T413" s="78">
        <v>0</v>
      </c>
      <c r="U413" s="164">
        <v>0</v>
      </c>
      <c r="V413" s="164">
        <v>0</v>
      </c>
      <c r="W413" s="164">
        <v>0</v>
      </c>
      <c r="X413" s="81">
        <v>0</v>
      </c>
      <c r="Y413" s="78">
        <v>0</v>
      </c>
      <c r="Z413" s="164">
        <f t="shared" si="313"/>
        <v>0</v>
      </c>
      <c r="AA413" s="164">
        <v>0</v>
      </c>
      <c r="AB413" s="164">
        <v>0</v>
      </c>
      <c r="AC413" s="81">
        <v>0</v>
      </c>
      <c r="AD413" s="135"/>
    </row>
    <row r="414" spans="1:30" s="147" customFormat="1" ht="30" customHeight="1" outlineLevel="1" x14ac:dyDescent="0.2">
      <c r="A414" s="153" t="s">
        <v>1489</v>
      </c>
      <c r="B414" s="166" t="s">
        <v>345</v>
      </c>
      <c r="C414" s="78">
        <f t="shared" si="314"/>
        <v>0</v>
      </c>
      <c r="D414" s="164">
        <f t="shared" si="315"/>
        <v>0</v>
      </c>
      <c r="E414" s="117">
        <v>0</v>
      </c>
      <c r="F414" s="165">
        <f t="shared" si="316"/>
        <v>0</v>
      </c>
      <c r="G414" s="164">
        <v>0</v>
      </c>
      <c r="H414" s="164">
        <v>0</v>
      </c>
      <c r="I414" s="164">
        <v>0</v>
      </c>
      <c r="J414" s="117">
        <v>0</v>
      </c>
      <c r="K414" s="165">
        <f t="shared" si="311"/>
        <v>0</v>
      </c>
      <c r="L414" s="164">
        <v>0</v>
      </c>
      <c r="M414" s="164">
        <v>0</v>
      </c>
      <c r="N414" s="164">
        <v>0</v>
      </c>
      <c r="O414" s="78">
        <v>0</v>
      </c>
      <c r="P414" s="164">
        <f t="shared" si="312"/>
        <v>0</v>
      </c>
      <c r="Q414" s="164">
        <v>0</v>
      </c>
      <c r="R414" s="164">
        <v>0</v>
      </c>
      <c r="S414" s="81">
        <v>0</v>
      </c>
      <c r="T414" s="78">
        <v>0</v>
      </c>
      <c r="U414" s="164">
        <v>0</v>
      </c>
      <c r="V414" s="164">
        <v>0</v>
      </c>
      <c r="W414" s="164">
        <v>0</v>
      </c>
      <c r="X414" s="81">
        <v>0</v>
      </c>
      <c r="Y414" s="78">
        <v>0</v>
      </c>
      <c r="Z414" s="164">
        <f t="shared" si="313"/>
        <v>0</v>
      </c>
      <c r="AA414" s="164">
        <v>0</v>
      </c>
      <c r="AB414" s="164">
        <v>0</v>
      </c>
      <c r="AC414" s="81">
        <v>0</v>
      </c>
      <c r="AD414" s="135"/>
    </row>
    <row r="415" spans="1:30" s="147" customFormat="1" ht="33" customHeight="1" outlineLevel="1" x14ac:dyDescent="0.2">
      <c r="A415" s="153" t="s">
        <v>1490</v>
      </c>
      <c r="B415" s="166" t="s">
        <v>239</v>
      </c>
      <c r="C415" s="78">
        <f t="shared" si="314"/>
        <v>0</v>
      </c>
      <c r="D415" s="164">
        <f t="shared" si="315"/>
        <v>0</v>
      </c>
      <c r="E415" s="117">
        <v>0</v>
      </c>
      <c r="F415" s="165">
        <f t="shared" si="316"/>
        <v>0</v>
      </c>
      <c r="G415" s="164">
        <v>0</v>
      </c>
      <c r="H415" s="164">
        <v>0</v>
      </c>
      <c r="I415" s="164">
        <v>0</v>
      </c>
      <c r="J415" s="117">
        <v>0</v>
      </c>
      <c r="K415" s="165">
        <f t="shared" si="311"/>
        <v>0</v>
      </c>
      <c r="L415" s="164">
        <v>0</v>
      </c>
      <c r="M415" s="164">
        <v>0</v>
      </c>
      <c r="N415" s="164">
        <v>0</v>
      </c>
      <c r="O415" s="78">
        <v>0</v>
      </c>
      <c r="P415" s="164">
        <f t="shared" si="312"/>
        <v>0</v>
      </c>
      <c r="Q415" s="164">
        <v>0</v>
      </c>
      <c r="R415" s="164">
        <v>0</v>
      </c>
      <c r="S415" s="81">
        <v>0</v>
      </c>
      <c r="T415" s="78">
        <v>0</v>
      </c>
      <c r="U415" s="164">
        <v>0</v>
      </c>
      <c r="V415" s="164">
        <v>0</v>
      </c>
      <c r="W415" s="164">
        <v>0</v>
      </c>
      <c r="X415" s="81">
        <v>0</v>
      </c>
      <c r="Y415" s="78">
        <v>0</v>
      </c>
      <c r="Z415" s="164">
        <f t="shared" si="313"/>
        <v>0</v>
      </c>
      <c r="AA415" s="164">
        <v>0</v>
      </c>
      <c r="AB415" s="164">
        <v>0</v>
      </c>
      <c r="AC415" s="81">
        <v>0</v>
      </c>
      <c r="AD415" s="135"/>
    </row>
    <row r="416" spans="1:30" s="147" customFormat="1" ht="34.9" customHeight="1" outlineLevel="1" x14ac:dyDescent="0.2">
      <c r="A416" s="153" t="s">
        <v>1491</v>
      </c>
      <c r="B416" s="166" t="s">
        <v>346</v>
      </c>
      <c r="C416" s="78">
        <f t="shared" si="314"/>
        <v>0</v>
      </c>
      <c r="D416" s="164">
        <f t="shared" si="315"/>
        <v>0</v>
      </c>
      <c r="E416" s="117">
        <v>0</v>
      </c>
      <c r="F416" s="165">
        <f t="shared" si="316"/>
        <v>0</v>
      </c>
      <c r="G416" s="164">
        <v>0</v>
      </c>
      <c r="H416" s="164">
        <v>0</v>
      </c>
      <c r="I416" s="164">
        <v>0</v>
      </c>
      <c r="J416" s="117">
        <v>0</v>
      </c>
      <c r="K416" s="165">
        <f t="shared" si="311"/>
        <v>0</v>
      </c>
      <c r="L416" s="164">
        <v>0</v>
      </c>
      <c r="M416" s="164">
        <v>0</v>
      </c>
      <c r="N416" s="164">
        <v>0</v>
      </c>
      <c r="O416" s="78">
        <v>0</v>
      </c>
      <c r="P416" s="164">
        <f t="shared" si="312"/>
        <v>0</v>
      </c>
      <c r="Q416" s="164">
        <v>0</v>
      </c>
      <c r="R416" s="164">
        <v>0</v>
      </c>
      <c r="S416" s="81">
        <v>0</v>
      </c>
      <c r="T416" s="78">
        <v>0</v>
      </c>
      <c r="U416" s="164">
        <v>0</v>
      </c>
      <c r="V416" s="164">
        <v>0</v>
      </c>
      <c r="W416" s="164">
        <v>0</v>
      </c>
      <c r="X416" s="81">
        <v>0</v>
      </c>
      <c r="Y416" s="78">
        <v>0</v>
      </c>
      <c r="Z416" s="164">
        <f t="shared" si="313"/>
        <v>0</v>
      </c>
      <c r="AA416" s="164">
        <v>0</v>
      </c>
      <c r="AB416" s="164">
        <v>0</v>
      </c>
      <c r="AC416" s="81">
        <v>0</v>
      </c>
      <c r="AD416" s="135"/>
    </row>
    <row r="417" spans="1:30" s="147" customFormat="1" ht="25.9" customHeight="1" outlineLevel="1" x14ac:dyDescent="0.2">
      <c r="A417" s="153" t="s">
        <v>1492</v>
      </c>
      <c r="B417" s="166" t="s">
        <v>240</v>
      </c>
      <c r="C417" s="78">
        <f t="shared" si="314"/>
        <v>0</v>
      </c>
      <c r="D417" s="164">
        <f t="shared" si="315"/>
        <v>0</v>
      </c>
      <c r="E417" s="117">
        <v>0</v>
      </c>
      <c r="F417" s="165">
        <f t="shared" si="316"/>
        <v>0</v>
      </c>
      <c r="G417" s="164">
        <v>0</v>
      </c>
      <c r="H417" s="164">
        <v>0</v>
      </c>
      <c r="I417" s="164">
        <v>0</v>
      </c>
      <c r="J417" s="117">
        <v>0</v>
      </c>
      <c r="K417" s="165">
        <f t="shared" si="311"/>
        <v>0</v>
      </c>
      <c r="L417" s="164">
        <v>0</v>
      </c>
      <c r="M417" s="164">
        <v>0</v>
      </c>
      <c r="N417" s="164">
        <v>0</v>
      </c>
      <c r="O417" s="78">
        <v>0</v>
      </c>
      <c r="P417" s="164">
        <f t="shared" si="312"/>
        <v>0</v>
      </c>
      <c r="Q417" s="164">
        <v>0</v>
      </c>
      <c r="R417" s="164">
        <v>0</v>
      </c>
      <c r="S417" s="81">
        <v>0</v>
      </c>
      <c r="T417" s="78">
        <v>0</v>
      </c>
      <c r="U417" s="164">
        <v>0</v>
      </c>
      <c r="V417" s="164">
        <v>0</v>
      </c>
      <c r="W417" s="164">
        <v>0</v>
      </c>
      <c r="X417" s="81">
        <v>0</v>
      </c>
      <c r="Y417" s="78">
        <v>0</v>
      </c>
      <c r="Z417" s="164">
        <f t="shared" si="313"/>
        <v>0</v>
      </c>
      <c r="AA417" s="164">
        <v>0</v>
      </c>
      <c r="AB417" s="164">
        <v>0</v>
      </c>
      <c r="AC417" s="81">
        <v>0</v>
      </c>
      <c r="AD417" s="135"/>
    </row>
    <row r="418" spans="1:30" s="147" customFormat="1" ht="24" customHeight="1" outlineLevel="1" x14ac:dyDescent="0.2">
      <c r="A418" s="153" t="s">
        <v>1493</v>
      </c>
      <c r="B418" s="166" t="s">
        <v>241</v>
      </c>
      <c r="C418" s="78">
        <f t="shared" si="314"/>
        <v>0</v>
      </c>
      <c r="D418" s="164">
        <f t="shared" si="315"/>
        <v>0</v>
      </c>
      <c r="E418" s="117">
        <v>0</v>
      </c>
      <c r="F418" s="165">
        <f t="shared" si="316"/>
        <v>0</v>
      </c>
      <c r="G418" s="164">
        <v>0</v>
      </c>
      <c r="H418" s="164">
        <v>0</v>
      </c>
      <c r="I418" s="164">
        <v>0</v>
      </c>
      <c r="J418" s="117">
        <v>0</v>
      </c>
      <c r="K418" s="165">
        <f t="shared" si="311"/>
        <v>0</v>
      </c>
      <c r="L418" s="164">
        <v>0</v>
      </c>
      <c r="M418" s="164">
        <v>0</v>
      </c>
      <c r="N418" s="164">
        <v>0</v>
      </c>
      <c r="O418" s="78">
        <v>0</v>
      </c>
      <c r="P418" s="164">
        <f t="shared" si="312"/>
        <v>0</v>
      </c>
      <c r="Q418" s="164">
        <v>0</v>
      </c>
      <c r="R418" s="164">
        <v>0</v>
      </c>
      <c r="S418" s="81">
        <v>0</v>
      </c>
      <c r="T418" s="78">
        <v>0</v>
      </c>
      <c r="U418" s="164">
        <v>0</v>
      </c>
      <c r="V418" s="164">
        <v>0</v>
      </c>
      <c r="W418" s="164">
        <v>0</v>
      </c>
      <c r="X418" s="81">
        <v>0</v>
      </c>
      <c r="Y418" s="78">
        <v>0</v>
      </c>
      <c r="Z418" s="164">
        <f t="shared" si="313"/>
        <v>0</v>
      </c>
      <c r="AA418" s="164">
        <v>0</v>
      </c>
      <c r="AB418" s="164">
        <v>0</v>
      </c>
      <c r="AC418" s="81">
        <v>0</v>
      </c>
      <c r="AD418" s="135"/>
    </row>
    <row r="419" spans="1:30" s="147" customFormat="1" ht="22.9" customHeight="1" outlineLevel="1" x14ac:dyDescent="0.2">
      <c r="A419" s="153" t="s">
        <v>1494</v>
      </c>
      <c r="B419" s="166" t="s">
        <v>347</v>
      </c>
      <c r="C419" s="78">
        <f t="shared" si="314"/>
        <v>0</v>
      </c>
      <c r="D419" s="164">
        <f t="shared" si="315"/>
        <v>0</v>
      </c>
      <c r="E419" s="117">
        <v>0</v>
      </c>
      <c r="F419" s="165">
        <f t="shared" si="316"/>
        <v>0</v>
      </c>
      <c r="G419" s="164">
        <v>0</v>
      </c>
      <c r="H419" s="164">
        <v>0</v>
      </c>
      <c r="I419" s="164">
        <v>0</v>
      </c>
      <c r="J419" s="117">
        <v>0</v>
      </c>
      <c r="K419" s="165">
        <f t="shared" si="311"/>
        <v>0</v>
      </c>
      <c r="L419" s="164">
        <v>0</v>
      </c>
      <c r="M419" s="164">
        <v>0</v>
      </c>
      <c r="N419" s="164">
        <v>0</v>
      </c>
      <c r="O419" s="78">
        <v>0</v>
      </c>
      <c r="P419" s="164">
        <f t="shared" si="312"/>
        <v>0</v>
      </c>
      <c r="Q419" s="164">
        <v>0</v>
      </c>
      <c r="R419" s="164">
        <v>0</v>
      </c>
      <c r="S419" s="81">
        <v>0</v>
      </c>
      <c r="T419" s="78">
        <v>0</v>
      </c>
      <c r="U419" s="164">
        <v>0</v>
      </c>
      <c r="V419" s="164">
        <v>0</v>
      </c>
      <c r="W419" s="164">
        <v>0</v>
      </c>
      <c r="X419" s="81">
        <v>0</v>
      </c>
      <c r="Y419" s="78">
        <v>0</v>
      </c>
      <c r="Z419" s="164">
        <f t="shared" si="313"/>
        <v>0</v>
      </c>
      <c r="AA419" s="164">
        <v>0</v>
      </c>
      <c r="AB419" s="164">
        <v>0</v>
      </c>
      <c r="AC419" s="81">
        <v>0</v>
      </c>
      <c r="AD419" s="135"/>
    </row>
    <row r="420" spans="1:30" s="147" customFormat="1" ht="32.450000000000003" customHeight="1" outlineLevel="1" x14ac:dyDescent="0.2">
      <c r="A420" s="153" t="s">
        <v>1495</v>
      </c>
      <c r="B420" s="166" t="s">
        <v>242</v>
      </c>
      <c r="C420" s="78">
        <f t="shared" si="314"/>
        <v>0</v>
      </c>
      <c r="D420" s="164">
        <f t="shared" si="315"/>
        <v>0</v>
      </c>
      <c r="E420" s="117">
        <v>0</v>
      </c>
      <c r="F420" s="165">
        <f t="shared" si="316"/>
        <v>0</v>
      </c>
      <c r="G420" s="164">
        <v>0</v>
      </c>
      <c r="H420" s="164">
        <v>0</v>
      </c>
      <c r="I420" s="164">
        <v>0</v>
      </c>
      <c r="J420" s="117">
        <v>0</v>
      </c>
      <c r="K420" s="165">
        <f t="shared" si="311"/>
        <v>0</v>
      </c>
      <c r="L420" s="164">
        <v>0</v>
      </c>
      <c r="M420" s="164">
        <v>0</v>
      </c>
      <c r="N420" s="164">
        <v>0</v>
      </c>
      <c r="O420" s="78">
        <v>0</v>
      </c>
      <c r="P420" s="164">
        <f t="shared" si="312"/>
        <v>0</v>
      </c>
      <c r="Q420" s="164">
        <v>0</v>
      </c>
      <c r="R420" s="164">
        <v>0</v>
      </c>
      <c r="S420" s="81">
        <v>0</v>
      </c>
      <c r="T420" s="78">
        <v>0</v>
      </c>
      <c r="U420" s="164">
        <v>0</v>
      </c>
      <c r="V420" s="164">
        <v>0</v>
      </c>
      <c r="W420" s="164">
        <v>0</v>
      </c>
      <c r="X420" s="81">
        <v>0</v>
      </c>
      <c r="Y420" s="78">
        <v>0</v>
      </c>
      <c r="Z420" s="164">
        <f t="shared" si="313"/>
        <v>0</v>
      </c>
      <c r="AA420" s="164">
        <v>0</v>
      </c>
      <c r="AB420" s="164">
        <v>0</v>
      </c>
      <c r="AC420" s="81">
        <v>0</v>
      </c>
      <c r="AD420" s="135"/>
    </row>
    <row r="421" spans="1:30" s="147" customFormat="1" ht="28.9" customHeight="1" outlineLevel="1" x14ac:dyDescent="0.2">
      <c r="A421" s="153" t="s">
        <v>1496</v>
      </c>
      <c r="B421" s="166" t="s">
        <v>243</v>
      </c>
      <c r="C421" s="78">
        <f t="shared" si="314"/>
        <v>0</v>
      </c>
      <c r="D421" s="164">
        <f t="shared" si="315"/>
        <v>0</v>
      </c>
      <c r="E421" s="117">
        <v>0</v>
      </c>
      <c r="F421" s="165">
        <f t="shared" si="316"/>
        <v>0</v>
      </c>
      <c r="G421" s="164">
        <v>0</v>
      </c>
      <c r="H421" s="164">
        <v>0</v>
      </c>
      <c r="I421" s="164">
        <v>0</v>
      </c>
      <c r="J421" s="117">
        <v>0</v>
      </c>
      <c r="K421" s="165">
        <f t="shared" si="311"/>
        <v>0</v>
      </c>
      <c r="L421" s="164">
        <v>0</v>
      </c>
      <c r="M421" s="164">
        <v>0</v>
      </c>
      <c r="N421" s="164">
        <v>0</v>
      </c>
      <c r="O421" s="78">
        <v>0</v>
      </c>
      <c r="P421" s="164">
        <f t="shared" si="312"/>
        <v>0</v>
      </c>
      <c r="Q421" s="164">
        <v>0</v>
      </c>
      <c r="R421" s="164">
        <v>0</v>
      </c>
      <c r="S421" s="81">
        <v>0</v>
      </c>
      <c r="T421" s="78">
        <v>0</v>
      </c>
      <c r="U421" s="164">
        <v>0</v>
      </c>
      <c r="V421" s="164">
        <v>0</v>
      </c>
      <c r="W421" s="164">
        <v>0</v>
      </c>
      <c r="X421" s="81">
        <v>0</v>
      </c>
      <c r="Y421" s="78">
        <v>0</v>
      </c>
      <c r="Z421" s="164">
        <f t="shared" si="313"/>
        <v>0</v>
      </c>
      <c r="AA421" s="164">
        <v>0</v>
      </c>
      <c r="AB421" s="164">
        <v>0</v>
      </c>
      <c r="AC421" s="81">
        <v>0</v>
      </c>
      <c r="AD421" s="135"/>
    </row>
    <row r="422" spans="1:30" s="147" customFormat="1" ht="28.9" customHeight="1" outlineLevel="1" x14ac:dyDescent="0.2">
      <c r="A422" s="153" t="s">
        <v>1497</v>
      </c>
      <c r="B422" s="166" t="s">
        <v>244</v>
      </c>
      <c r="C422" s="78">
        <f t="shared" si="314"/>
        <v>0</v>
      </c>
      <c r="D422" s="164">
        <f t="shared" si="315"/>
        <v>0</v>
      </c>
      <c r="E422" s="117">
        <v>0</v>
      </c>
      <c r="F422" s="165">
        <f t="shared" si="316"/>
        <v>0</v>
      </c>
      <c r="G422" s="164">
        <v>0</v>
      </c>
      <c r="H422" s="164">
        <v>0</v>
      </c>
      <c r="I422" s="164">
        <v>0</v>
      </c>
      <c r="J422" s="117">
        <v>0</v>
      </c>
      <c r="K422" s="165">
        <f t="shared" si="311"/>
        <v>0</v>
      </c>
      <c r="L422" s="164">
        <v>0</v>
      </c>
      <c r="M422" s="164">
        <v>0</v>
      </c>
      <c r="N422" s="164">
        <v>0</v>
      </c>
      <c r="O422" s="78">
        <v>0</v>
      </c>
      <c r="P422" s="164">
        <f t="shared" si="312"/>
        <v>0</v>
      </c>
      <c r="Q422" s="164">
        <v>0</v>
      </c>
      <c r="R422" s="164">
        <v>0</v>
      </c>
      <c r="S422" s="81">
        <v>0</v>
      </c>
      <c r="T422" s="78">
        <v>0</v>
      </c>
      <c r="U422" s="164">
        <v>0</v>
      </c>
      <c r="V422" s="164">
        <v>0</v>
      </c>
      <c r="W422" s="164">
        <v>0</v>
      </c>
      <c r="X422" s="81">
        <v>0</v>
      </c>
      <c r="Y422" s="78">
        <v>0</v>
      </c>
      <c r="Z422" s="164">
        <f t="shared" si="313"/>
        <v>0</v>
      </c>
      <c r="AA422" s="164">
        <v>0</v>
      </c>
      <c r="AB422" s="164">
        <v>0</v>
      </c>
      <c r="AC422" s="81">
        <v>0</v>
      </c>
      <c r="AD422" s="135"/>
    </row>
    <row r="423" spans="1:30" s="147" customFormat="1" ht="41.45" customHeight="1" outlineLevel="1" x14ac:dyDescent="0.2">
      <c r="A423" s="153" t="s">
        <v>1498</v>
      </c>
      <c r="B423" s="166" t="s">
        <v>1021</v>
      </c>
      <c r="C423" s="78">
        <f t="shared" si="314"/>
        <v>0</v>
      </c>
      <c r="D423" s="164">
        <f t="shared" si="315"/>
        <v>0</v>
      </c>
      <c r="E423" s="117">
        <v>0</v>
      </c>
      <c r="F423" s="165">
        <f t="shared" si="316"/>
        <v>0</v>
      </c>
      <c r="G423" s="164">
        <v>0</v>
      </c>
      <c r="H423" s="164">
        <v>0</v>
      </c>
      <c r="I423" s="164">
        <v>0</v>
      </c>
      <c r="J423" s="117">
        <v>0</v>
      </c>
      <c r="K423" s="165">
        <f t="shared" si="311"/>
        <v>0</v>
      </c>
      <c r="L423" s="164">
        <v>0</v>
      </c>
      <c r="M423" s="164">
        <v>0</v>
      </c>
      <c r="N423" s="164">
        <v>0</v>
      </c>
      <c r="O423" s="78">
        <v>0</v>
      </c>
      <c r="P423" s="164">
        <f t="shared" si="312"/>
        <v>0</v>
      </c>
      <c r="Q423" s="164">
        <v>0</v>
      </c>
      <c r="R423" s="164">
        <v>0</v>
      </c>
      <c r="S423" s="81">
        <v>0</v>
      </c>
      <c r="T423" s="78">
        <v>0</v>
      </c>
      <c r="U423" s="164">
        <v>0</v>
      </c>
      <c r="V423" s="164">
        <v>0</v>
      </c>
      <c r="W423" s="164">
        <v>0</v>
      </c>
      <c r="X423" s="81">
        <v>0</v>
      </c>
      <c r="Y423" s="78">
        <v>0</v>
      </c>
      <c r="Z423" s="164">
        <f t="shared" si="313"/>
        <v>0</v>
      </c>
      <c r="AA423" s="164">
        <v>0</v>
      </c>
      <c r="AB423" s="164">
        <v>0</v>
      </c>
      <c r="AC423" s="81">
        <v>0</v>
      </c>
      <c r="AD423" s="135"/>
    </row>
    <row r="424" spans="1:30" s="147" customFormat="1" ht="25.5" customHeight="1" outlineLevel="1" x14ac:dyDescent="0.2">
      <c r="A424" s="153" t="s">
        <v>1499</v>
      </c>
      <c r="B424" s="166" t="s">
        <v>245</v>
      </c>
      <c r="C424" s="78">
        <f t="shared" si="314"/>
        <v>0</v>
      </c>
      <c r="D424" s="164">
        <f t="shared" si="315"/>
        <v>0</v>
      </c>
      <c r="E424" s="117">
        <v>0</v>
      </c>
      <c r="F424" s="165">
        <f t="shared" si="316"/>
        <v>0</v>
      </c>
      <c r="G424" s="164">
        <v>0</v>
      </c>
      <c r="H424" s="164">
        <v>0</v>
      </c>
      <c r="I424" s="164">
        <v>0</v>
      </c>
      <c r="J424" s="117">
        <v>0</v>
      </c>
      <c r="K424" s="165">
        <f t="shared" si="311"/>
        <v>0</v>
      </c>
      <c r="L424" s="164">
        <v>0</v>
      </c>
      <c r="M424" s="164">
        <v>0</v>
      </c>
      <c r="N424" s="164">
        <v>0</v>
      </c>
      <c r="O424" s="78">
        <v>0</v>
      </c>
      <c r="P424" s="164">
        <f t="shared" si="312"/>
        <v>0</v>
      </c>
      <c r="Q424" s="164">
        <v>0</v>
      </c>
      <c r="R424" s="164">
        <v>0</v>
      </c>
      <c r="S424" s="81">
        <v>0</v>
      </c>
      <c r="T424" s="78">
        <v>0</v>
      </c>
      <c r="U424" s="164">
        <v>0</v>
      </c>
      <c r="V424" s="164">
        <v>0</v>
      </c>
      <c r="W424" s="164">
        <v>0</v>
      </c>
      <c r="X424" s="81">
        <v>0</v>
      </c>
      <c r="Y424" s="78">
        <v>0</v>
      </c>
      <c r="Z424" s="164">
        <f t="shared" si="313"/>
        <v>0</v>
      </c>
      <c r="AA424" s="164">
        <v>0</v>
      </c>
      <c r="AB424" s="164">
        <v>0</v>
      </c>
      <c r="AC424" s="81">
        <v>0</v>
      </c>
      <c r="AD424" s="135"/>
    </row>
    <row r="425" spans="1:30" s="147" customFormat="1" ht="24" customHeight="1" outlineLevel="1" x14ac:dyDescent="0.2">
      <c r="A425" s="153" t="s">
        <v>1500</v>
      </c>
      <c r="B425" s="166" t="s">
        <v>246</v>
      </c>
      <c r="C425" s="78">
        <f t="shared" si="314"/>
        <v>0</v>
      </c>
      <c r="D425" s="164">
        <f t="shared" si="315"/>
        <v>0</v>
      </c>
      <c r="E425" s="117">
        <v>0</v>
      </c>
      <c r="F425" s="165">
        <f t="shared" si="316"/>
        <v>0</v>
      </c>
      <c r="G425" s="164">
        <v>0</v>
      </c>
      <c r="H425" s="164">
        <v>0</v>
      </c>
      <c r="I425" s="164">
        <v>0</v>
      </c>
      <c r="J425" s="117">
        <v>0</v>
      </c>
      <c r="K425" s="165">
        <f t="shared" si="311"/>
        <v>0</v>
      </c>
      <c r="L425" s="164">
        <v>0</v>
      </c>
      <c r="M425" s="164">
        <v>0</v>
      </c>
      <c r="N425" s="164">
        <v>0</v>
      </c>
      <c r="O425" s="78">
        <v>0</v>
      </c>
      <c r="P425" s="164">
        <f t="shared" si="312"/>
        <v>0</v>
      </c>
      <c r="Q425" s="164">
        <v>0</v>
      </c>
      <c r="R425" s="164">
        <v>0</v>
      </c>
      <c r="S425" s="81">
        <v>0</v>
      </c>
      <c r="T425" s="78">
        <v>0</v>
      </c>
      <c r="U425" s="164">
        <v>0</v>
      </c>
      <c r="V425" s="164">
        <v>0</v>
      </c>
      <c r="W425" s="164">
        <v>0</v>
      </c>
      <c r="X425" s="81">
        <v>0</v>
      </c>
      <c r="Y425" s="78">
        <v>0</v>
      </c>
      <c r="Z425" s="164">
        <f t="shared" si="313"/>
        <v>0</v>
      </c>
      <c r="AA425" s="164">
        <v>0</v>
      </c>
      <c r="AB425" s="164">
        <v>0</v>
      </c>
      <c r="AC425" s="81">
        <v>0</v>
      </c>
      <c r="AD425" s="135"/>
    </row>
    <row r="426" spans="1:30" s="147" customFormat="1" ht="46.9" customHeight="1" outlineLevel="1" x14ac:dyDescent="0.2">
      <c r="A426" s="153" t="s">
        <v>1501</v>
      </c>
      <c r="B426" s="166" t="s">
        <v>247</v>
      </c>
      <c r="C426" s="78">
        <f t="shared" si="314"/>
        <v>0</v>
      </c>
      <c r="D426" s="164">
        <f t="shared" si="315"/>
        <v>0</v>
      </c>
      <c r="E426" s="117">
        <v>0</v>
      </c>
      <c r="F426" s="165">
        <f t="shared" si="316"/>
        <v>0</v>
      </c>
      <c r="G426" s="164">
        <v>0</v>
      </c>
      <c r="H426" s="164">
        <v>0</v>
      </c>
      <c r="I426" s="164">
        <v>0</v>
      </c>
      <c r="J426" s="117">
        <v>0</v>
      </c>
      <c r="K426" s="165">
        <f t="shared" si="311"/>
        <v>0</v>
      </c>
      <c r="L426" s="164">
        <v>0</v>
      </c>
      <c r="M426" s="164">
        <v>0</v>
      </c>
      <c r="N426" s="164">
        <v>0</v>
      </c>
      <c r="O426" s="78">
        <v>0</v>
      </c>
      <c r="P426" s="164">
        <f t="shared" si="312"/>
        <v>0</v>
      </c>
      <c r="Q426" s="164">
        <v>0</v>
      </c>
      <c r="R426" s="164">
        <v>0</v>
      </c>
      <c r="S426" s="81">
        <v>0</v>
      </c>
      <c r="T426" s="78">
        <v>0</v>
      </c>
      <c r="U426" s="164">
        <v>0</v>
      </c>
      <c r="V426" s="164">
        <v>0</v>
      </c>
      <c r="W426" s="164">
        <v>0</v>
      </c>
      <c r="X426" s="81">
        <v>0</v>
      </c>
      <c r="Y426" s="78">
        <v>0</v>
      </c>
      <c r="Z426" s="164">
        <f t="shared" si="313"/>
        <v>0</v>
      </c>
      <c r="AA426" s="164">
        <v>0</v>
      </c>
      <c r="AB426" s="164">
        <v>0</v>
      </c>
      <c r="AC426" s="81">
        <v>0</v>
      </c>
      <c r="AD426" s="135"/>
    </row>
    <row r="427" spans="1:30" s="147" customFormat="1" ht="46.9" customHeight="1" outlineLevel="1" x14ac:dyDescent="0.2">
      <c r="A427" s="153" t="s">
        <v>1502</v>
      </c>
      <c r="B427" s="166" t="s">
        <v>248</v>
      </c>
      <c r="C427" s="78">
        <f t="shared" si="314"/>
        <v>0</v>
      </c>
      <c r="D427" s="164">
        <f t="shared" si="315"/>
        <v>0</v>
      </c>
      <c r="E427" s="117">
        <v>0</v>
      </c>
      <c r="F427" s="165">
        <f t="shared" si="316"/>
        <v>0</v>
      </c>
      <c r="G427" s="164">
        <v>0</v>
      </c>
      <c r="H427" s="164">
        <v>0</v>
      </c>
      <c r="I427" s="164">
        <v>0</v>
      </c>
      <c r="J427" s="117">
        <v>0</v>
      </c>
      <c r="K427" s="165">
        <f t="shared" si="311"/>
        <v>0</v>
      </c>
      <c r="L427" s="164">
        <v>0</v>
      </c>
      <c r="M427" s="164">
        <v>0</v>
      </c>
      <c r="N427" s="164">
        <v>0</v>
      </c>
      <c r="O427" s="78">
        <v>0</v>
      </c>
      <c r="P427" s="164">
        <f t="shared" si="312"/>
        <v>0</v>
      </c>
      <c r="Q427" s="164">
        <v>0</v>
      </c>
      <c r="R427" s="164">
        <v>0</v>
      </c>
      <c r="S427" s="81">
        <v>0</v>
      </c>
      <c r="T427" s="78">
        <v>0</v>
      </c>
      <c r="U427" s="164">
        <v>0</v>
      </c>
      <c r="V427" s="164">
        <v>0</v>
      </c>
      <c r="W427" s="164">
        <v>0</v>
      </c>
      <c r="X427" s="81">
        <v>0</v>
      </c>
      <c r="Y427" s="78">
        <v>0</v>
      </c>
      <c r="Z427" s="164">
        <f t="shared" si="313"/>
        <v>0</v>
      </c>
      <c r="AA427" s="164">
        <v>0</v>
      </c>
      <c r="AB427" s="164">
        <v>0</v>
      </c>
      <c r="AC427" s="81">
        <v>0</v>
      </c>
      <c r="AD427" s="135"/>
    </row>
    <row r="428" spans="1:30" s="147" customFormat="1" ht="46.9" customHeight="1" outlineLevel="1" x14ac:dyDescent="0.2">
      <c r="A428" s="153" t="s">
        <v>1503</v>
      </c>
      <c r="B428" s="166" t="s">
        <v>1022</v>
      </c>
      <c r="C428" s="78">
        <f t="shared" si="314"/>
        <v>0</v>
      </c>
      <c r="D428" s="164">
        <f t="shared" si="315"/>
        <v>0</v>
      </c>
      <c r="E428" s="117">
        <v>0</v>
      </c>
      <c r="F428" s="165">
        <f t="shared" si="316"/>
        <v>0</v>
      </c>
      <c r="G428" s="164">
        <v>0</v>
      </c>
      <c r="H428" s="164">
        <v>0</v>
      </c>
      <c r="I428" s="164">
        <v>0</v>
      </c>
      <c r="J428" s="117">
        <v>0</v>
      </c>
      <c r="K428" s="165">
        <f t="shared" si="311"/>
        <v>0</v>
      </c>
      <c r="L428" s="164">
        <v>0</v>
      </c>
      <c r="M428" s="164">
        <v>0</v>
      </c>
      <c r="N428" s="164">
        <v>0</v>
      </c>
      <c r="O428" s="78">
        <v>0</v>
      </c>
      <c r="P428" s="164">
        <f t="shared" si="312"/>
        <v>0</v>
      </c>
      <c r="Q428" s="164">
        <v>0</v>
      </c>
      <c r="R428" s="164">
        <v>0</v>
      </c>
      <c r="S428" s="81">
        <v>0</v>
      </c>
      <c r="T428" s="78">
        <v>0</v>
      </c>
      <c r="U428" s="164">
        <v>0</v>
      </c>
      <c r="V428" s="164">
        <v>0</v>
      </c>
      <c r="W428" s="164">
        <v>0</v>
      </c>
      <c r="X428" s="81">
        <v>0</v>
      </c>
      <c r="Y428" s="78">
        <v>0</v>
      </c>
      <c r="Z428" s="164">
        <f t="shared" si="313"/>
        <v>0</v>
      </c>
      <c r="AA428" s="164">
        <v>0</v>
      </c>
      <c r="AB428" s="164">
        <v>0</v>
      </c>
      <c r="AC428" s="81">
        <v>0</v>
      </c>
      <c r="AD428" s="135"/>
    </row>
    <row r="429" spans="1:30" s="147" customFormat="1" ht="26.45" customHeight="1" outlineLevel="1" x14ac:dyDescent="0.2">
      <c r="A429" s="153" t="s">
        <v>1504</v>
      </c>
      <c r="B429" s="166" t="s">
        <v>249</v>
      </c>
      <c r="C429" s="78">
        <f t="shared" si="314"/>
        <v>0</v>
      </c>
      <c r="D429" s="164">
        <f t="shared" si="315"/>
        <v>0</v>
      </c>
      <c r="E429" s="117">
        <v>0</v>
      </c>
      <c r="F429" s="165">
        <f t="shared" si="316"/>
        <v>0</v>
      </c>
      <c r="G429" s="164">
        <v>0</v>
      </c>
      <c r="H429" s="164">
        <v>0</v>
      </c>
      <c r="I429" s="164">
        <v>0</v>
      </c>
      <c r="J429" s="117">
        <v>0</v>
      </c>
      <c r="K429" s="165">
        <f t="shared" si="311"/>
        <v>0</v>
      </c>
      <c r="L429" s="164">
        <v>0</v>
      </c>
      <c r="M429" s="164">
        <v>0</v>
      </c>
      <c r="N429" s="164">
        <v>0</v>
      </c>
      <c r="O429" s="78">
        <v>0</v>
      </c>
      <c r="P429" s="164">
        <f t="shared" si="312"/>
        <v>0</v>
      </c>
      <c r="Q429" s="164">
        <v>0</v>
      </c>
      <c r="R429" s="164">
        <v>0</v>
      </c>
      <c r="S429" s="81">
        <v>0</v>
      </c>
      <c r="T429" s="78">
        <v>0</v>
      </c>
      <c r="U429" s="164">
        <v>0</v>
      </c>
      <c r="V429" s="164">
        <v>0</v>
      </c>
      <c r="W429" s="164">
        <v>0</v>
      </c>
      <c r="X429" s="81">
        <v>0</v>
      </c>
      <c r="Y429" s="78">
        <v>0</v>
      </c>
      <c r="Z429" s="164">
        <f t="shared" si="313"/>
        <v>0</v>
      </c>
      <c r="AA429" s="164">
        <v>0</v>
      </c>
      <c r="AB429" s="164">
        <v>0</v>
      </c>
      <c r="AC429" s="81">
        <v>0</v>
      </c>
      <c r="AD429" s="135"/>
    </row>
    <row r="430" spans="1:30" s="147" customFormat="1" ht="24" customHeight="1" outlineLevel="1" x14ac:dyDescent="0.2">
      <c r="A430" s="153" t="s">
        <v>1505</v>
      </c>
      <c r="B430" s="166" t="s">
        <v>357</v>
      </c>
      <c r="C430" s="78">
        <f t="shared" si="314"/>
        <v>0</v>
      </c>
      <c r="D430" s="164">
        <f t="shared" si="315"/>
        <v>0</v>
      </c>
      <c r="E430" s="117">
        <v>0</v>
      </c>
      <c r="F430" s="165">
        <f t="shared" si="316"/>
        <v>0</v>
      </c>
      <c r="G430" s="164">
        <v>0</v>
      </c>
      <c r="H430" s="164">
        <v>0</v>
      </c>
      <c r="I430" s="164">
        <v>0</v>
      </c>
      <c r="J430" s="117">
        <v>0</v>
      </c>
      <c r="K430" s="165">
        <f t="shared" si="311"/>
        <v>0</v>
      </c>
      <c r="L430" s="164">
        <v>0</v>
      </c>
      <c r="M430" s="164">
        <v>0</v>
      </c>
      <c r="N430" s="164">
        <v>0</v>
      </c>
      <c r="O430" s="78">
        <v>0</v>
      </c>
      <c r="P430" s="164">
        <f t="shared" si="312"/>
        <v>0</v>
      </c>
      <c r="Q430" s="164">
        <v>0</v>
      </c>
      <c r="R430" s="164">
        <v>0</v>
      </c>
      <c r="S430" s="81">
        <v>0</v>
      </c>
      <c r="T430" s="78">
        <v>0</v>
      </c>
      <c r="U430" s="164">
        <v>0</v>
      </c>
      <c r="V430" s="164">
        <v>0</v>
      </c>
      <c r="W430" s="164">
        <v>0</v>
      </c>
      <c r="X430" s="81">
        <v>0</v>
      </c>
      <c r="Y430" s="78">
        <v>0</v>
      </c>
      <c r="Z430" s="164">
        <f t="shared" si="313"/>
        <v>0</v>
      </c>
      <c r="AA430" s="164">
        <v>0</v>
      </c>
      <c r="AB430" s="164">
        <v>0</v>
      </c>
      <c r="AC430" s="81">
        <v>0</v>
      </c>
      <c r="AD430" s="135"/>
    </row>
    <row r="431" spans="1:30" s="147" customFormat="1" ht="23.45" customHeight="1" outlineLevel="1" x14ac:dyDescent="0.2">
      <c r="A431" s="153" t="s">
        <v>1506</v>
      </c>
      <c r="B431" s="166" t="s">
        <v>250</v>
      </c>
      <c r="C431" s="78">
        <f t="shared" si="314"/>
        <v>0</v>
      </c>
      <c r="D431" s="164">
        <f t="shared" si="315"/>
        <v>0</v>
      </c>
      <c r="E431" s="117">
        <v>0</v>
      </c>
      <c r="F431" s="165">
        <f t="shared" si="316"/>
        <v>0</v>
      </c>
      <c r="G431" s="164">
        <v>0</v>
      </c>
      <c r="H431" s="164">
        <v>0</v>
      </c>
      <c r="I431" s="164">
        <v>0</v>
      </c>
      <c r="J431" s="117">
        <v>0</v>
      </c>
      <c r="K431" s="165">
        <f t="shared" ref="K431" si="317">L431+M431+N431</f>
        <v>0</v>
      </c>
      <c r="L431" s="164">
        <v>0</v>
      </c>
      <c r="M431" s="164">
        <v>0</v>
      </c>
      <c r="N431" s="164">
        <v>0</v>
      </c>
      <c r="O431" s="78">
        <v>0</v>
      </c>
      <c r="P431" s="164">
        <f t="shared" ref="P431" si="318">Q431+R431+S431</f>
        <v>0</v>
      </c>
      <c r="Q431" s="164">
        <v>0</v>
      </c>
      <c r="R431" s="164">
        <v>0</v>
      </c>
      <c r="S431" s="81">
        <v>0</v>
      </c>
      <c r="T431" s="78">
        <v>0</v>
      </c>
      <c r="U431" s="164">
        <v>0</v>
      </c>
      <c r="V431" s="164">
        <v>0</v>
      </c>
      <c r="W431" s="164">
        <v>0</v>
      </c>
      <c r="X431" s="81">
        <v>0</v>
      </c>
      <c r="Y431" s="78">
        <v>0</v>
      </c>
      <c r="Z431" s="164">
        <f t="shared" ref="Z431" si="319">AA431+AB431+AC431</f>
        <v>0</v>
      </c>
      <c r="AA431" s="164">
        <v>0</v>
      </c>
      <c r="AB431" s="164">
        <v>0</v>
      </c>
      <c r="AC431" s="81">
        <v>0</v>
      </c>
      <c r="AD431" s="135"/>
    </row>
    <row r="432" spans="1:30" s="147" customFormat="1" ht="27" customHeight="1" outlineLevel="1" x14ac:dyDescent="0.2">
      <c r="A432" s="167"/>
      <c r="B432" s="168" t="s">
        <v>360</v>
      </c>
      <c r="C432" s="167">
        <f>SUM(C433:C434)</f>
        <v>0</v>
      </c>
      <c r="D432" s="169">
        <f>SUM(D433:D434)</f>
        <v>0</v>
      </c>
      <c r="E432" s="167">
        <f t="shared" ref="E432:O432" si="320">SUM(E433:E434)</f>
        <v>0</v>
      </c>
      <c r="F432" s="169">
        <f>SUM(F433:F434)</f>
        <v>0</v>
      </c>
      <c r="G432" s="169">
        <f t="shared" si="320"/>
        <v>0</v>
      </c>
      <c r="H432" s="169">
        <f t="shared" si="320"/>
        <v>0</v>
      </c>
      <c r="I432" s="169">
        <f t="shared" si="320"/>
        <v>0</v>
      </c>
      <c r="J432" s="167">
        <f t="shared" si="320"/>
        <v>0</v>
      </c>
      <c r="K432" s="169">
        <f t="shared" ref="K432:K465" si="321">SUM(L432:N432)</f>
        <v>0</v>
      </c>
      <c r="L432" s="169">
        <f t="shared" si="320"/>
        <v>0</v>
      </c>
      <c r="M432" s="169">
        <f t="shared" si="320"/>
        <v>0</v>
      </c>
      <c r="N432" s="169">
        <f t="shared" si="320"/>
        <v>0</v>
      </c>
      <c r="O432" s="167">
        <f t="shared" si="320"/>
        <v>0</v>
      </c>
      <c r="P432" s="162">
        <f>Q432+R432+S432</f>
        <v>0</v>
      </c>
      <c r="Q432" s="169">
        <f>SUM(Q433:Q434)</f>
        <v>0</v>
      </c>
      <c r="R432" s="169">
        <f>SUM(R433:R434)</f>
        <v>0</v>
      </c>
      <c r="S432" s="169">
        <f>SUM(S433:S434)</f>
        <v>0</v>
      </c>
      <c r="T432" s="167">
        <f>SUM(T433:T434)</f>
        <v>0</v>
      </c>
      <c r="U432" s="162">
        <f t="shared" ref="U432:U463" si="322">V432+W432+X432</f>
        <v>0</v>
      </c>
      <c r="V432" s="169">
        <f>SUM(AA433:AA434)</f>
        <v>0</v>
      </c>
      <c r="W432" s="169">
        <f>SUM(AB433:AB434)</f>
        <v>0</v>
      </c>
      <c r="X432" s="169">
        <f t="shared" ref="X432:AC432" si="323">SUM(X433:X434)</f>
        <v>0</v>
      </c>
      <c r="Y432" s="167">
        <f t="shared" si="323"/>
        <v>0</v>
      </c>
      <c r="Z432" s="162">
        <f t="shared" si="323"/>
        <v>0</v>
      </c>
      <c r="AA432" s="169">
        <f t="shared" si="323"/>
        <v>0</v>
      </c>
      <c r="AB432" s="169">
        <f t="shared" si="323"/>
        <v>0</v>
      </c>
      <c r="AC432" s="169">
        <f t="shared" si="323"/>
        <v>0</v>
      </c>
      <c r="AD432" s="135"/>
    </row>
    <row r="433" spans="1:30" s="147" customFormat="1" ht="25.15" customHeight="1" outlineLevel="1" x14ac:dyDescent="0.2">
      <c r="A433" s="153" t="s">
        <v>1507</v>
      </c>
      <c r="B433" s="166" t="s">
        <v>338</v>
      </c>
      <c r="C433" s="78">
        <f>E433+J433+O433+Y433+U433</f>
        <v>0</v>
      </c>
      <c r="D433" s="164">
        <f t="shared" si="315"/>
        <v>0</v>
      </c>
      <c r="E433" s="117">
        <v>0</v>
      </c>
      <c r="F433" s="165">
        <f t="shared" si="316"/>
        <v>0</v>
      </c>
      <c r="G433" s="164">
        <v>0</v>
      </c>
      <c r="H433" s="164">
        <v>0</v>
      </c>
      <c r="I433" s="164">
        <v>0</v>
      </c>
      <c r="J433" s="117">
        <v>0</v>
      </c>
      <c r="K433" s="165">
        <f t="shared" ref="K433:K434" si="324">SUM(L433:N433)</f>
        <v>0</v>
      </c>
      <c r="L433" s="164">
        <v>0</v>
      </c>
      <c r="M433" s="164">
        <v>0</v>
      </c>
      <c r="N433" s="164">
        <v>0</v>
      </c>
      <c r="O433" s="78">
        <v>0</v>
      </c>
      <c r="P433" s="164">
        <f t="shared" ref="P433:P498" si="325">Q433+R433+S433</f>
        <v>0</v>
      </c>
      <c r="Q433" s="164">
        <v>0</v>
      </c>
      <c r="R433" s="164">
        <v>0</v>
      </c>
      <c r="S433" s="81">
        <v>0</v>
      </c>
      <c r="T433" s="78">
        <v>0</v>
      </c>
      <c r="U433" s="164">
        <f t="shared" si="322"/>
        <v>0</v>
      </c>
      <c r="V433" s="170">
        <v>0</v>
      </c>
      <c r="W433" s="170">
        <v>0</v>
      </c>
      <c r="X433" s="170">
        <v>0</v>
      </c>
      <c r="Y433" s="78">
        <v>0</v>
      </c>
      <c r="Z433" s="164">
        <f>AA433+AB433+AC433</f>
        <v>0</v>
      </c>
      <c r="AA433" s="164">
        <v>0</v>
      </c>
      <c r="AB433" s="164">
        <v>0</v>
      </c>
      <c r="AC433" s="81">
        <v>0</v>
      </c>
      <c r="AD433" s="135"/>
    </row>
    <row r="434" spans="1:30" s="147" customFormat="1" ht="34.9" customHeight="1" outlineLevel="1" x14ac:dyDescent="0.2">
      <c r="A434" s="153" t="s">
        <v>1508</v>
      </c>
      <c r="B434" s="166" t="s">
        <v>348</v>
      </c>
      <c r="C434" s="78">
        <f>E434+J434+O434+Y434+U434</f>
        <v>0</v>
      </c>
      <c r="D434" s="164">
        <f t="shared" si="315"/>
        <v>0</v>
      </c>
      <c r="E434" s="117">
        <v>0</v>
      </c>
      <c r="F434" s="165">
        <f t="shared" si="316"/>
        <v>0</v>
      </c>
      <c r="G434" s="164">
        <v>0</v>
      </c>
      <c r="H434" s="164">
        <v>0</v>
      </c>
      <c r="I434" s="164">
        <v>0</v>
      </c>
      <c r="J434" s="117">
        <v>0</v>
      </c>
      <c r="K434" s="165">
        <f t="shared" si="324"/>
        <v>0</v>
      </c>
      <c r="L434" s="164">
        <v>0</v>
      </c>
      <c r="M434" s="164">
        <v>0</v>
      </c>
      <c r="N434" s="164">
        <v>0</v>
      </c>
      <c r="O434" s="78">
        <v>0</v>
      </c>
      <c r="P434" s="164">
        <f t="shared" si="325"/>
        <v>0</v>
      </c>
      <c r="Q434" s="164">
        <v>0</v>
      </c>
      <c r="R434" s="164">
        <v>0</v>
      </c>
      <c r="S434" s="81">
        <v>0</v>
      </c>
      <c r="T434" s="78">
        <v>0</v>
      </c>
      <c r="U434" s="170">
        <v>0</v>
      </c>
      <c r="V434" s="170">
        <v>0</v>
      </c>
      <c r="W434" s="170">
        <v>0</v>
      </c>
      <c r="X434" s="170">
        <v>0</v>
      </c>
      <c r="Y434" s="78">
        <v>0</v>
      </c>
      <c r="Z434" s="164">
        <f>AA434+AB434+AC434</f>
        <v>0</v>
      </c>
      <c r="AA434" s="164">
        <v>0</v>
      </c>
      <c r="AB434" s="164">
        <v>0</v>
      </c>
      <c r="AC434" s="81">
        <v>0</v>
      </c>
      <c r="AD434" s="135"/>
    </row>
    <row r="435" spans="1:30" s="147" customFormat="1" ht="32.450000000000003" customHeight="1" outlineLevel="1" x14ac:dyDescent="0.2">
      <c r="A435" s="133"/>
      <c r="B435" s="168" t="s">
        <v>339</v>
      </c>
      <c r="C435" s="167">
        <f>SUM(C436:C460)</f>
        <v>23.700000000000003</v>
      </c>
      <c r="D435" s="169">
        <f>SUM(D436:D462)</f>
        <v>5207</v>
      </c>
      <c r="E435" s="167">
        <f t="shared" ref="E435:X435" si="326">SUM(E436:E460)</f>
        <v>13.8</v>
      </c>
      <c r="F435" s="169">
        <f>SUM(F436:F461)</f>
        <v>2746</v>
      </c>
      <c r="G435" s="169">
        <f t="shared" si="326"/>
        <v>0</v>
      </c>
      <c r="H435" s="169">
        <f t="shared" si="326"/>
        <v>0</v>
      </c>
      <c r="I435" s="169">
        <f t="shared" si="326"/>
        <v>2746</v>
      </c>
      <c r="J435" s="167">
        <f>SUM(J436:J461)</f>
        <v>0</v>
      </c>
      <c r="K435" s="169">
        <f>SUM(K436:K461)</f>
        <v>0</v>
      </c>
      <c r="L435" s="169">
        <f t="shared" si="326"/>
        <v>0</v>
      </c>
      <c r="M435" s="169">
        <f t="shared" si="326"/>
        <v>0</v>
      </c>
      <c r="N435" s="169">
        <f>SUM(N436:N461)</f>
        <v>0</v>
      </c>
      <c r="O435" s="167">
        <f>SUM(O436:O461)</f>
        <v>5.9</v>
      </c>
      <c r="P435" s="169">
        <f>SUM(P437:P461)</f>
        <v>1188</v>
      </c>
      <c r="Q435" s="169">
        <f t="shared" si="326"/>
        <v>0</v>
      </c>
      <c r="R435" s="169">
        <f t="shared" si="326"/>
        <v>0</v>
      </c>
      <c r="S435" s="169">
        <f>SUM(S436:S462)</f>
        <v>1533</v>
      </c>
      <c r="T435" s="167">
        <f t="shared" si="326"/>
        <v>4</v>
      </c>
      <c r="U435" s="169">
        <f>SUM(U436:U460)</f>
        <v>928</v>
      </c>
      <c r="V435" s="169">
        <f t="shared" si="326"/>
        <v>0</v>
      </c>
      <c r="W435" s="169">
        <f t="shared" si="326"/>
        <v>0</v>
      </c>
      <c r="X435" s="169">
        <f t="shared" si="326"/>
        <v>928</v>
      </c>
      <c r="Y435" s="167">
        <f>SUM(Y436:Y460)</f>
        <v>0</v>
      </c>
      <c r="Z435" s="169">
        <f>SUM(Z436:Z460)</f>
        <v>0</v>
      </c>
      <c r="AA435" s="169">
        <f>SUM(AA436:AA460)</f>
        <v>0</v>
      </c>
      <c r="AB435" s="169">
        <f>SUM(AB436:AB460)</f>
        <v>0</v>
      </c>
      <c r="AC435" s="169">
        <f>SUM(AC436:AC460)</f>
        <v>0</v>
      </c>
      <c r="AD435" s="135"/>
    </row>
    <row r="436" spans="1:30" s="147" customFormat="1" ht="42.75" customHeight="1" outlineLevel="1" x14ac:dyDescent="0.2">
      <c r="A436" s="153" t="s">
        <v>1509</v>
      </c>
      <c r="B436" s="166" t="s">
        <v>683</v>
      </c>
      <c r="C436" s="78">
        <f>E436+J436+P436+T436+Y436</f>
        <v>7.25</v>
      </c>
      <c r="D436" s="118">
        <f>F436+K436+P436+Z436+U436</f>
        <v>831</v>
      </c>
      <c r="E436" s="117">
        <v>7.25</v>
      </c>
      <c r="F436" s="130">
        <f t="shared" si="316"/>
        <v>831</v>
      </c>
      <c r="G436" s="130">
        <v>0</v>
      </c>
      <c r="H436" s="130">
        <v>0</v>
      </c>
      <c r="I436" s="130">
        <v>831</v>
      </c>
      <c r="J436" s="117">
        <f t="shared" ref="J436:K451" si="327">K436+L436+M436</f>
        <v>0</v>
      </c>
      <c r="K436" s="130">
        <f t="shared" si="327"/>
        <v>0</v>
      </c>
      <c r="L436" s="130">
        <v>0</v>
      </c>
      <c r="M436" s="130">
        <v>0</v>
      </c>
      <c r="N436" s="130">
        <v>0</v>
      </c>
      <c r="O436" s="77">
        <v>0</v>
      </c>
      <c r="P436" s="164">
        <v>0</v>
      </c>
      <c r="Q436" s="130">
        <v>0</v>
      </c>
      <c r="R436" s="130">
        <v>0</v>
      </c>
      <c r="S436" s="130">
        <v>0</v>
      </c>
      <c r="T436" s="117">
        <v>0</v>
      </c>
      <c r="U436" s="130">
        <f>V436+W436+X436</f>
        <v>0</v>
      </c>
      <c r="V436" s="130">
        <v>0</v>
      </c>
      <c r="W436" s="130">
        <v>0</v>
      </c>
      <c r="X436" s="130">
        <v>0</v>
      </c>
      <c r="Y436" s="117">
        <v>0</v>
      </c>
      <c r="Z436" s="130">
        <f t="shared" ref="Z436" si="328">AA436+AB436+AC436</f>
        <v>0</v>
      </c>
      <c r="AA436" s="130">
        <v>0</v>
      </c>
      <c r="AB436" s="130">
        <v>0</v>
      </c>
      <c r="AC436" s="130">
        <v>0</v>
      </c>
      <c r="AD436" s="135"/>
    </row>
    <row r="437" spans="1:30" s="147" customFormat="1" ht="44.45" customHeight="1" outlineLevel="1" x14ac:dyDescent="0.2">
      <c r="A437" s="153" t="s">
        <v>1510</v>
      </c>
      <c r="B437" s="166" t="s">
        <v>251</v>
      </c>
      <c r="C437" s="78">
        <f t="shared" ref="C437:C460" si="329">E437+J437+O437+T437+Y437</f>
        <v>0</v>
      </c>
      <c r="D437" s="118">
        <f t="shared" si="315"/>
        <v>0</v>
      </c>
      <c r="E437" s="117">
        <v>0</v>
      </c>
      <c r="F437" s="130">
        <f t="shared" si="316"/>
        <v>0</v>
      </c>
      <c r="G437" s="164">
        <v>0</v>
      </c>
      <c r="H437" s="164">
        <v>0</v>
      </c>
      <c r="I437" s="164">
        <v>0</v>
      </c>
      <c r="J437" s="117">
        <v>0</v>
      </c>
      <c r="K437" s="130">
        <f t="shared" si="327"/>
        <v>0</v>
      </c>
      <c r="L437" s="164">
        <v>0</v>
      </c>
      <c r="M437" s="164">
        <v>0</v>
      </c>
      <c r="N437" s="164">
        <v>0</v>
      </c>
      <c r="O437" s="78">
        <v>0</v>
      </c>
      <c r="P437" s="164">
        <f t="shared" si="325"/>
        <v>0</v>
      </c>
      <c r="Q437" s="164">
        <v>0</v>
      </c>
      <c r="R437" s="164">
        <v>0</v>
      </c>
      <c r="S437" s="81">
        <v>0</v>
      </c>
      <c r="T437" s="78">
        <v>0</v>
      </c>
      <c r="U437" s="164">
        <v>0</v>
      </c>
      <c r="V437" s="164">
        <v>0</v>
      </c>
      <c r="W437" s="164">
        <v>0</v>
      </c>
      <c r="X437" s="164">
        <v>0</v>
      </c>
      <c r="Y437" s="78">
        <v>0</v>
      </c>
      <c r="Z437" s="164">
        <f t="shared" ref="Z437:Z458" si="330">AA437+AB437+AC437</f>
        <v>0</v>
      </c>
      <c r="AA437" s="164">
        <v>0</v>
      </c>
      <c r="AB437" s="164">
        <v>0</v>
      </c>
      <c r="AC437" s="81">
        <v>0</v>
      </c>
      <c r="AD437" s="135"/>
    </row>
    <row r="438" spans="1:30" s="147" customFormat="1" ht="31.9" customHeight="1" outlineLevel="1" x14ac:dyDescent="0.2">
      <c r="A438" s="153" t="s">
        <v>1511</v>
      </c>
      <c r="B438" s="171" t="s">
        <v>1703</v>
      </c>
      <c r="C438" s="78">
        <f t="shared" si="329"/>
        <v>4</v>
      </c>
      <c r="D438" s="118">
        <f t="shared" ref="D438:D461" si="331">F438+K438+P438+Z438+U438</f>
        <v>928</v>
      </c>
      <c r="E438" s="117">
        <v>0</v>
      </c>
      <c r="F438" s="130">
        <f t="shared" ref="F438:F461" si="332">G438+H438+I438</f>
        <v>0</v>
      </c>
      <c r="G438" s="164">
        <v>0</v>
      </c>
      <c r="H438" s="164">
        <v>0</v>
      </c>
      <c r="I438" s="164">
        <v>0</v>
      </c>
      <c r="J438" s="117">
        <v>0</v>
      </c>
      <c r="K438" s="130">
        <f t="shared" si="327"/>
        <v>0</v>
      </c>
      <c r="L438" s="164">
        <v>0</v>
      </c>
      <c r="M438" s="164">
        <v>0</v>
      </c>
      <c r="N438" s="164">
        <v>0</v>
      </c>
      <c r="O438" s="78">
        <v>0</v>
      </c>
      <c r="P438" s="164">
        <f t="shared" si="325"/>
        <v>0</v>
      </c>
      <c r="Q438" s="164">
        <v>0</v>
      </c>
      <c r="R438" s="164">
        <v>0</v>
      </c>
      <c r="S438" s="81">
        <v>0</v>
      </c>
      <c r="T438" s="78">
        <v>4</v>
      </c>
      <c r="U438" s="164">
        <f>V438+W438+X438</f>
        <v>928</v>
      </c>
      <c r="V438" s="164">
        <v>0</v>
      </c>
      <c r="W438" s="164">
        <v>0</v>
      </c>
      <c r="X438" s="164">
        <v>928</v>
      </c>
      <c r="Y438" s="78">
        <v>0</v>
      </c>
      <c r="Z438" s="164">
        <f t="shared" si="330"/>
        <v>0</v>
      </c>
      <c r="AA438" s="164">
        <v>0</v>
      </c>
      <c r="AB438" s="164">
        <v>0</v>
      </c>
      <c r="AC438" s="81">
        <v>0</v>
      </c>
      <c r="AD438" s="135"/>
    </row>
    <row r="439" spans="1:30" s="147" customFormat="1" ht="24" customHeight="1" outlineLevel="1" x14ac:dyDescent="0.2">
      <c r="A439" s="153" t="s">
        <v>1512</v>
      </c>
      <c r="B439" s="166" t="s">
        <v>1700</v>
      </c>
      <c r="C439" s="78">
        <f t="shared" si="329"/>
        <v>4.46</v>
      </c>
      <c r="D439" s="118">
        <f t="shared" si="331"/>
        <v>885</v>
      </c>
      <c r="E439" s="117">
        <v>0</v>
      </c>
      <c r="F439" s="130">
        <f t="shared" si="332"/>
        <v>0</v>
      </c>
      <c r="G439" s="164">
        <v>0</v>
      </c>
      <c r="H439" s="164">
        <v>0</v>
      </c>
      <c r="I439" s="164">
        <v>0</v>
      </c>
      <c r="J439" s="117">
        <v>0</v>
      </c>
      <c r="K439" s="130">
        <f t="shared" si="327"/>
        <v>0</v>
      </c>
      <c r="L439" s="164">
        <v>0</v>
      </c>
      <c r="M439" s="164">
        <v>0</v>
      </c>
      <c r="N439" s="164">
        <v>0</v>
      </c>
      <c r="O439" s="78">
        <v>4.46</v>
      </c>
      <c r="P439" s="164">
        <f t="shared" si="325"/>
        <v>885</v>
      </c>
      <c r="Q439" s="164">
        <v>0</v>
      </c>
      <c r="R439" s="164">
        <v>0</v>
      </c>
      <c r="S439" s="81">
        <v>885</v>
      </c>
      <c r="T439" s="78">
        <v>0</v>
      </c>
      <c r="U439" s="164">
        <v>0</v>
      </c>
      <c r="V439" s="164">
        <v>0</v>
      </c>
      <c r="W439" s="164">
        <v>0</v>
      </c>
      <c r="X439" s="164">
        <v>0</v>
      </c>
      <c r="Y439" s="78">
        <v>0</v>
      </c>
      <c r="Z439" s="164">
        <f t="shared" si="330"/>
        <v>0</v>
      </c>
      <c r="AA439" s="164">
        <v>0</v>
      </c>
      <c r="AB439" s="164">
        <v>0</v>
      </c>
      <c r="AC439" s="81">
        <v>0</v>
      </c>
      <c r="AD439" s="135"/>
    </row>
    <row r="440" spans="1:30" s="147" customFormat="1" ht="26.45" customHeight="1" outlineLevel="1" x14ac:dyDescent="0.2">
      <c r="A440" s="153" t="s">
        <v>1513</v>
      </c>
      <c r="B440" s="166" t="s">
        <v>252</v>
      </c>
      <c r="C440" s="78">
        <f t="shared" si="329"/>
        <v>0</v>
      </c>
      <c r="D440" s="118">
        <f t="shared" si="331"/>
        <v>0</v>
      </c>
      <c r="E440" s="117">
        <v>0</v>
      </c>
      <c r="F440" s="130">
        <f t="shared" si="332"/>
        <v>0</v>
      </c>
      <c r="G440" s="164">
        <v>0</v>
      </c>
      <c r="H440" s="164">
        <v>0</v>
      </c>
      <c r="I440" s="164">
        <v>0</v>
      </c>
      <c r="J440" s="117">
        <v>0</v>
      </c>
      <c r="K440" s="130">
        <f t="shared" si="327"/>
        <v>0</v>
      </c>
      <c r="L440" s="164">
        <v>0</v>
      </c>
      <c r="M440" s="164">
        <v>0</v>
      </c>
      <c r="N440" s="164">
        <v>0</v>
      </c>
      <c r="O440" s="78">
        <v>0</v>
      </c>
      <c r="P440" s="164">
        <f t="shared" si="325"/>
        <v>0</v>
      </c>
      <c r="Q440" s="164">
        <v>0</v>
      </c>
      <c r="R440" s="164">
        <v>0</v>
      </c>
      <c r="S440" s="81">
        <v>0</v>
      </c>
      <c r="T440" s="78">
        <v>0</v>
      </c>
      <c r="U440" s="164">
        <v>0</v>
      </c>
      <c r="V440" s="164">
        <v>0</v>
      </c>
      <c r="W440" s="164">
        <v>0</v>
      </c>
      <c r="X440" s="164">
        <v>0</v>
      </c>
      <c r="Y440" s="78">
        <v>0</v>
      </c>
      <c r="Z440" s="164">
        <f t="shared" si="330"/>
        <v>0</v>
      </c>
      <c r="AA440" s="164">
        <v>0</v>
      </c>
      <c r="AB440" s="164">
        <v>0</v>
      </c>
      <c r="AC440" s="81">
        <v>0</v>
      </c>
      <c r="AD440" s="135"/>
    </row>
    <row r="441" spans="1:30" s="147" customFormat="1" ht="27" customHeight="1" outlineLevel="1" x14ac:dyDescent="0.2">
      <c r="A441" s="153" t="s">
        <v>1514</v>
      </c>
      <c r="B441" s="166" t="s">
        <v>461</v>
      </c>
      <c r="C441" s="78">
        <f t="shared" si="329"/>
        <v>0</v>
      </c>
      <c r="D441" s="118">
        <f>F441+K441+P441+Z441+U441</f>
        <v>0</v>
      </c>
      <c r="E441" s="117">
        <v>0</v>
      </c>
      <c r="F441" s="130">
        <f t="shared" si="332"/>
        <v>0</v>
      </c>
      <c r="G441" s="164">
        <v>0</v>
      </c>
      <c r="H441" s="164">
        <v>0</v>
      </c>
      <c r="I441" s="164">
        <v>0</v>
      </c>
      <c r="J441" s="117">
        <v>0</v>
      </c>
      <c r="K441" s="130">
        <f t="shared" si="327"/>
        <v>0</v>
      </c>
      <c r="L441" s="164">
        <v>0</v>
      </c>
      <c r="M441" s="164">
        <v>0</v>
      </c>
      <c r="N441" s="164">
        <v>0</v>
      </c>
      <c r="O441" s="78">
        <v>0</v>
      </c>
      <c r="P441" s="164">
        <f t="shared" si="325"/>
        <v>0</v>
      </c>
      <c r="Q441" s="164">
        <v>0</v>
      </c>
      <c r="R441" s="164">
        <v>0</v>
      </c>
      <c r="S441" s="81">
        <v>0</v>
      </c>
      <c r="T441" s="78">
        <v>0</v>
      </c>
      <c r="U441" s="164">
        <f>V441+W441+X441</f>
        <v>0</v>
      </c>
      <c r="V441" s="164">
        <v>0</v>
      </c>
      <c r="W441" s="164">
        <v>0</v>
      </c>
      <c r="X441" s="164">
        <v>0</v>
      </c>
      <c r="Y441" s="78">
        <v>0</v>
      </c>
      <c r="Z441" s="164">
        <f t="shared" si="330"/>
        <v>0</v>
      </c>
      <c r="AA441" s="164">
        <v>0</v>
      </c>
      <c r="AB441" s="164">
        <v>0</v>
      </c>
      <c r="AC441" s="81">
        <v>0</v>
      </c>
      <c r="AD441" s="135"/>
    </row>
    <row r="442" spans="1:30" s="147" customFormat="1" ht="24" customHeight="1" outlineLevel="1" x14ac:dyDescent="0.2">
      <c r="A442" s="153" t="s">
        <v>1515</v>
      </c>
      <c r="B442" s="166" t="s">
        <v>462</v>
      </c>
      <c r="C442" s="78">
        <f t="shared" si="329"/>
        <v>0</v>
      </c>
      <c r="D442" s="118">
        <f t="shared" si="331"/>
        <v>0</v>
      </c>
      <c r="E442" s="117">
        <v>0</v>
      </c>
      <c r="F442" s="130">
        <f t="shared" si="332"/>
        <v>0</v>
      </c>
      <c r="G442" s="164">
        <v>0</v>
      </c>
      <c r="H442" s="164">
        <v>0</v>
      </c>
      <c r="I442" s="164">
        <v>0</v>
      </c>
      <c r="J442" s="117">
        <v>0</v>
      </c>
      <c r="K442" s="130">
        <f t="shared" si="327"/>
        <v>0</v>
      </c>
      <c r="L442" s="164">
        <v>0</v>
      </c>
      <c r="M442" s="164">
        <v>0</v>
      </c>
      <c r="N442" s="164">
        <v>0</v>
      </c>
      <c r="O442" s="78">
        <v>0</v>
      </c>
      <c r="P442" s="164">
        <f t="shared" si="325"/>
        <v>0</v>
      </c>
      <c r="Q442" s="164">
        <v>0</v>
      </c>
      <c r="R442" s="164">
        <v>0</v>
      </c>
      <c r="S442" s="81">
        <v>0</v>
      </c>
      <c r="T442" s="78">
        <v>0</v>
      </c>
      <c r="U442" s="164">
        <v>0</v>
      </c>
      <c r="V442" s="164">
        <v>0</v>
      </c>
      <c r="W442" s="164">
        <v>0</v>
      </c>
      <c r="X442" s="164">
        <v>0</v>
      </c>
      <c r="Y442" s="78">
        <v>0</v>
      </c>
      <c r="Z442" s="164">
        <f t="shared" si="330"/>
        <v>0</v>
      </c>
      <c r="AA442" s="164">
        <v>0</v>
      </c>
      <c r="AB442" s="164">
        <v>0</v>
      </c>
      <c r="AC442" s="81">
        <v>0</v>
      </c>
      <c r="AD442" s="135"/>
    </row>
    <row r="443" spans="1:30" s="147" customFormat="1" ht="28.15" customHeight="1" outlineLevel="1" x14ac:dyDescent="0.2">
      <c r="A443" s="153" t="s">
        <v>1516</v>
      </c>
      <c r="B443" s="166" t="s">
        <v>463</v>
      </c>
      <c r="C443" s="78">
        <f t="shared" si="329"/>
        <v>0</v>
      </c>
      <c r="D443" s="118">
        <f t="shared" si="331"/>
        <v>0</v>
      </c>
      <c r="E443" s="117">
        <v>0</v>
      </c>
      <c r="F443" s="130">
        <f t="shared" si="332"/>
        <v>0</v>
      </c>
      <c r="G443" s="164">
        <v>0</v>
      </c>
      <c r="H443" s="164">
        <v>0</v>
      </c>
      <c r="I443" s="164">
        <v>0</v>
      </c>
      <c r="J443" s="117">
        <v>0</v>
      </c>
      <c r="K443" s="130">
        <f t="shared" si="327"/>
        <v>0</v>
      </c>
      <c r="L443" s="164">
        <v>0</v>
      </c>
      <c r="M443" s="164">
        <v>0</v>
      </c>
      <c r="N443" s="164">
        <v>0</v>
      </c>
      <c r="O443" s="78">
        <v>0</v>
      </c>
      <c r="P443" s="164">
        <f t="shared" si="325"/>
        <v>0</v>
      </c>
      <c r="Q443" s="164">
        <v>0</v>
      </c>
      <c r="R443" s="164">
        <v>0</v>
      </c>
      <c r="S443" s="81">
        <v>0</v>
      </c>
      <c r="T443" s="78">
        <v>0</v>
      </c>
      <c r="U443" s="164">
        <v>0</v>
      </c>
      <c r="V443" s="164">
        <v>0</v>
      </c>
      <c r="W443" s="164">
        <v>0</v>
      </c>
      <c r="X443" s="164">
        <v>0</v>
      </c>
      <c r="Y443" s="78">
        <v>0</v>
      </c>
      <c r="Z443" s="164">
        <f t="shared" si="330"/>
        <v>0</v>
      </c>
      <c r="AA443" s="164">
        <v>0</v>
      </c>
      <c r="AB443" s="164">
        <v>0</v>
      </c>
      <c r="AC443" s="81">
        <v>0</v>
      </c>
      <c r="AD443" s="135"/>
    </row>
    <row r="444" spans="1:30" s="147" customFormat="1" ht="23.45" customHeight="1" outlineLevel="1" x14ac:dyDescent="0.2">
      <c r="A444" s="153" t="s">
        <v>1517</v>
      </c>
      <c r="B444" s="166" t="s">
        <v>253</v>
      </c>
      <c r="C444" s="78">
        <f t="shared" si="329"/>
        <v>0</v>
      </c>
      <c r="D444" s="118">
        <f t="shared" si="331"/>
        <v>0</v>
      </c>
      <c r="E444" s="117">
        <v>0</v>
      </c>
      <c r="F444" s="130">
        <f t="shared" si="332"/>
        <v>0</v>
      </c>
      <c r="G444" s="164">
        <v>0</v>
      </c>
      <c r="H444" s="164">
        <v>0</v>
      </c>
      <c r="I444" s="164">
        <v>0</v>
      </c>
      <c r="J444" s="117">
        <v>0</v>
      </c>
      <c r="K444" s="130">
        <f t="shared" si="327"/>
        <v>0</v>
      </c>
      <c r="L444" s="164">
        <v>0</v>
      </c>
      <c r="M444" s="164">
        <v>0</v>
      </c>
      <c r="N444" s="164">
        <v>0</v>
      </c>
      <c r="O444" s="78">
        <v>0</v>
      </c>
      <c r="P444" s="164">
        <f t="shared" si="325"/>
        <v>0</v>
      </c>
      <c r="Q444" s="164">
        <v>0</v>
      </c>
      <c r="R444" s="164">
        <v>0</v>
      </c>
      <c r="S444" s="81">
        <v>0</v>
      </c>
      <c r="T444" s="78">
        <v>0</v>
      </c>
      <c r="U444" s="164">
        <v>0</v>
      </c>
      <c r="V444" s="164">
        <v>0</v>
      </c>
      <c r="W444" s="164">
        <v>0</v>
      </c>
      <c r="X444" s="164">
        <v>0</v>
      </c>
      <c r="Y444" s="78">
        <v>0</v>
      </c>
      <c r="Z444" s="164">
        <f t="shared" si="330"/>
        <v>0</v>
      </c>
      <c r="AA444" s="164">
        <v>0</v>
      </c>
      <c r="AB444" s="164">
        <v>0</v>
      </c>
      <c r="AC444" s="81">
        <v>0</v>
      </c>
      <c r="AD444" s="135"/>
    </row>
    <row r="445" spans="1:30" s="147" customFormat="1" ht="24" customHeight="1" outlineLevel="1" x14ac:dyDescent="0.2">
      <c r="A445" s="153" t="s">
        <v>1518</v>
      </c>
      <c r="B445" s="166" t="s">
        <v>254</v>
      </c>
      <c r="C445" s="78">
        <f t="shared" si="329"/>
        <v>0</v>
      </c>
      <c r="D445" s="118">
        <f t="shared" si="331"/>
        <v>0</v>
      </c>
      <c r="E445" s="117">
        <v>0</v>
      </c>
      <c r="F445" s="130">
        <f t="shared" si="332"/>
        <v>0</v>
      </c>
      <c r="G445" s="164">
        <v>0</v>
      </c>
      <c r="H445" s="164">
        <v>0</v>
      </c>
      <c r="I445" s="164">
        <v>0</v>
      </c>
      <c r="J445" s="117">
        <v>0</v>
      </c>
      <c r="K445" s="130">
        <f t="shared" si="327"/>
        <v>0</v>
      </c>
      <c r="L445" s="164">
        <v>0</v>
      </c>
      <c r="M445" s="164">
        <v>0</v>
      </c>
      <c r="N445" s="164">
        <v>0</v>
      </c>
      <c r="O445" s="78">
        <v>0</v>
      </c>
      <c r="P445" s="164">
        <f t="shared" si="325"/>
        <v>0</v>
      </c>
      <c r="Q445" s="164">
        <v>0</v>
      </c>
      <c r="R445" s="164">
        <v>0</v>
      </c>
      <c r="S445" s="81">
        <v>0</v>
      </c>
      <c r="T445" s="78">
        <v>0</v>
      </c>
      <c r="U445" s="164">
        <v>0</v>
      </c>
      <c r="V445" s="164">
        <v>0</v>
      </c>
      <c r="W445" s="164">
        <v>0</v>
      </c>
      <c r="X445" s="164">
        <v>0</v>
      </c>
      <c r="Y445" s="78">
        <v>0</v>
      </c>
      <c r="Z445" s="164">
        <f t="shared" si="330"/>
        <v>0</v>
      </c>
      <c r="AA445" s="164">
        <v>0</v>
      </c>
      <c r="AB445" s="164">
        <v>0</v>
      </c>
      <c r="AC445" s="81">
        <v>0</v>
      </c>
      <c r="AD445" s="135"/>
    </row>
    <row r="446" spans="1:30" s="147" customFormat="1" ht="22.9" customHeight="1" outlineLevel="1" x14ac:dyDescent="0.2">
      <c r="A446" s="153" t="s">
        <v>1519</v>
      </c>
      <c r="B446" s="166" t="s">
        <v>255</v>
      </c>
      <c r="C446" s="78">
        <f t="shared" si="329"/>
        <v>0</v>
      </c>
      <c r="D446" s="118">
        <f t="shared" si="331"/>
        <v>0</v>
      </c>
      <c r="E446" s="117">
        <v>0</v>
      </c>
      <c r="F446" s="130">
        <f t="shared" si="332"/>
        <v>0</v>
      </c>
      <c r="G446" s="164">
        <v>0</v>
      </c>
      <c r="H446" s="164">
        <v>0</v>
      </c>
      <c r="I446" s="164">
        <v>0</v>
      </c>
      <c r="J446" s="117">
        <v>0</v>
      </c>
      <c r="K446" s="130">
        <f t="shared" si="327"/>
        <v>0</v>
      </c>
      <c r="L446" s="164">
        <v>0</v>
      </c>
      <c r="M446" s="164">
        <v>0</v>
      </c>
      <c r="N446" s="164">
        <v>0</v>
      </c>
      <c r="O446" s="78">
        <v>0</v>
      </c>
      <c r="P446" s="164">
        <f t="shared" si="325"/>
        <v>0</v>
      </c>
      <c r="Q446" s="164">
        <v>0</v>
      </c>
      <c r="R446" s="164">
        <v>0</v>
      </c>
      <c r="S446" s="81">
        <v>0</v>
      </c>
      <c r="T446" s="78">
        <v>0</v>
      </c>
      <c r="U446" s="164">
        <v>0</v>
      </c>
      <c r="V446" s="164">
        <v>0</v>
      </c>
      <c r="W446" s="164">
        <v>0</v>
      </c>
      <c r="X446" s="164">
        <v>0</v>
      </c>
      <c r="Y446" s="78">
        <v>0</v>
      </c>
      <c r="Z446" s="164">
        <f t="shared" si="330"/>
        <v>0</v>
      </c>
      <c r="AA446" s="164">
        <v>0</v>
      </c>
      <c r="AB446" s="164">
        <v>0</v>
      </c>
      <c r="AC446" s="81">
        <v>0</v>
      </c>
      <c r="AD446" s="135"/>
    </row>
    <row r="447" spans="1:30" s="147" customFormat="1" ht="22.9" customHeight="1" outlineLevel="1" x14ac:dyDescent="0.2">
      <c r="A447" s="153" t="s">
        <v>1520</v>
      </c>
      <c r="B447" s="166" t="s">
        <v>464</v>
      </c>
      <c r="C447" s="78">
        <f t="shared" si="329"/>
        <v>0</v>
      </c>
      <c r="D447" s="118">
        <f t="shared" si="331"/>
        <v>0</v>
      </c>
      <c r="E447" s="117">
        <v>0</v>
      </c>
      <c r="F447" s="130">
        <f t="shared" si="332"/>
        <v>0</v>
      </c>
      <c r="G447" s="164">
        <v>0</v>
      </c>
      <c r="H447" s="164">
        <v>0</v>
      </c>
      <c r="I447" s="164">
        <v>0</v>
      </c>
      <c r="J447" s="117">
        <v>0</v>
      </c>
      <c r="K447" s="130">
        <f t="shared" si="327"/>
        <v>0</v>
      </c>
      <c r="L447" s="164">
        <v>0</v>
      </c>
      <c r="M447" s="164">
        <v>0</v>
      </c>
      <c r="N447" s="164">
        <v>0</v>
      </c>
      <c r="O447" s="78">
        <v>0</v>
      </c>
      <c r="P447" s="164">
        <f t="shared" si="325"/>
        <v>0</v>
      </c>
      <c r="Q447" s="164">
        <v>0</v>
      </c>
      <c r="R447" s="164">
        <v>0</v>
      </c>
      <c r="S447" s="81">
        <v>0</v>
      </c>
      <c r="T447" s="78">
        <v>0</v>
      </c>
      <c r="U447" s="164">
        <v>0</v>
      </c>
      <c r="V447" s="164">
        <v>0</v>
      </c>
      <c r="W447" s="164">
        <v>0</v>
      </c>
      <c r="X447" s="164">
        <v>0</v>
      </c>
      <c r="Y447" s="78">
        <v>0</v>
      </c>
      <c r="Z447" s="164">
        <f t="shared" si="330"/>
        <v>0</v>
      </c>
      <c r="AA447" s="164">
        <v>0</v>
      </c>
      <c r="AB447" s="164">
        <v>0</v>
      </c>
      <c r="AC447" s="81">
        <v>0</v>
      </c>
      <c r="AD447" s="135"/>
    </row>
    <row r="448" spans="1:30" s="147" customFormat="1" ht="22.15" customHeight="1" outlineLevel="1" x14ac:dyDescent="0.2">
      <c r="A448" s="153" t="s">
        <v>1521</v>
      </c>
      <c r="B448" s="166" t="s">
        <v>256</v>
      </c>
      <c r="C448" s="78">
        <f t="shared" si="329"/>
        <v>0</v>
      </c>
      <c r="D448" s="118">
        <f t="shared" si="331"/>
        <v>0</v>
      </c>
      <c r="E448" s="117">
        <v>0</v>
      </c>
      <c r="F448" s="130">
        <f t="shared" si="332"/>
        <v>0</v>
      </c>
      <c r="G448" s="164">
        <v>0</v>
      </c>
      <c r="H448" s="164">
        <v>0</v>
      </c>
      <c r="I448" s="164">
        <v>0</v>
      </c>
      <c r="J448" s="117">
        <v>0</v>
      </c>
      <c r="K448" s="130">
        <f t="shared" si="327"/>
        <v>0</v>
      </c>
      <c r="L448" s="164">
        <v>0</v>
      </c>
      <c r="M448" s="164">
        <v>0</v>
      </c>
      <c r="N448" s="164">
        <v>0</v>
      </c>
      <c r="O448" s="78">
        <v>0</v>
      </c>
      <c r="P448" s="164">
        <f t="shared" si="325"/>
        <v>0</v>
      </c>
      <c r="Q448" s="164">
        <v>0</v>
      </c>
      <c r="R448" s="164">
        <v>0</v>
      </c>
      <c r="S448" s="81">
        <v>0</v>
      </c>
      <c r="T448" s="78">
        <v>0</v>
      </c>
      <c r="U448" s="164">
        <v>0</v>
      </c>
      <c r="V448" s="164">
        <v>0</v>
      </c>
      <c r="W448" s="164">
        <v>0</v>
      </c>
      <c r="X448" s="164">
        <v>0</v>
      </c>
      <c r="Y448" s="78">
        <v>0</v>
      </c>
      <c r="Z448" s="164">
        <f t="shared" si="330"/>
        <v>0</v>
      </c>
      <c r="AA448" s="164">
        <v>0</v>
      </c>
      <c r="AB448" s="164">
        <v>0</v>
      </c>
      <c r="AC448" s="81">
        <v>0</v>
      </c>
      <c r="AD448" s="135"/>
    </row>
    <row r="449" spans="1:30" s="147" customFormat="1" ht="22.15" customHeight="1" outlineLevel="1" x14ac:dyDescent="0.2">
      <c r="A449" s="153" t="s">
        <v>1522</v>
      </c>
      <c r="B449" s="166" t="s">
        <v>257</v>
      </c>
      <c r="C449" s="78">
        <f t="shared" si="329"/>
        <v>0</v>
      </c>
      <c r="D449" s="118">
        <f t="shared" si="331"/>
        <v>0</v>
      </c>
      <c r="E449" s="117">
        <v>0</v>
      </c>
      <c r="F449" s="130">
        <f t="shared" si="332"/>
        <v>0</v>
      </c>
      <c r="G449" s="164">
        <v>0</v>
      </c>
      <c r="H449" s="164">
        <v>0</v>
      </c>
      <c r="I449" s="164">
        <v>0</v>
      </c>
      <c r="J449" s="117">
        <v>0</v>
      </c>
      <c r="K449" s="130">
        <f t="shared" si="327"/>
        <v>0</v>
      </c>
      <c r="L449" s="164">
        <v>0</v>
      </c>
      <c r="M449" s="164">
        <v>0</v>
      </c>
      <c r="N449" s="164">
        <v>0</v>
      </c>
      <c r="O449" s="78">
        <v>0</v>
      </c>
      <c r="P449" s="164">
        <f t="shared" si="325"/>
        <v>0</v>
      </c>
      <c r="Q449" s="164">
        <v>0</v>
      </c>
      <c r="R449" s="164">
        <v>0</v>
      </c>
      <c r="S449" s="81">
        <v>0</v>
      </c>
      <c r="T449" s="78">
        <v>0</v>
      </c>
      <c r="U449" s="164">
        <v>0</v>
      </c>
      <c r="V449" s="164">
        <v>0</v>
      </c>
      <c r="W449" s="164">
        <v>0</v>
      </c>
      <c r="X449" s="164">
        <v>0</v>
      </c>
      <c r="Y449" s="78">
        <v>0</v>
      </c>
      <c r="Z449" s="164">
        <f t="shared" si="330"/>
        <v>0</v>
      </c>
      <c r="AA449" s="164">
        <v>0</v>
      </c>
      <c r="AB449" s="164">
        <v>0</v>
      </c>
      <c r="AC449" s="81">
        <v>0</v>
      </c>
      <c r="AD449" s="135"/>
    </row>
    <row r="450" spans="1:30" s="147" customFormat="1" ht="22.15" customHeight="1" outlineLevel="1" x14ac:dyDescent="0.2">
      <c r="A450" s="153" t="s">
        <v>1523</v>
      </c>
      <c r="B450" s="166" t="s">
        <v>258</v>
      </c>
      <c r="C450" s="78">
        <f t="shared" si="329"/>
        <v>0</v>
      </c>
      <c r="D450" s="118">
        <f t="shared" si="331"/>
        <v>0</v>
      </c>
      <c r="E450" s="117">
        <v>0</v>
      </c>
      <c r="F450" s="130">
        <f t="shared" si="332"/>
        <v>0</v>
      </c>
      <c r="G450" s="164">
        <v>0</v>
      </c>
      <c r="H450" s="164">
        <v>0</v>
      </c>
      <c r="I450" s="164">
        <v>0</v>
      </c>
      <c r="J450" s="117">
        <v>0</v>
      </c>
      <c r="K450" s="130">
        <f t="shared" si="327"/>
        <v>0</v>
      </c>
      <c r="L450" s="164">
        <v>0</v>
      </c>
      <c r="M450" s="164">
        <v>0</v>
      </c>
      <c r="N450" s="164">
        <v>0</v>
      </c>
      <c r="O450" s="78">
        <v>0</v>
      </c>
      <c r="P450" s="164">
        <f t="shared" si="325"/>
        <v>0</v>
      </c>
      <c r="Q450" s="164">
        <v>0</v>
      </c>
      <c r="R450" s="164">
        <v>0</v>
      </c>
      <c r="S450" s="81">
        <v>0</v>
      </c>
      <c r="T450" s="78">
        <v>0</v>
      </c>
      <c r="U450" s="164">
        <v>0</v>
      </c>
      <c r="V450" s="164">
        <v>0</v>
      </c>
      <c r="W450" s="164">
        <v>0</v>
      </c>
      <c r="X450" s="164">
        <v>0</v>
      </c>
      <c r="Y450" s="78">
        <v>0</v>
      </c>
      <c r="Z450" s="164">
        <f t="shared" si="330"/>
        <v>0</v>
      </c>
      <c r="AA450" s="164">
        <v>0</v>
      </c>
      <c r="AB450" s="164">
        <v>0</v>
      </c>
      <c r="AC450" s="81">
        <v>0</v>
      </c>
      <c r="AD450" s="135"/>
    </row>
    <row r="451" spans="1:30" s="147" customFormat="1" ht="28.5" customHeight="1" outlineLevel="1" x14ac:dyDescent="0.2">
      <c r="A451" s="153" t="s">
        <v>1524</v>
      </c>
      <c r="B451" s="166" t="s">
        <v>259</v>
      </c>
      <c r="C451" s="78">
        <f t="shared" si="329"/>
        <v>0</v>
      </c>
      <c r="D451" s="118">
        <f t="shared" si="331"/>
        <v>0</v>
      </c>
      <c r="E451" s="117">
        <v>0</v>
      </c>
      <c r="F451" s="130">
        <f t="shared" si="332"/>
        <v>0</v>
      </c>
      <c r="G451" s="164">
        <v>0</v>
      </c>
      <c r="H451" s="164">
        <v>0</v>
      </c>
      <c r="I451" s="164">
        <v>0</v>
      </c>
      <c r="J451" s="117">
        <v>0</v>
      </c>
      <c r="K451" s="130">
        <f t="shared" si="327"/>
        <v>0</v>
      </c>
      <c r="L451" s="164">
        <v>0</v>
      </c>
      <c r="M451" s="164">
        <v>0</v>
      </c>
      <c r="N451" s="164">
        <v>0</v>
      </c>
      <c r="O451" s="78">
        <v>0</v>
      </c>
      <c r="P451" s="164">
        <f t="shared" si="325"/>
        <v>0</v>
      </c>
      <c r="Q451" s="164">
        <v>0</v>
      </c>
      <c r="R451" s="164">
        <v>0</v>
      </c>
      <c r="S451" s="81">
        <v>0</v>
      </c>
      <c r="T451" s="78">
        <v>0</v>
      </c>
      <c r="U451" s="164">
        <v>0</v>
      </c>
      <c r="V451" s="164">
        <v>0</v>
      </c>
      <c r="W451" s="164">
        <v>0</v>
      </c>
      <c r="X451" s="164">
        <v>0</v>
      </c>
      <c r="Y451" s="78">
        <v>0</v>
      </c>
      <c r="Z451" s="164">
        <f t="shared" si="330"/>
        <v>0</v>
      </c>
      <c r="AA451" s="164">
        <v>0</v>
      </c>
      <c r="AB451" s="164">
        <v>0</v>
      </c>
      <c r="AC451" s="81">
        <v>0</v>
      </c>
      <c r="AD451" s="135"/>
    </row>
    <row r="452" spans="1:30" s="147" customFormat="1" ht="25.5" customHeight="1" outlineLevel="1" x14ac:dyDescent="0.2">
      <c r="A452" s="153" t="s">
        <v>1525</v>
      </c>
      <c r="B452" s="166" t="s">
        <v>260</v>
      </c>
      <c r="C452" s="78">
        <f t="shared" si="329"/>
        <v>0</v>
      </c>
      <c r="D452" s="118">
        <f t="shared" si="331"/>
        <v>0</v>
      </c>
      <c r="E452" s="117">
        <v>0</v>
      </c>
      <c r="F452" s="130">
        <f t="shared" si="332"/>
        <v>0</v>
      </c>
      <c r="G452" s="164">
        <v>0</v>
      </c>
      <c r="H452" s="164">
        <v>0</v>
      </c>
      <c r="I452" s="164">
        <v>0</v>
      </c>
      <c r="J452" s="117">
        <v>0</v>
      </c>
      <c r="K452" s="130">
        <f t="shared" ref="K452:K461" si="333">L452+M452+N452</f>
        <v>0</v>
      </c>
      <c r="L452" s="164">
        <v>0</v>
      </c>
      <c r="M452" s="164">
        <v>0</v>
      </c>
      <c r="N452" s="164">
        <v>0</v>
      </c>
      <c r="O452" s="78">
        <v>0</v>
      </c>
      <c r="P452" s="164">
        <f t="shared" si="325"/>
        <v>0</v>
      </c>
      <c r="Q452" s="164">
        <v>0</v>
      </c>
      <c r="R452" s="164">
        <v>0</v>
      </c>
      <c r="S452" s="81">
        <v>0</v>
      </c>
      <c r="T452" s="78">
        <v>0</v>
      </c>
      <c r="U452" s="164">
        <v>0</v>
      </c>
      <c r="V452" s="164">
        <v>0</v>
      </c>
      <c r="W452" s="164">
        <v>0</v>
      </c>
      <c r="X452" s="164">
        <v>0</v>
      </c>
      <c r="Y452" s="78">
        <v>0</v>
      </c>
      <c r="Z452" s="164">
        <f t="shared" si="330"/>
        <v>0</v>
      </c>
      <c r="AA452" s="164">
        <v>0</v>
      </c>
      <c r="AB452" s="164">
        <v>0</v>
      </c>
      <c r="AC452" s="81">
        <v>0</v>
      </c>
      <c r="AD452" s="135"/>
    </row>
    <row r="453" spans="1:30" s="147" customFormat="1" ht="24.6" customHeight="1" outlineLevel="1" x14ac:dyDescent="0.2">
      <c r="A453" s="153" t="s">
        <v>1526</v>
      </c>
      <c r="B453" s="166" t="s">
        <v>261</v>
      </c>
      <c r="C453" s="78">
        <f t="shared" si="329"/>
        <v>0</v>
      </c>
      <c r="D453" s="118">
        <f t="shared" si="331"/>
        <v>0</v>
      </c>
      <c r="E453" s="117">
        <v>0</v>
      </c>
      <c r="F453" s="130">
        <f t="shared" si="332"/>
        <v>0</v>
      </c>
      <c r="G453" s="164">
        <v>0</v>
      </c>
      <c r="H453" s="164">
        <v>0</v>
      </c>
      <c r="I453" s="164">
        <v>0</v>
      </c>
      <c r="J453" s="117">
        <v>0</v>
      </c>
      <c r="K453" s="130">
        <f t="shared" si="333"/>
        <v>0</v>
      </c>
      <c r="L453" s="164">
        <v>0</v>
      </c>
      <c r="M453" s="164">
        <v>0</v>
      </c>
      <c r="N453" s="164">
        <v>0</v>
      </c>
      <c r="O453" s="78">
        <v>0</v>
      </c>
      <c r="P453" s="164">
        <f t="shared" si="325"/>
        <v>0</v>
      </c>
      <c r="Q453" s="164">
        <v>0</v>
      </c>
      <c r="R453" s="164">
        <v>0</v>
      </c>
      <c r="S453" s="81">
        <v>0</v>
      </c>
      <c r="T453" s="78">
        <v>0</v>
      </c>
      <c r="U453" s="164">
        <v>0</v>
      </c>
      <c r="V453" s="164">
        <v>0</v>
      </c>
      <c r="W453" s="164">
        <v>0</v>
      </c>
      <c r="X453" s="164">
        <v>0</v>
      </c>
      <c r="Y453" s="78">
        <v>0</v>
      </c>
      <c r="Z453" s="164">
        <f t="shared" si="330"/>
        <v>0</v>
      </c>
      <c r="AA453" s="164">
        <v>0</v>
      </c>
      <c r="AB453" s="164">
        <v>0</v>
      </c>
      <c r="AC453" s="81">
        <v>0</v>
      </c>
      <c r="AD453" s="135"/>
    </row>
    <row r="454" spans="1:30" s="147" customFormat="1" ht="23.45" customHeight="1" outlineLevel="1" x14ac:dyDescent="0.2">
      <c r="A454" s="153" t="s">
        <v>1527</v>
      </c>
      <c r="B454" s="166" t="s">
        <v>262</v>
      </c>
      <c r="C454" s="78">
        <f t="shared" si="329"/>
        <v>0</v>
      </c>
      <c r="D454" s="118">
        <f t="shared" si="331"/>
        <v>0</v>
      </c>
      <c r="E454" s="117">
        <v>0</v>
      </c>
      <c r="F454" s="130">
        <f t="shared" si="332"/>
        <v>0</v>
      </c>
      <c r="G454" s="164">
        <v>0</v>
      </c>
      <c r="H454" s="164">
        <v>0</v>
      </c>
      <c r="I454" s="164">
        <v>0</v>
      </c>
      <c r="J454" s="117">
        <v>0</v>
      </c>
      <c r="K454" s="130">
        <f t="shared" si="333"/>
        <v>0</v>
      </c>
      <c r="L454" s="164">
        <v>0</v>
      </c>
      <c r="M454" s="164">
        <v>0</v>
      </c>
      <c r="N454" s="164">
        <v>0</v>
      </c>
      <c r="O454" s="78">
        <v>0</v>
      </c>
      <c r="P454" s="164">
        <f t="shared" si="325"/>
        <v>0</v>
      </c>
      <c r="Q454" s="164">
        <v>0</v>
      </c>
      <c r="R454" s="164">
        <v>0</v>
      </c>
      <c r="S454" s="81">
        <v>0</v>
      </c>
      <c r="T454" s="78">
        <v>0</v>
      </c>
      <c r="U454" s="164">
        <v>0</v>
      </c>
      <c r="V454" s="164">
        <v>0</v>
      </c>
      <c r="W454" s="164">
        <v>0</v>
      </c>
      <c r="X454" s="164">
        <v>0</v>
      </c>
      <c r="Y454" s="78">
        <v>0</v>
      </c>
      <c r="Z454" s="164">
        <f t="shared" si="330"/>
        <v>0</v>
      </c>
      <c r="AA454" s="164">
        <v>0</v>
      </c>
      <c r="AB454" s="164">
        <v>0</v>
      </c>
      <c r="AC454" s="81">
        <v>0</v>
      </c>
      <c r="AD454" s="135"/>
    </row>
    <row r="455" spans="1:30" s="147" customFormat="1" ht="22.15" customHeight="1" outlineLevel="1" x14ac:dyDescent="0.2">
      <c r="A455" s="153" t="s">
        <v>1528</v>
      </c>
      <c r="B455" s="166" t="s">
        <v>465</v>
      </c>
      <c r="C455" s="78">
        <f t="shared" si="329"/>
        <v>0</v>
      </c>
      <c r="D455" s="118">
        <f t="shared" si="331"/>
        <v>0</v>
      </c>
      <c r="E455" s="117">
        <v>0</v>
      </c>
      <c r="F455" s="130">
        <f t="shared" si="332"/>
        <v>0</v>
      </c>
      <c r="G455" s="164">
        <v>0</v>
      </c>
      <c r="H455" s="164">
        <v>0</v>
      </c>
      <c r="I455" s="164">
        <v>0</v>
      </c>
      <c r="J455" s="117">
        <v>0</v>
      </c>
      <c r="K455" s="130">
        <f t="shared" si="333"/>
        <v>0</v>
      </c>
      <c r="L455" s="164">
        <v>0</v>
      </c>
      <c r="M455" s="164">
        <v>0</v>
      </c>
      <c r="N455" s="164">
        <v>0</v>
      </c>
      <c r="O455" s="78">
        <v>0</v>
      </c>
      <c r="P455" s="164">
        <f t="shared" si="325"/>
        <v>0</v>
      </c>
      <c r="Q455" s="164">
        <v>0</v>
      </c>
      <c r="R455" s="164">
        <v>0</v>
      </c>
      <c r="S455" s="81">
        <v>0</v>
      </c>
      <c r="T455" s="78">
        <v>0</v>
      </c>
      <c r="U455" s="164">
        <v>0</v>
      </c>
      <c r="V455" s="164">
        <v>0</v>
      </c>
      <c r="W455" s="164">
        <v>0</v>
      </c>
      <c r="X455" s="164">
        <v>0</v>
      </c>
      <c r="Y455" s="78">
        <v>0</v>
      </c>
      <c r="Z455" s="164">
        <f t="shared" si="330"/>
        <v>0</v>
      </c>
      <c r="AA455" s="164">
        <v>0</v>
      </c>
      <c r="AB455" s="164">
        <v>0</v>
      </c>
      <c r="AC455" s="81">
        <v>0</v>
      </c>
      <c r="AD455" s="135"/>
    </row>
    <row r="456" spans="1:30" s="147" customFormat="1" ht="25.5" customHeight="1" outlineLevel="1" x14ac:dyDescent="0.2">
      <c r="A456" s="153" t="s">
        <v>1529</v>
      </c>
      <c r="B456" s="166" t="s">
        <v>263</v>
      </c>
      <c r="C456" s="78">
        <f t="shared" si="329"/>
        <v>0</v>
      </c>
      <c r="D456" s="118">
        <f t="shared" si="331"/>
        <v>0</v>
      </c>
      <c r="E456" s="117">
        <v>0</v>
      </c>
      <c r="F456" s="130">
        <f t="shared" si="332"/>
        <v>0</v>
      </c>
      <c r="G456" s="164">
        <v>0</v>
      </c>
      <c r="H456" s="164">
        <v>0</v>
      </c>
      <c r="I456" s="164">
        <v>0</v>
      </c>
      <c r="J456" s="117">
        <v>0</v>
      </c>
      <c r="K456" s="130">
        <f t="shared" si="333"/>
        <v>0</v>
      </c>
      <c r="L456" s="164">
        <v>0</v>
      </c>
      <c r="M456" s="164">
        <v>0</v>
      </c>
      <c r="N456" s="164">
        <v>0</v>
      </c>
      <c r="O456" s="78">
        <v>0</v>
      </c>
      <c r="P456" s="164">
        <f t="shared" si="325"/>
        <v>0</v>
      </c>
      <c r="Q456" s="164">
        <v>0</v>
      </c>
      <c r="R456" s="164">
        <v>0</v>
      </c>
      <c r="S456" s="81">
        <v>0</v>
      </c>
      <c r="T456" s="78">
        <v>0</v>
      </c>
      <c r="U456" s="164">
        <v>0</v>
      </c>
      <c r="V456" s="164">
        <v>0</v>
      </c>
      <c r="W456" s="164">
        <v>0</v>
      </c>
      <c r="X456" s="164">
        <v>0</v>
      </c>
      <c r="Y456" s="78">
        <v>0</v>
      </c>
      <c r="Z456" s="164">
        <f t="shared" si="330"/>
        <v>0</v>
      </c>
      <c r="AA456" s="164">
        <v>0</v>
      </c>
      <c r="AB456" s="164">
        <v>0</v>
      </c>
      <c r="AC456" s="81">
        <v>0</v>
      </c>
      <c r="AD456" s="135"/>
    </row>
    <row r="457" spans="1:30" s="147" customFormat="1" ht="46.9" customHeight="1" outlineLevel="1" x14ac:dyDescent="0.2">
      <c r="A457" s="153" t="s">
        <v>1530</v>
      </c>
      <c r="B457" s="166" t="s">
        <v>358</v>
      </c>
      <c r="C457" s="78">
        <f t="shared" si="329"/>
        <v>0</v>
      </c>
      <c r="D457" s="118">
        <f t="shared" si="331"/>
        <v>0</v>
      </c>
      <c r="E457" s="117">
        <v>0</v>
      </c>
      <c r="F457" s="130">
        <f t="shared" si="332"/>
        <v>0</v>
      </c>
      <c r="G457" s="164">
        <v>0</v>
      </c>
      <c r="H457" s="164">
        <v>0</v>
      </c>
      <c r="I457" s="164">
        <v>0</v>
      </c>
      <c r="J457" s="117">
        <v>0</v>
      </c>
      <c r="K457" s="130">
        <f t="shared" si="333"/>
        <v>0</v>
      </c>
      <c r="L457" s="164">
        <v>0</v>
      </c>
      <c r="M457" s="164">
        <v>0</v>
      </c>
      <c r="N457" s="164">
        <v>0</v>
      </c>
      <c r="O457" s="78">
        <v>0</v>
      </c>
      <c r="P457" s="164">
        <f t="shared" si="325"/>
        <v>0</v>
      </c>
      <c r="Q457" s="164">
        <v>0</v>
      </c>
      <c r="R457" s="164">
        <v>0</v>
      </c>
      <c r="S457" s="81">
        <v>0</v>
      </c>
      <c r="T457" s="78">
        <v>0</v>
      </c>
      <c r="U457" s="164">
        <v>0</v>
      </c>
      <c r="V457" s="164">
        <v>0</v>
      </c>
      <c r="W457" s="164">
        <v>0</v>
      </c>
      <c r="X457" s="164">
        <v>0</v>
      </c>
      <c r="Y457" s="78">
        <v>0</v>
      </c>
      <c r="Z457" s="164">
        <f t="shared" si="330"/>
        <v>0</v>
      </c>
      <c r="AA457" s="164">
        <v>0</v>
      </c>
      <c r="AB457" s="164">
        <v>0</v>
      </c>
      <c r="AC457" s="81">
        <v>0</v>
      </c>
      <c r="AD457" s="135"/>
    </row>
    <row r="458" spans="1:30" s="147" customFormat="1" ht="46.9" customHeight="1" outlineLevel="1" x14ac:dyDescent="0.2">
      <c r="A458" s="153" t="s">
        <v>1531</v>
      </c>
      <c r="B458" s="166" t="s">
        <v>1701</v>
      </c>
      <c r="C458" s="78">
        <f t="shared" si="329"/>
        <v>1.44</v>
      </c>
      <c r="D458" s="118">
        <f t="shared" si="331"/>
        <v>303</v>
      </c>
      <c r="E458" s="117">
        <v>0</v>
      </c>
      <c r="F458" s="130">
        <f t="shared" si="332"/>
        <v>0</v>
      </c>
      <c r="G458" s="164">
        <v>0</v>
      </c>
      <c r="H458" s="164">
        <v>0</v>
      </c>
      <c r="I458" s="164">
        <v>0</v>
      </c>
      <c r="J458" s="117">
        <v>0</v>
      </c>
      <c r="K458" s="130">
        <f t="shared" si="333"/>
        <v>0</v>
      </c>
      <c r="L458" s="164">
        <v>0</v>
      </c>
      <c r="M458" s="164">
        <v>0</v>
      </c>
      <c r="N458" s="164">
        <v>0</v>
      </c>
      <c r="O458" s="78">
        <v>1.44</v>
      </c>
      <c r="P458" s="164">
        <f t="shared" si="325"/>
        <v>303</v>
      </c>
      <c r="Q458" s="164">
        <v>0</v>
      </c>
      <c r="R458" s="164">
        <v>0</v>
      </c>
      <c r="S458" s="81">
        <v>303</v>
      </c>
      <c r="T458" s="78">
        <v>0</v>
      </c>
      <c r="U458" s="164">
        <v>0</v>
      </c>
      <c r="V458" s="164">
        <v>0</v>
      </c>
      <c r="W458" s="164">
        <v>0</v>
      </c>
      <c r="X458" s="164">
        <v>0</v>
      </c>
      <c r="Y458" s="78">
        <v>0</v>
      </c>
      <c r="Z458" s="164">
        <f t="shared" si="330"/>
        <v>0</v>
      </c>
      <c r="AA458" s="164">
        <v>0</v>
      </c>
      <c r="AB458" s="164">
        <v>0</v>
      </c>
      <c r="AC458" s="81">
        <v>0</v>
      </c>
      <c r="AD458" s="135"/>
    </row>
    <row r="459" spans="1:30" s="147" customFormat="1" ht="39.6" customHeight="1" outlineLevel="1" x14ac:dyDescent="0.2">
      <c r="A459" s="153" t="s">
        <v>1532</v>
      </c>
      <c r="B459" s="166" t="s">
        <v>684</v>
      </c>
      <c r="C459" s="78">
        <f t="shared" si="329"/>
        <v>5.65</v>
      </c>
      <c r="D459" s="118">
        <f t="shared" si="331"/>
        <v>648</v>
      </c>
      <c r="E459" s="117">
        <v>5.65</v>
      </c>
      <c r="F459" s="130">
        <f t="shared" si="332"/>
        <v>648</v>
      </c>
      <c r="G459" s="164">
        <v>0</v>
      </c>
      <c r="H459" s="164">
        <v>0</v>
      </c>
      <c r="I459" s="164">
        <v>648</v>
      </c>
      <c r="J459" s="117">
        <v>0</v>
      </c>
      <c r="K459" s="130">
        <f t="shared" si="333"/>
        <v>0</v>
      </c>
      <c r="L459" s="164">
        <v>0</v>
      </c>
      <c r="M459" s="164">
        <v>0</v>
      </c>
      <c r="N459" s="164">
        <v>0</v>
      </c>
      <c r="O459" s="78">
        <v>0</v>
      </c>
      <c r="P459" s="164">
        <f t="shared" ref="P459" si="334">Q459+R459+S459</f>
        <v>0</v>
      </c>
      <c r="Q459" s="164">
        <v>0</v>
      </c>
      <c r="R459" s="164">
        <v>0</v>
      </c>
      <c r="S459" s="81">
        <v>0</v>
      </c>
      <c r="T459" s="78">
        <v>0</v>
      </c>
      <c r="U459" s="164">
        <v>0</v>
      </c>
      <c r="V459" s="164">
        <v>0</v>
      </c>
      <c r="W459" s="164">
        <v>0</v>
      </c>
      <c r="X459" s="164">
        <v>0</v>
      </c>
      <c r="Y459" s="78">
        <v>0</v>
      </c>
      <c r="Z459" s="164">
        <f t="shared" ref="Z459" si="335">AA459+AB459+AC459</f>
        <v>0</v>
      </c>
      <c r="AA459" s="164">
        <v>0</v>
      </c>
      <c r="AB459" s="164">
        <v>0</v>
      </c>
      <c r="AC459" s="81">
        <v>0</v>
      </c>
      <c r="AD459" s="135"/>
    </row>
    <row r="460" spans="1:30" s="147" customFormat="1" ht="39.6" customHeight="1" outlineLevel="1" x14ac:dyDescent="0.2">
      <c r="A460" s="153" t="s">
        <v>1533</v>
      </c>
      <c r="B460" s="166" t="s">
        <v>805</v>
      </c>
      <c r="C460" s="78">
        <f t="shared" si="329"/>
        <v>0.9</v>
      </c>
      <c r="D460" s="118">
        <f t="shared" si="331"/>
        <v>1267</v>
      </c>
      <c r="E460" s="117">
        <v>0.9</v>
      </c>
      <c r="F460" s="130">
        <f t="shared" si="332"/>
        <v>1267</v>
      </c>
      <c r="G460" s="164">
        <v>0</v>
      </c>
      <c r="H460" s="164">
        <v>0</v>
      </c>
      <c r="I460" s="164">
        <v>1267</v>
      </c>
      <c r="J460" s="117">
        <v>0</v>
      </c>
      <c r="K460" s="130">
        <f t="shared" si="333"/>
        <v>0</v>
      </c>
      <c r="L460" s="164">
        <v>0</v>
      </c>
      <c r="M460" s="164">
        <v>0</v>
      </c>
      <c r="N460" s="164">
        <v>0</v>
      </c>
      <c r="O460" s="78">
        <v>0</v>
      </c>
      <c r="P460" s="164">
        <f t="shared" ref="P460" si="336">Q460+R460+S460</f>
        <v>0</v>
      </c>
      <c r="Q460" s="164">
        <v>0</v>
      </c>
      <c r="R460" s="164">
        <v>0</v>
      </c>
      <c r="S460" s="81">
        <v>0</v>
      </c>
      <c r="T460" s="78">
        <v>0</v>
      </c>
      <c r="U460" s="164">
        <v>0</v>
      </c>
      <c r="V460" s="164">
        <v>0</v>
      </c>
      <c r="W460" s="164">
        <v>0</v>
      </c>
      <c r="X460" s="164">
        <v>0</v>
      </c>
      <c r="Y460" s="78">
        <v>0</v>
      </c>
      <c r="Z460" s="164">
        <f t="shared" ref="Z460" si="337">AA460+AB460+AC460</f>
        <v>0</v>
      </c>
      <c r="AA460" s="164">
        <v>0</v>
      </c>
      <c r="AB460" s="164">
        <v>0</v>
      </c>
      <c r="AC460" s="81">
        <v>0</v>
      </c>
      <c r="AD460" s="135"/>
    </row>
    <row r="461" spans="1:30" s="147" customFormat="1" ht="39.6" customHeight="1" outlineLevel="1" x14ac:dyDescent="0.2">
      <c r="A461" s="153" t="s">
        <v>1534</v>
      </c>
      <c r="B461" s="166" t="s">
        <v>964</v>
      </c>
      <c r="C461" s="78">
        <f t="shared" ref="C461" si="338">E461+J461+O461+T461+Y461</f>
        <v>0</v>
      </c>
      <c r="D461" s="118">
        <f t="shared" si="331"/>
        <v>0</v>
      </c>
      <c r="E461" s="117">
        <v>0</v>
      </c>
      <c r="F461" s="130">
        <f t="shared" si="332"/>
        <v>0</v>
      </c>
      <c r="G461" s="164">
        <v>0</v>
      </c>
      <c r="H461" s="164">
        <v>0</v>
      </c>
      <c r="I461" s="164">
        <v>0</v>
      </c>
      <c r="J461" s="117">
        <v>0</v>
      </c>
      <c r="K461" s="130">
        <f t="shared" si="333"/>
        <v>0</v>
      </c>
      <c r="L461" s="164">
        <v>0</v>
      </c>
      <c r="M461" s="164">
        <v>0</v>
      </c>
      <c r="N461" s="164">
        <v>0</v>
      </c>
      <c r="O461" s="78">
        <v>0</v>
      </c>
      <c r="P461" s="164">
        <f t="shared" ref="P461" si="339">Q461+R461+S461</f>
        <v>0</v>
      </c>
      <c r="Q461" s="164">
        <v>0</v>
      </c>
      <c r="R461" s="164">
        <v>0</v>
      </c>
      <c r="S461" s="81">
        <v>0</v>
      </c>
      <c r="T461" s="78">
        <v>0</v>
      </c>
      <c r="U461" s="164">
        <v>0</v>
      </c>
      <c r="V461" s="164">
        <v>0</v>
      </c>
      <c r="W461" s="164">
        <v>0</v>
      </c>
      <c r="X461" s="164">
        <v>0</v>
      </c>
      <c r="Y461" s="78">
        <v>0</v>
      </c>
      <c r="Z461" s="164">
        <f t="shared" ref="Z461" si="340">AA461+AB461+AC461</f>
        <v>0</v>
      </c>
      <c r="AA461" s="164">
        <v>0</v>
      </c>
      <c r="AB461" s="164">
        <v>0</v>
      </c>
      <c r="AC461" s="81">
        <v>0</v>
      </c>
      <c r="AD461" s="135"/>
    </row>
    <row r="462" spans="1:30" s="147" customFormat="1" ht="39.6" customHeight="1" outlineLevel="1" x14ac:dyDescent="0.2">
      <c r="A462" s="153" t="s">
        <v>1698</v>
      </c>
      <c r="B462" s="166" t="s">
        <v>1699</v>
      </c>
      <c r="C462" s="78">
        <f t="shared" ref="C462" si="341">E462+J462+O462+T462+Y462</f>
        <v>1.62</v>
      </c>
      <c r="D462" s="118">
        <f t="shared" ref="D462" si="342">F462+K462+P462+Z462+U462</f>
        <v>345</v>
      </c>
      <c r="E462" s="117">
        <v>0</v>
      </c>
      <c r="F462" s="130">
        <f t="shared" ref="F462" si="343">G462+H462+I462</f>
        <v>0</v>
      </c>
      <c r="G462" s="164">
        <v>0</v>
      </c>
      <c r="H462" s="164">
        <v>0</v>
      </c>
      <c r="I462" s="164">
        <v>0</v>
      </c>
      <c r="J462" s="117">
        <v>0</v>
      </c>
      <c r="K462" s="130">
        <f t="shared" ref="K462" si="344">L462+M462+N462</f>
        <v>0</v>
      </c>
      <c r="L462" s="164">
        <v>0</v>
      </c>
      <c r="M462" s="164">
        <v>0</v>
      </c>
      <c r="N462" s="164">
        <v>0</v>
      </c>
      <c r="O462" s="78">
        <v>1.62</v>
      </c>
      <c r="P462" s="164">
        <f t="shared" ref="P462" si="345">Q462+R462+S462</f>
        <v>345</v>
      </c>
      <c r="Q462" s="164">
        <v>0</v>
      </c>
      <c r="R462" s="164">
        <v>0</v>
      </c>
      <c r="S462" s="81">
        <v>345</v>
      </c>
      <c r="T462" s="78">
        <v>0</v>
      </c>
      <c r="U462" s="164">
        <v>0</v>
      </c>
      <c r="V462" s="164">
        <v>0</v>
      </c>
      <c r="W462" s="164">
        <v>0</v>
      </c>
      <c r="X462" s="164">
        <v>0</v>
      </c>
      <c r="Y462" s="78">
        <v>0</v>
      </c>
      <c r="Z462" s="164">
        <f t="shared" ref="Z462" si="346">AA462+AB462+AC462</f>
        <v>0</v>
      </c>
      <c r="AA462" s="164">
        <v>0</v>
      </c>
      <c r="AB462" s="164">
        <v>0</v>
      </c>
      <c r="AC462" s="81">
        <v>0</v>
      </c>
      <c r="AD462" s="135"/>
    </row>
    <row r="463" spans="1:30" s="147" customFormat="1" ht="25.9" customHeight="1" x14ac:dyDescent="0.2">
      <c r="A463" s="167"/>
      <c r="B463" s="168" t="s">
        <v>356</v>
      </c>
      <c r="C463" s="167">
        <f>SUM(C302,C435,C432)</f>
        <v>23.700000000000003</v>
      </c>
      <c r="D463" s="169">
        <f>SUM(D302,D435,D432)</f>
        <v>5207</v>
      </c>
      <c r="E463" s="167">
        <f t="shared" ref="E463:H463" si="347">SUM(E302,E435,E432)</f>
        <v>13.8</v>
      </c>
      <c r="F463" s="169">
        <f>SUM(F302,F435,F432)</f>
        <v>2746</v>
      </c>
      <c r="G463" s="169">
        <f t="shared" si="347"/>
        <v>0</v>
      </c>
      <c r="H463" s="169">
        <f t="shared" si="347"/>
        <v>0</v>
      </c>
      <c r="I463" s="169">
        <f>SUM(I302,I435,I432)</f>
        <v>2746</v>
      </c>
      <c r="J463" s="167">
        <f>SUM(J302,J435,J432)</f>
        <v>0</v>
      </c>
      <c r="K463" s="169">
        <f t="shared" si="321"/>
        <v>0</v>
      </c>
      <c r="L463" s="169">
        <f>SUM(L302,L435,L432)</f>
        <v>0</v>
      </c>
      <c r="M463" s="169">
        <f>SUM(M302,M435,M432)</f>
        <v>0</v>
      </c>
      <c r="N463" s="169">
        <f>SUM(N302,N435,N432)</f>
        <v>0</v>
      </c>
      <c r="O463" s="167">
        <f>SUM(O302,O435,O432)</f>
        <v>5.9</v>
      </c>
      <c r="P463" s="169">
        <f>Q463+R463+S463</f>
        <v>1533</v>
      </c>
      <c r="Q463" s="169">
        <f>SUM(Q302,Q435,Q432)</f>
        <v>0</v>
      </c>
      <c r="R463" s="169">
        <f>SUM(R302,R435,R432)</f>
        <v>0</v>
      </c>
      <c r="S463" s="169">
        <f>SUM(S302,S435,S432)</f>
        <v>1533</v>
      </c>
      <c r="T463" s="167">
        <f>SUM(T302,T435,T432)</f>
        <v>4</v>
      </c>
      <c r="U463" s="169">
        <f t="shared" si="322"/>
        <v>928</v>
      </c>
      <c r="V463" s="169">
        <f t="shared" ref="V463:AC463" si="348">SUM(V302,V435,V432)</f>
        <v>0</v>
      </c>
      <c r="W463" s="169">
        <f t="shared" si="348"/>
        <v>0</v>
      </c>
      <c r="X463" s="169">
        <f t="shared" si="348"/>
        <v>928</v>
      </c>
      <c r="Y463" s="167">
        <f t="shared" si="348"/>
        <v>0</v>
      </c>
      <c r="Z463" s="169">
        <f t="shared" si="348"/>
        <v>0</v>
      </c>
      <c r="AA463" s="169">
        <f t="shared" si="348"/>
        <v>0</v>
      </c>
      <c r="AB463" s="169">
        <f t="shared" si="348"/>
        <v>0</v>
      </c>
      <c r="AC463" s="169">
        <f t="shared" si="348"/>
        <v>0</v>
      </c>
      <c r="AD463" s="135"/>
    </row>
    <row r="464" spans="1:30" s="147" customFormat="1" ht="24" customHeight="1" x14ac:dyDescent="0.2">
      <c r="A464" s="160" t="s">
        <v>1535</v>
      </c>
      <c r="B464" s="172" t="s">
        <v>264</v>
      </c>
      <c r="C464" s="173"/>
      <c r="D464" s="164"/>
      <c r="E464" s="117"/>
      <c r="F464" s="165"/>
      <c r="G464" s="174"/>
      <c r="H464" s="174"/>
      <c r="I464" s="174"/>
      <c r="J464" s="128"/>
      <c r="K464" s="165"/>
      <c r="L464" s="174"/>
      <c r="M464" s="174"/>
      <c r="N464" s="174"/>
      <c r="O464" s="173"/>
      <c r="P464" s="164"/>
      <c r="Q464" s="174"/>
      <c r="R464" s="174"/>
      <c r="S464" s="175"/>
      <c r="T464" s="173"/>
      <c r="U464" s="164"/>
      <c r="V464" s="174"/>
      <c r="W464" s="174"/>
      <c r="X464" s="175"/>
      <c r="Y464" s="173"/>
      <c r="Z464" s="164"/>
      <c r="AA464" s="164"/>
      <c r="AB464" s="164"/>
      <c r="AC464" s="175"/>
      <c r="AD464" s="135"/>
    </row>
    <row r="465" spans="1:30" s="147" customFormat="1" ht="34.15" customHeight="1" outlineLevel="1" x14ac:dyDescent="0.2">
      <c r="A465" s="167"/>
      <c r="B465" s="176" t="s">
        <v>353</v>
      </c>
      <c r="C465" s="161">
        <f>SUM(C466:C470)</f>
        <v>0</v>
      </c>
      <c r="D465" s="163">
        <f>SUM(D466:D470)</f>
        <v>0</v>
      </c>
      <c r="E465" s="161">
        <f t="shared" ref="E465:S465" si="349">SUM(E466:E470)</f>
        <v>0</v>
      </c>
      <c r="F465" s="163">
        <f t="shared" si="349"/>
        <v>0</v>
      </c>
      <c r="G465" s="163">
        <f t="shared" si="349"/>
        <v>0</v>
      </c>
      <c r="H465" s="163">
        <f t="shared" si="349"/>
        <v>0</v>
      </c>
      <c r="I465" s="163">
        <f t="shared" si="349"/>
        <v>0</v>
      </c>
      <c r="J465" s="161">
        <f t="shared" si="349"/>
        <v>0</v>
      </c>
      <c r="K465" s="163">
        <f t="shared" si="321"/>
        <v>0</v>
      </c>
      <c r="L465" s="163">
        <f t="shared" si="349"/>
        <v>0</v>
      </c>
      <c r="M465" s="163">
        <f t="shared" si="349"/>
        <v>0</v>
      </c>
      <c r="N465" s="163">
        <f t="shared" si="349"/>
        <v>0</v>
      </c>
      <c r="O465" s="161">
        <f t="shared" si="349"/>
        <v>0</v>
      </c>
      <c r="P465" s="162">
        <f t="shared" si="325"/>
        <v>0</v>
      </c>
      <c r="Q465" s="163">
        <f t="shared" si="349"/>
        <v>0</v>
      </c>
      <c r="R465" s="163">
        <f t="shared" si="349"/>
        <v>0</v>
      </c>
      <c r="S465" s="163">
        <f t="shared" si="349"/>
        <v>0</v>
      </c>
      <c r="T465" s="161">
        <v>0</v>
      </c>
      <c r="U465" s="162">
        <v>0</v>
      </c>
      <c r="V465" s="162">
        <v>0</v>
      </c>
      <c r="W465" s="162">
        <v>0</v>
      </c>
      <c r="X465" s="162">
        <v>0</v>
      </c>
      <c r="Y465" s="161">
        <f>SUM(Y466:Y470)</f>
        <v>0</v>
      </c>
      <c r="Z465" s="162">
        <f t="shared" ref="Z465:Z496" si="350">AA465+AB465+AC465</f>
        <v>0</v>
      </c>
      <c r="AA465" s="163">
        <f>SUM(AA466:AA470)</f>
        <v>0</v>
      </c>
      <c r="AB465" s="163">
        <f>SUM(AB466:AB470)</f>
        <v>0</v>
      </c>
      <c r="AC465" s="163">
        <f>SUM(AC466:AC470)</f>
        <v>0</v>
      </c>
      <c r="AD465" s="135"/>
    </row>
    <row r="466" spans="1:30" s="147" customFormat="1" ht="27" customHeight="1" outlineLevel="1" x14ac:dyDescent="0.2">
      <c r="A466" s="153" t="s">
        <v>1536</v>
      </c>
      <c r="B466" s="136" t="s">
        <v>266</v>
      </c>
      <c r="C466" s="78">
        <f>E466+J466+O466+Y466+T466</f>
        <v>0</v>
      </c>
      <c r="D466" s="164">
        <f t="shared" ref="D466:D531" si="351">F466+K466+P466+Z466+U466</f>
        <v>0</v>
      </c>
      <c r="E466" s="117">
        <v>0</v>
      </c>
      <c r="F466" s="165">
        <f t="shared" ref="F466:F531" si="352">G466+H466+I466</f>
        <v>0</v>
      </c>
      <c r="G466" s="164">
        <v>0</v>
      </c>
      <c r="H466" s="164">
        <v>0</v>
      </c>
      <c r="I466" s="164">
        <v>0</v>
      </c>
      <c r="J466" s="117">
        <v>0</v>
      </c>
      <c r="K466" s="165">
        <f t="shared" ref="K466:K477" si="353">L466+M466+N466</f>
        <v>0</v>
      </c>
      <c r="L466" s="164">
        <v>0</v>
      </c>
      <c r="M466" s="164">
        <v>0</v>
      </c>
      <c r="N466" s="164">
        <v>0</v>
      </c>
      <c r="O466" s="78">
        <v>0</v>
      </c>
      <c r="P466" s="164">
        <f t="shared" si="325"/>
        <v>0</v>
      </c>
      <c r="Q466" s="164">
        <v>0</v>
      </c>
      <c r="R466" s="164">
        <v>0</v>
      </c>
      <c r="S466" s="81">
        <v>0</v>
      </c>
      <c r="T466" s="78">
        <v>0</v>
      </c>
      <c r="U466" s="164">
        <v>0</v>
      </c>
      <c r="V466" s="164">
        <v>0</v>
      </c>
      <c r="W466" s="164">
        <v>0</v>
      </c>
      <c r="X466" s="164">
        <v>0</v>
      </c>
      <c r="Y466" s="78">
        <v>0</v>
      </c>
      <c r="Z466" s="164">
        <f t="shared" si="350"/>
        <v>0</v>
      </c>
      <c r="AA466" s="164">
        <v>0</v>
      </c>
      <c r="AB466" s="164">
        <v>0</v>
      </c>
      <c r="AC466" s="81">
        <v>0</v>
      </c>
      <c r="AD466" s="135"/>
    </row>
    <row r="467" spans="1:30" s="147" customFormat="1" ht="37.9" customHeight="1" outlineLevel="1" x14ac:dyDescent="0.2">
      <c r="A467" s="153" t="s">
        <v>1537</v>
      </c>
      <c r="B467" s="136" t="s">
        <v>267</v>
      </c>
      <c r="C467" s="78">
        <f t="shared" ref="C467:C469" si="354">E467+J467+O467+Y467+T467</f>
        <v>0</v>
      </c>
      <c r="D467" s="164">
        <f t="shared" si="351"/>
        <v>0</v>
      </c>
      <c r="E467" s="117">
        <v>0</v>
      </c>
      <c r="F467" s="165">
        <f t="shared" si="352"/>
        <v>0</v>
      </c>
      <c r="G467" s="164">
        <v>0</v>
      </c>
      <c r="H467" s="164">
        <v>0</v>
      </c>
      <c r="I467" s="164">
        <v>0</v>
      </c>
      <c r="J467" s="117">
        <v>0</v>
      </c>
      <c r="K467" s="165">
        <f t="shared" si="353"/>
        <v>0</v>
      </c>
      <c r="L467" s="164">
        <v>0</v>
      </c>
      <c r="M467" s="164">
        <v>0</v>
      </c>
      <c r="N467" s="164">
        <v>0</v>
      </c>
      <c r="O467" s="78">
        <v>0</v>
      </c>
      <c r="P467" s="164">
        <f t="shared" si="325"/>
        <v>0</v>
      </c>
      <c r="Q467" s="164">
        <v>0</v>
      </c>
      <c r="R467" s="164">
        <v>0</v>
      </c>
      <c r="S467" s="81">
        <v>0</v>
      </c>
      <c r="T467" s="78">
        <v>0</v>
      </c>
      <c r="U467" s="164">
        <v>0</v>
      </c>
      <c r="V467" s="164">
        <v>0</v>
      </c>
      <c r="W467" s="164">
        <v>0</v>
      </c>
      <c r="X467" s="164">
        <v>0</v>
      </c>
      <c r="Y467" s="78">
        <v>0</v>
      </c>
      <c r="Z467" s="164">
        <f t="shared" si="350"/>
        <v>0</v>
      </c>
      <c r="AA467" s="164">
        <v>0</v>
      </c>
      <c r="AB467" s="164">
        <v>0</v>
      </c>
      <c r="AC467" s="81">
        <v>0</v>
      </c>
      <c r="AD467" s="135"/>
    </row>
    <row r="468" spans="1:30" s="147" customFormat="1" ht="46.9" customHeight="1" outlineLevel="1" x14ac:dyDescent="0.2">
      <c r="A468" s="153" t="s">
        <v>1538</v>
      </c>
      <c r="B468" s="136" t="s">
        <v>324</v>
      </c>
      <c r="C468" s="78">
        <f t="shared" si="354"/>
        <v>0</v>
      </c>
      <c r="D468" s="164">
        <f t="shared" si="351"/>
        <v>0</v>
      </c>
      <c r="E468" s="117">
        <v>0</v>
      </c>
      <c r="F468" s="165">
        <f t="shared" si="352"/>
        <v>0</v>
      </c>
      <c r="G468" s="164">
        <v>0</v>
      </c>
      <c r="H468" s="164">
        <v>0</v>
      </c>
      <c r="I468" s="164">
        <v>0</v>
      </c>
      <c r="J468" s="117">
        <v>0</v>
      </c>
      <c r="K468" s="165">
        <f t="shared" si="353"/>
        <v>0</v>
      </c>
      <c r="L468" s="164">
        <v>0</v>
      </c>
      <c r="M468" s="164">
        <v>0</v>
      </c>
      <c r="N468" s="164">
        <v>0</v>
      </c>
      <c r="O468" s="78">
        <v>0</v>
      </c>
      <c r="P468" s="164">
        <f t="shared" si="325"/>
        <v>0</v>
      </c>
      <c r="Q468" s="164">
        <v>0</v>
      </c>
      <c r="R468" s="164">
        <v>0</v>
      </c>
      <c r="S468" s="81">
        <v>0</v>
      </c>
      <c r="T468" s="78">
        <v>0</v>
      </c>
      <c r="U468" s="164">
        <v>0</v>
      </c>
      <c r="V468" s="164">
        <v>0</v>
      </c>
      <c r="W468" s="164">
        <v>0</v>
      </c>
      <c r="X468" s="164">
        <v>0</v>
      </c>
      <c r="Y468" s="78">
        <v>0</v>
      </c>
      <c r="Z468" s="164">
        <f t="shared" si="350"/>
        <v>0</v>
      </c>
      <c r="AA468" s="164">
        <v>0</v>
      </c>
      <c r="AB468" s="164">
        <v>0</v>
      </c>
      <c r="AC468" s="81">
        <v>0</v>
      </c>
      <c r="AD468" s="135"/>
    </row>
    <row r="469" spans="1:30" s="147" customFormat="1" ht="28.15" customHeight="1" outlineLevel="1" x14ac:dyDescent="0.2">
      <c r="A469" s="153" t="s">
        <v>1540</v>
      </c>
      <c r="B469" s="136" t="s">
        <v>325</v>
      </c>
      <c r="C469" s="78">
        <f t="shared" si="354"/>
        <v>0</v>
      </c>
      <c r="D469" s="164">
        <f t="shared" si="351"/>
        <v>0</v>
      </c>
      <c r="E469" s="117">
        <v>0</v>
      </c>
      <c r="F469" s="165">
        <f t="shared" si="352"/>
        <v>0</v>
      </c>
      <c r="G469" s="164">
        <v>0</v>
      </c>
      <c r="H469" s="164">
        <v>0</v>
      </c>
      <c r="I469" s="164">
        <v>0</v>
      </c>
      <c r="J469" s="117">
        <v>0</v>
      </c>
      <c r="K469" s="165">
        <f t="shared" si="353"/>
        <v>0</v>
      </c>
      <c r="L469" s="164">
        <v>0</v>
      </c>
      <c r="M469" s="164">
        <v>0</v>
      </c>
      <c r="N469" s="164">
        <v>0</v>
      </c>
      <c r="O469" s="78">
        <v>0</v>
      </c>
      <c r="P469" s="164">
        <f t="shared" si="325"/>
        <v>0</v>
      </c>
      <c r="Q469" s="164">
        <v>0</v>
      </c>
      <c r="R469" s="164">
        <v>0</v>
      </c>
      <c r="S469" s="81">
        <v>0</v>
      </c>
      <c r="T469" s="78">
        <v>0</v>
      </c>
      <c r="U469" s="164">
        <v>0</v>
      </c>
      <c r="V469" s="164">
        <v>0</v>
      </c>
      <c r="W469" s="164">
        <v>0</v>
      </c>
      <c r="X469" s="164">
        <v>0</v>
      </c>
      <c r="Y469" s="78">
        <v>0</v>
      </c>
      <c r="Z469" s="164">
        <f t="shared" si="350"/>
        <v>0</v>
      </c>
      <c r="AA469" s="164">
        <v>0</v>
      </c>
      <c r="AB469" s="164">
        <v>0</v>
      </c>
      <c r="AC469" s="81">
        <v>0</v>
      </c>
      <c r="AD469" s="135"/>
    </row>
    <row r="470" spans="1:30" s="147" customFormat="1" ht="28.15" customHeight="1" outlineLevel="1" x14ac:dyDescent="0.2">
      <c r="A470" s="153" t="s">
        <v>1541</v>
      </c>
      <c r="B470" s="136" t="s">
        <v>355</v>
      </c>
      <c r="C470" s="78">
        <f>E470+J470+O470+Y470+T470</f>
        <v>0</v>
      </c>
      <c r="D470" s="164">
        <f t="shared" si="351"/>
        <v>0</v>
      </c>
      <c r="E470" s="117">
        <v>0</v>
      </c>
      <c r="F470" s="165">
        <f t="shared" si="352"/>
        <v>0</v>
      </c>
      <c r="G470" s="164">
        <v>0</v>
      </c>
      <c r="H470" s="164">
        <v>0</v>
      </c>
      <c r="I470" s="164">
        <v>0</v>
      </c>
      <c r="J470" s="117">
        <v>0</v>
      </c>
      <c r="K470" s="165">
        <f t="shared" si="353"/>
        <v>0</v>
      </c>
      <c r="L470" s="164">
        <v>0</v>
      </c>
      <c r="M470" s="164">
        <v>0</v>
      </c>
      <c r="N470" s="164">
        <v>0</v>
      </c>
      <c r="O470" s="78">
        <v>0</v>
      </c>
      <c r="P470" s="164">
        <f t="shared" si="325"/>
        <v>0</v>
      </c>
      <c r="Q470" s="164">
        <v>0</v>
      </c>
      <c r="R470" s="164">
        <v>0</v>
      </c>
      <c r="S470" s="81">
        <v>0</v>
      </c>
      <c r="T470" s="78">
        <v>0</v>
      </c>
      <c r="U470" s="164">
        <v>0</v>
      </c>
      <c r="V470" s="164">
        <v>0</v>
      </c>
      <c r="W470" s="164">
        <v>0</v>
      </c>
      <c r="X470" s="164">
        <v>0</v>
      </c>
      <c r="Y470" s="78">
        <v>0</v>
      </c>
      <c r="Z470" s="164">
        <f t="shared" si="350"/>
        <v>0</v>
      </c>
      <c r="AA470" s="164">
        <v>0</v>
      </c>
      <c r="AB470" s="164">
        <v>0</v>
      </c>
      <c r="AC470" s="81">
        <v>0</v>
      </c>
      <c r="AD470" s="135"/>
    </row>
    <row r="471" spans="1:30" s="147" customFormat="1" ht="28.9" customHeight="1" outlineLevel="1" x14ac:dyDescent="0.2">
      <c r="A471" s="160"/>
      <c r="B471" s="176" t="s">
        <v>352</v>
      </c>
      <c r="C471" s="161">
        <f>SUM(C472:C477)</f>
        <v>4.88</v>
      </c>
      <c r="D471" s="163">
        <f>SUM(D472:D477)</f>
        <v>1133</v>
      </c>
      <c r="E471" s="161">
        <f t="shared" ref="E471:S471" si="355">SUM(E472:E477)</f>
        <v>0</v>
      </c>
      <c r="F471" s="163">
        <f t="shared" si="355"/>
        <v>0</v>
      </c>
      <c r="G471" s="163">
        <f t="shared" si="355"/>
        <v>0</v>
      </c>
      <c r="H471" s="163">
        <f t="shared" si="355"/>
        <v>0</v>
      </c>
      <c r="I471" s="163">
        <f t="shared" si="355"/>
        <v>0</v>
      </c>
      <c r="J471" s="161">
        <f t="shared" si="355"/>
        <v>0</v>
      </c>
      <c r="K471" s="165">
        <f t="shared" si="353"/>
        <v>0</v>
      </c>
      <c r="L471" s="163">
        <f t="shared" si="355"/>
        <v>0</v>
      </c>
      <c r="M471" s="163">
        <f t="shared" si="355"/>
        <v>0</v>
      </c>
      <c r="N471" s="163">
        <f t="shared" si="355"/>
        <v>0</v>
      </c>
      <c r="O471" s="161">
        <f t="shared" si="355"/>
        <v>0</v>
      </c>
      <c r="P471" s="162">
        <f t="shared" si="325"/>
        <v>0</v>
      </c>
      <c r="Q471" s="163">
        <f>SUM(Q472:Q477)</f>
        <v>0</v>
      </c>
      <c r="R471" s="163">
        <f>SUM(R472:R477)</f>
        <v>0</v>
      </c>
      <c r="S471" s="163">
        <f t="shared" si="355"/>
        <v>0</v>
      </c>
      <c r="T471" s="161">
        <f>SUM(T472:T477)</f>
        <v>4.88</v>
      </c>
      <c r="U471" s="162">
        <f t="shared" ref="U471" si="356">V471+W471+X471</f>
        <v>1133</v>
      </c>
      <c r="V471" s="162">
        <f>SUM(V472:V477)</f>
        <v>0</v>
      </c>
      <c r="W471" s="162">
        <f>SUM(W472:W477)</f>
        <v>0</v>
      </c>
      <c r="X471" s="162">
        <f t="shared" ref="X471" si="357">SUM(X472:X477)</f>
        <v>1133</v>
      </c>
      <c r="Y471" s="161">
        <f>SUM(Y472:Y477)</f>
        <v>0</v>
      </c>
      <c r="Z471" s="162">
        <f t="shared" si="350"/>
        <v>0</v>
      </c>
      <c r="AA471" s="163">
        <f>SUM(AA472:AA477)</f>
        <v>0</v>
      </c>
      <c r="AB471" s="163">
        <f>SUM(AB472:AB477)</f>
        <v>0</v>
      </c>
      <c r="AC471" s="163">
        <f>SUM(AC472:AC477)</f>
        <v>0</v>
      </c>
      <c r="AD471" s="135"/>
    </row>
    <row r="472" spans="1:30" s="147" customFormat="1" ht="27" customHeight="1" outlineLevel="1" x14ac:dyDescent="0.2">
      <c r="A472" s="153" t="s">
        <v>1542</v>
      </c>
      <c r="B472" s="136" t="s">
        <v>351</v>
      </c>
      <c r="C472" s="78">
        <f>E472+J472+O472+Y472+T472</f>
        <v>0</v>
      </c>
      <c r="D472" s="164">
        <f t="shared" si="351"/>
        <v>0</v>
      </c>
      <c r="E472" s="117">
        <v>0</v>
      </c>
      <c r="F472" s="165">
        <f t="shared" si="352"/>
        <v>0</v>
      </c>
      <c r="G472" s="164">
        <v>0</v>
      </c>
      <c r="H472" s="164">
        <v>0</v>
      </c>
      <c r="I472" s="164">
        <v>0</v>
      </c>
      <c r="J472" s="117">
        <v>0</v>
      </c>
      <c r="K472" s="165">
        <f t="shared" si="353"/>
        <v>0</v>
      </c>
      <c r="L472" s="164">
        <v>0</v>
      </c>
      <c r="M472" s="164">
        <v>0</v>
      </c>
      <c r="N472" s="164">
        <v>0</v>
      </c>
      <c r="O472" s="78">
        <v>0</v>
      </c>
      <c r="P472" s="164">
        <f t="shared" ref="P472:P477" si="358">Q472+R472+S472</f>
        <v>0</v>
      </c>
      <c r="Q472" s="164">
        <v>0</v>
      </c>
      <c r="R472" s="164">
        <v>0</v>
      </c>
      <c r="S472" s="81">
        <v>0</v>
      </c>
      <c r="T472" s="78">
        <v>0</v>
      </c>
      <c r="U472" s="164">
        <f>V472+W472+X472</f>
        <v>0</v>
      </c>
      <c r="V472" s="164">
        <v>0</v>
      </c>
      <c r="W472" s="164">
        <v>0</v>
      </c>
      <c r="X472" s="164">
        <v>0</v>
      </c>
      <c r="Y472" s="78">
        <v>0</v>
      </c>
      <c r="Z472" s="164">
        <f t="shared" si="350"/>
        <v>0</v>
      </c>
      <c r="AA472" s="164">
        <v>0</v>
      </c>
      <c r="AB472" s="164">
        <v>0</v>
      </c>
      <c r="AC472" s="81">
        <v>0</v>
      </c>
      <c r="AD472" s="135"/>
    </row>
    <row r="473" spans="1:30" s="147" customFormat="1" ht="22.15" customHeight="1" outlineLevel="1" x14ac:dyDescent="0.2">
      <c r="A473" s="153" t="s">
        <v>1543</v>
      </c>
      <c r="B473" s="136" t="s">
        <v>268</v>
      </c>
      <c r="C473" s="78">
        <f t="shared" ref="C473:C477" si="359">E473+J473+O473+Y473+T473</f>
        <v>0</v>
      </c>
      <c r="D473" s="164">
        <f t="shared" si="351"/>
        <v>0</v>
      </c>
      <c r="E473" s="117">
        <v>0</v>
      </c>
      <c r="F473" s="165">
        <f t="shared" si="352"/>
        <v>0</v>
      </c>
      <c r="G473" s="164">
        <v>0</v>
      </c>
      <c r="H473" s="164">
        <v>0</v>
      </c>
      <c r="I473" s="164">
        <v>0</v>
      </c>
      <c r="J473" s="117">
        <v>0</v>
      </c>
      <c r="K473" s="165">
        <f t="shared" si="353"/>
        <v>0</v>
      </c>
      <c r="L473" s="164">
        <v>0</v>
      </c>
      <c r="M473" s="164">
        <v>0</v>
      </c>
      <c r="N473" s="164">
        <v>0</v>
      </c>
      <c r="O473" s="78">
        <v>0</v>
      </c>
      <c r="P473" s="164">
        <f t="shared" si="358"/>
        <v>0</v>
      </c>
      <c r="Q473" s="164">
        <v>0</v>
      </c>
      <c r="R473" s="164">
        <v>0</v>
      </c>
      <c r="S473" s="81">
        <v>0</v>
      </c>
      <c r="T473" s="78">
        <v>0</v>
      </c>
      <c r="U473" s="164">
        <f t="shared" ref="U473:U475" si="360">V473+W473+X473</f>
        <v>0</v>
      </c>
      <c r="V473" s="164">
        <v>0</v>
      </c>
      <c r="W473" s="164">
        <v>0</v>
      </c>
      <c r="X473" s="164">
        <v>0</v>
      </c>
      <c r="Y473" s="78">
        <v>0</v>
      </c>
      <c r="Z473" s="164">
        <f t="shared" si="350"/>
        <v>0</v>
      </c>
      <c r="AA473" s="164">
        <v>0</v>
      </c>
      <c r="AB473" s="164">
        <v>0</v>
      </c>
      <c r="AC473" s="81">
        <v>0</v>
      </c>
      <c r="AD473" s="135"/>
    </row>
    <row r="474" spans="1:30" s="147" customFormat="1" ht="26.45" customHeight="1" outlineLevel="1" x14ac:dyDescent="0.2">
      <c r="A474" s="153" t="s">
        <v>1544</v>
      </c>
      <c r="B474" s="136" t="s">
        <v>269</v>
      </c>
      <c r="C474" s="78">
        <f t="shared" si="359"/>
        <v>0</v>
      </c>
      <c r="D474" s="164">
        <f t="shared" si="351"/>
        <v>0</v>
      </c>
      <c r="E474" s="117">
        <v>0</v>
      </c>
      <c r="F474" s="165">
        <f t="shared" si="352"/>
        <v>0</v>
      </c>
      <c r="G474" s="164">
        <v>0</v>
      </c>
      <c r="H474" s="164">
        <v>0</v>
      </c>
      <c r="I474" s="164">
        <v>0</v>
      </c>
      <c r="J474" s="117">
        <v>0</v>
      </c>
      <c r="K474" s="165">
        <f t="shared" si="353"/>
        <v>0</v>
      </c>
      <c r="L474" s="164">
        <v>0</v>
      </c>
      <c r="M474" s="164">
        <v>0</v>
      </c>
      <c r="N474" s="164">
        <v>0</v>
      </c>
      <c r="O474" s="78">
        <v>0</v>
      </c>
      <c r="P474" s="164">
        <f t="shared" si="358"/>
        <v>0</v>
      </c>
      <c r="Q474" s="164">
        <v>0</v>
      </c>
      <c r="R474" s="164">
        <v>0</v>
      </c>
      <c r="S474" s="81">
        <v>0</v>
      </c>
      <c r="T474" s="78">
        <v>0</v>
      </c>
      <c r="U474" s="164">
        <f t="shared" si="360"/>
        <v>0</v>
      </c>
      <c r="V474" s="164">
        <v>0</v>
      </c>
      <c r="W474" s="164">
        <v>0</v>
      </c>
      <c r="X474" s="164">
        <v>0</v>
      </c>
      <c r="Y474" s="78">
        <v>0</v>
      </c>
      <c r="Z474" s="164">
        <f t="shared" si="350"/>
        <v>0</v>
      </c>
      <c r="AA474" s="164">
        <v>0</v>
      </c>
      <c r="AB474" s="164">
        <v>0</v>
      </c>
      <c r="AC474" s="81">
        <v>0</v>
      </c>
      <c r="AD474" s="135"/>
    </row>
    <row r="475" spans="1:30" s="147" customFormat="1" ht="36" customHeight="1" outlineLevel="1" x14ac:dyDescent="0.2">
      <c r="A475" s="153" t="s">
        <v>1539</v>
      </c>
      <c r="B475" s="136" t="s">
        <v>1704</v>
      </c>
      <c r="C475" s="78">
        <f t="shared" si="359"/>
        <v>4.88</v>
      </c>
      <c r="D475" s="164">
        <f t="shared" si="351"/>
        <v>1133</v>
      </c>
      <c r="E475" s="117">
        <v>0</v>
      </c>
      <c r="F475" s="165">
        <f t="shared" si="352"/>
        <v>0</v>
      </c>
      <c r="G475" s="164">
        <v>0</v>
      </c>
      <c r="H475" s="164">
        <v>0</v>
      </c>
      <c r="I475" s="164">
        <v>0</v>
      </c>
      <c r="J475" s="117">
        <v>0</v>
      </c>
      <c r="K475" s="165">
        <f t="shared" si="353"/>
        <v>0</v>
      </c>
      <c r="L475" s="164">
        <v>0</v>
      </c>
      <c r="M475" s="164">
        <v>0</v>
      </c>
      <c r="N475" s="164">
        <v>0</v>
      </c>
      <c r="O475" s="78">
        <v>0</v>
      </c>
      <c r="P475" s="164">
        <f t="shared" si="358"/>
        <v>0</v>
      </c>
      <c r="Q475" s="164">
        <v>0</v>
      </c>
      <c r="R475" s="164">
        <v>0</v>
      </c>
      <c r="S475" s="81">
        <v>0</v>
      </c>
      <c r="T475" s="78">
        <v>4.88</v>
      </c>
      <c r="U475" s="164">
        <f t="shared" si="360"/>
        <v>1133</v>
      </c>
      <c r="V475" s="164">
        <v>0</v>
      </c>
      <c r="W475" s="164">
        <v>0</v>
      </c>
      <c r="X475" s="164">
        <v>1133</v>
      </c>
      <c r="Y475" s="78">
        <v>0</v>
      </c>
      <c r="Z475" s="164">
        <f t="shared" si="350"/>
        <v>0</v>
      </c>
      <c r="AA475" s="164">
        <v>0</v>
      </c>
      <c r="AB475" s="164">
        <v>0</v>
      </c>
      <c r="AC475" s="81">
        <v>0</v>
      </c>
      <c r="AD475" s="135"/>
    </row>
    <row r="476" spans="1:30" s="147" customFormat="1" ht="24" customHeight="1" outlineLevel="1" x14ac:dyDescent="0.2">
      <c r="A476" s="153" t="s">
        <v>1545</v>
      </c>
      <c r="B476" s="136" t="s">
        <v>270</v>
      </c>
      <c r="C476" s="78">
        <f t="shared" si="359"/>
        <v>0</v>
      </c>
      <c r="D476" s="164">
        <f t="shared" si="351"/>
        <v>0</v>
      </c>
      <c r="E476" s="117">
        <v>0</v>
      </c>
      <c r="F476" s="165">
        <f t="shared" si="352"/>
        <v>0</v>
      </c>
      <c r="G476" s="164">
        <v>0</v>
      </c>
      <c r="H476" s="164">
        <v>0</v>
      </c>
      <c r="I476" s="164">
        <v>0</v>
      </c>
      <c r="J476" s="117">
        <v>0</v>
      </c>
      <c r="K476" s="165">
        <f t="shared" si="353"/>
        <v>0</v>
      </c>
      <c r="L476" s="164">
        <v>0</v>
      </c>
      <c r="M476" s="164">
        <v>0</v>
      </c>
      <c r="N476" s="164">
        <v>0</v>
      </c>
      <c r="O476" s="78">
        <v>0</v>
      </c>
      <c r="P476" s="164">
        <f t="shared" si="358"/>
        <v>0</v>
      </c>
      <c r="Q476" s="164">
        <v>0</v>
      </c>
      <c r="R476" s="164">
        <v>0</v>
      </c>
      <c r="S476" s="81">
        <v>0</v>
      </c>
      <c r="T476" s="78">
        <v>0</v>
      </c>
      <c r="U476" s="164">
        <f>V476+W476+X476</f>
        <v>0</v>
      </c>
      <c r="V476" s="164">
        <v>0</v>
      </c>
      <c r="W476" s="164">
        <v>0</v>
      </c>
      <c r="X476" s="164">
        <v>0</v>
      </c>
      <c r="Y476" s="78">
        <v>0</v>
      </c>
      <c r="Z476" s="164">
        <f t="shared" si="350"/>
        <v>0</v>
      </c>
      <c r="AA476" s="164">
        <v>0</v>
      </c>
      <c r="AB476" s="164">
        <v>0</v>
      </c>
      <c r="AC476" s="81">
        <v>0</v>
      </c>
      <c r="AD476" s="135"/>
    </row>
    <row r="477" spans="1:30" s="147" customFormat="1" ht="23.45" customHeight="1" outlineLevel="1" x14ac:dyDescent="0.2">
      <c r="A477" s="153" t="s">
        <v>1546</v>
      </c>
      <c r="B477" s="136" t="s">
        <v>271</v>
      </c>
      <c r="C477" s="78">
        <f t="shared" si="359"/>
        <v>0</v>
      </c>
      <c r="D477" s="164">
        <f t="shared" si="351"/>
        <v>0</v>
      </c>
      <c r="E477" s="117">
        <v>0</v>
      </c>
      <c r="F477" s="165">
        <f t="shared" si="352"/>
        <v>0</v>
      </c>
      <c r="G477" s="164">
        <v>0</v>
      </c>
      <c r="H477" s="164">
        <v>0</v>
      </c>
      <c r="I477" s="164">
        <v>0</v>
      </c>
      <c r="J477" s="117">
        <v>0</v>
      </c>
      <c r="K477" s="165">
        <f t="shared" si="353"/>
        <v>0</v>
      </c>
      <c r="L477" s="164">
        <v>0</v>
      </c>
      <c r="M477" s="164">
        <v>0</v>
      </c>
      <c r="N477" s="164">
        <v>0</v>
      </c>
      <c r="O477" s="78">
        <v>0</v>
      </c>
      <c r="P477" s="164">
        <f t="shared" si="358"/>
        <v>0</v>
      </c>
      <c r="Q477" s="164">
        <v>0</v>
      </c>
      <c r="R477" s="164">
        <v>0</v>
      </c>
      <c r="S477" s="81">
        <v>0</v>
      </c>
      <c r="T477" s="78">
        <v>0</v>
      </c>
      <c r="U477" s="164">
        <f>V477+W477+X477</f>
        <v>0</v>
      </c>
      <c r="V477" s="164">
        <v>0</v>
      </c>
      <c r="W477" s="164">
        <v>0</v>
      </c>
      <c r="X477" s="164">
        <v>0</v>
      </c>
      <c r="Y477" s="78">
        <v>0</v>
      </c>
      <c r="Z477" s="164">
        <f t="shared" si="350"/>
        <v>0</v>
      </c>
      <c r="AA477" s="164">
        <v>0</v>
      </c>
      <c r="AB477" s="164">
        <v>0</v>
      </c>
      <c r="AC477" s="81">
        <v>0</v>
      </c>
      <c r="AD477" s="135"/>
    </row>
    <row r="478" spans="1:30" s="147" customFormat="1" ht="28.15" customHeight="1" outlineLevel="1" x14ac:dyDescent="0.2">
      <c r="A478" s="167"/>
      <c r="B478" s="168" t="s">
        <v>350</v>
      </c>
      <c r="C478" s="161">
        <f>SUM(C479:C528)</f>
        <v>5.6</v>
      </c>
      <c r="D478" s="163">
        <f>SUM(D479:D528)</f>
        <v>2104</v>
      </c>
      <c r="E478" s="161">
        <f t="shared" ref="E478:X478" si="361">SUM(E479:E528)</f>
        <v>0</v>
      </c>
      <c r="F478" s="163">
        <f t="shared" si="361"/>
        <v>0</v>
      </c>
      <c r="G478" s="163">
        <f t="shared" si="361"/>
        <v>0</v>
      </c>
      <c r="H478" s="163">
        <f t="shared" si="361"/>
        <v>0</v>
      </c>
      <c r="I478" s="163">
        <f t="shared" si="361"/>
        <v>0</v>
      </c>
      <c r="J478" s="161">
        <f t="shared" si="361"/>
        <v>2.8</v>
      </c>
      <c r="K478" s="163">
        <f>SUM(L478:N478)</f>
        <v>1380</v>
      </c>
      <c r="L478" s="163">
        <f t="shared" si="361"/>
        <v>0</v>
      </c>
      <c r="M478" s="163">
        <f t="shared" si="361"/>
        <v>0</v>
      </c>
      <c r="N478" s="163">
        <f>SUM(N479:N528)</f>
        <v>1380</v>
      </c>
      <c r="O478" s="161">
        <f t="shared" si="361"/>
        <v>2.8</v>
      </c>
      <c r="P478" s="162">
        <f t="shared" si="325"/>
        <v>724</v>
      </c>
      <c r="Q478" s="163">
        <f t="shared" si="361"/>
        <v>0</v>
      </c>
      <c r="R478" s="163">
        <f t="shared" si="361"/>
        <v>0</v>
      </c>
      <c r="S478" s="163">
        <f t="shared" si="361"/>
        <v>724</v>
      </c>
      <c r="T478" s="161">
        <f>SUM(T479:T528)</f>
        <v>0</v>
      </c>
      <c r="U478" s="162">
        <f>V478+W478+X478</f>
        <v>0</v>
      </c>
      <c r="V478" s="162">
        <f t="shared" si="361"/>
        <v>0</v>
      </c>
      <c r="W478" s="162">
        <f t="shared" si="361"/>
        <v>0</v>
      </c>
      <c r="X478" s="162">
        <f t="shared" si="361"/>
        <v>0</v>
      </c>
      <c r="Y478" s="161">
        <f>SUM(Y479:Y528)</f>
        <v>0</v>
      </c>
      <c r="Z478" s="162">
        <f t="shared" si="350"/>
        <v>0</v>
      </c>
      <c r="AA478" s="163">
        <f>SUM(V479:V528)</f>
        <v>0</v>
      </c>
      <c r="AB478" s="163">
        <f>SUM(W479:W528)</f>
        <v>0</v>
      </c>
      <c r="AC478" s="163">
        <f>SUM(AC479:AC528)</f>
        <v>0</v>
      </c>
      <c r="AD478" s="135"/>
    </row>
    <row r="479" spans="1:30" s="147" customFormat="1" ht="33" customHeight="1" outlineLevel="1" x14ac:dyDescent="0.2">
      <c r="A479" s="153" t="s">
        <v>1547</v>
      </c>
      <c r="B479" s="136" t="s">
        <v>265</v>
      </c>
      <c r="C479" s="78">
        <f>E479+J479+O479+Y479+T479</f>
        <v>0</v>
      </c>
      <c r="D479" s="164">
        <f t="shared" si="351"/>
        <v>0</v>
      </c>
      <c r="E479" s="117">
        <v>0</v>
      </c>
      <c r="F479" s="165">
        <f t="shared" si="352"/>
        <v>0</v>
      </c>
      <c r="G479" s="164">
        <v>0</v>
      </c>
      <c r="H479" s="164">
        <v>0</v>
      </c>
      <c r="I479" s="164">
        <v>0</v>
      </c>
      <c r="J479" s="117">
        <v>0</v>
      </c>
      <c r="K479" s="165">
        <f t="shared" ref="K479:K528" si="362">L479+M479+N479</f>
        <v>0</v>
      </c>
      <c r="L479" s="164">
        <v>0</v>
      </c>
      <c r="M479" s="164">
        <v>0</v>
      </c>
      <c r="N479" s="164">
        <v>0</v>
      </c>
      <c r="O479" s="78">
        <v>0</v>
      </c>
      <c r="P479" s="164">
        <f t="shared" si="325"/>
        <v>0</v>
      </c>
      <c r="Q479" s="164">
        <v>0</v>
      </c>
      <c r="R479" s="164">
        <v>0</v>
      </c>
      <c r="S479" s="81">
        <v>0</v>
      </c>
      <c r="T479" s="78">
        <v>0</v>
      </c>
      <c r="U479" s="164">
        <v>0</v>
      </c>
      <c r="V479" s="164">
        <v>0</v>
      </c>
      <c r="W479" s="164">
        <v>0</v>
      </c>
      <c r="X479" s="164">
        <v>0</v>
      </c>
      <c r="Y479" s="78">
        <v>0</v>
      </c>
      <c r="Z479" s="164">
        <f t="shared" si="350"/>
        <v>0</v>
      </c>
      <c r="AA479" s="164">
        <v>0</v>
      </c>
      <c r="AB479" s="164">
        <v>0</v>
      </c>
      <c r="AC479" s="81">
        <v>0</v>
      </c>
      <c r="AD479" s="135"/>
    </row>
    <row r="480" spans="1:30" s="147" customFormat="1" ht="36" customHeight="1" outlineLevel="1" x14ac:dyDescent="0.2">
      <c r="A480" s="153" t="s">
        <v>1548</v>
      </c>
      <c r="B480" s="136" t="s">
        <v>273</v>
      </c>
      <c r="C480" s="78">
        <f t="shared" ref="C480:C521" si="363">E480+J480+O480+Y480+T480</f>
        <v>0</v>
      </c>
      <c r="D480" s="164">
        <f t="shared" si="351"/>
        <v>0</v>
      </c>
      <c r="E480" s="117">
        <v>0</v>
      </c>
      <c r="F480" s="165">
        <f t="shared" si="352"/>
        <v>0</v>
      </c>
      <c r="G480" s="164">
        <v>0</v>
      </c>
      <c r="H480" s="164">
        <v>0</v>
      </c>
      <c r="I480" s="164">
        <v>0</v>
      </c>
      <c r="J480" s="117">
        <v>0</v>
      </c>
      <c r="K480" s="165">
        <f t="shared" si="362"/>
        <v>0</v>
      </c>
      <c r="L480" s="164">
        <v>0</v>
      </c>
      <c r="M480" s="164">
        <v>0</v>
      </c>
      <c r="N480" s="164">
        <v>0</v>
      </c>
      <c r="O480" s="78">
        <v>0</v>
      </c>
      <c r="P480" s="164">
        <f t="shared" si="325"/>
        <v>0</v>
      </c>
      <c r="Q480" s="164">
        <v>0</v>
      </c>
      <c r="R480" s="164">
        <v>0</v>
      </c>
      <c r="S480" s="81">
        <v>0</v>
      </c>
      <c r="T480" s="78">
        <v>0</v>
      </c>
      <c r="U480" s="164">
        <v>0</v>
      </c>
      <c r="V480" s="164">
        <v>0</v>
      </c>
      <c r="W480" s="164">
        <v>0</v>
      </c>
      <c r="X480" s="164">
        <v>0</v>
      </c>
      <c r="Y480" s="78">
        <v>0</v>
      </c>
      <c r="Z480" s="164">
        <f t="shared" si="350"/>
        <v>0</v>
      </c>
      <c r="AA480" s="164">
        <v>0</v>
      </c>
      <c r="AB480" s="164">
        <v>0</v>
      </c>
      <c r="AC480" s="81">
        <v>0</v>
      </c>
      <c r="AD480" s="135"/>
    </row>
    <row r="481" spans="1:30" s="147" customFormat="1" ht="36" customHeight="1" outlineLevel="1" x14ac:dyDescent="0.2">
      <c r="A481" s="153" t="s">
        <v>1549</v>
      </c>
      <c r="B481" s="136" t="s">
        <v>274</v>
      </c>
      <c r="C481" s="78">
        <f t="shared" si="363"/>
        <v>0</v>
      </c>
      <c r="D481" s="164">
        <f t="shared" si="351"/>
        <v>0</v>
      </c>
      <c r="E481" s="117">
        <v>0</v>
      </c>
      <c r="F481" s="165">
        <f t="shared" si="352"/>
        <v>0</v>
      </c>
      <c r="G481" s="164">
        <v>0</v>
      </c>
      <c r="H481" s="164">
        <v>0</v>
      </c>
      <c r="I481" s="164">
        <v>0</v>
      </c>
      <c r="J481" s="117">
        <v>0</v>
      </c>
      <c r="K481" s="165">
        <f t="shared" si="362"/>
        <v>0</v>
      </c>
      <c r="L481" s="164">
        <v>0</v>
      </c>
      <c r="M481" s="164">
        <v>0</v>
      </c>
      <c r="N481" s="164">
        <v>0</v>
      </c>
      <c r="O481" s="78">
        <v>0</v>
      </c>
      <c r="P481" s="164">
        <f t="shared" si="325"/>
        <v>0</v>
      </c>
      <c r="Q481" s="164">
        <v>0</v>
      </c>
      <c r="R481" s="164">
        <v>0</v>
      </c>
      <c r="S481" s="81">
        <v>0</v>
      </c>
      <c r="T481" s="78">
        <v>0</v>
      </c>
      <c r="U481" s="164">
        <v>0</v>
      </c>
      <c r="V481" s="164">
        <v>0</v>
      </c>
      <c r="W481" s="164">
        <v>0</v>
      </c>
      <c r="X481" s="164">
        <v>0</v>
      </c>
      <c r="Y481" s="78">
        <v>0</v>
      </c>
      <c r="Z481" s="164">
        <f t="shared" si="350"/>
        <v>0</v>
      </c>
      <c r="AA481" s="164">
        <v>0</v>
      </c>
      <c r="AB481" s="164">
        <v>0</v>
      </c>
      <c r="AC481" s="81">
        <v>0</v>
      </c>
      <c r="AD481" s="135"/>
    </row>
    <row r="482" spans="1:30" s="147" customFormat="1" ht="35.450000000000003" customHeight="1" outlineLevel="1" x14ac:dyDescent="0.2">
      <c r="A482" s="153" t="s">
        <v>1550</v>
      </c>
      <c r="B482" s="166" t="s">
        <v>275</v>
      </c>
      <c r="C482" s="78">
        <f t="shared" si="363"/>
        <v>0</v>
      </c>
      <c r="D482" s="164">
        <f t="shared" si="351"/>
        <v>0</v>
      </c>
      <c r="E482" s="117">
        <v>0</v>
      </c>
      <c r="F482" s="165">
        <f t="shared" si="352"/>
        <v>0</v>
      </c>
      <c r="G482" s="164">
        <v>0</v>
      </c>
      <c r="H482" s="164">
        <v>0</v>
      </c>
      <c r="I482" s="164">
        <v>0</v>
      </c>
      <c r="J482" s="117">
        <v>0</v>
      </c>
      <c r="K482" s="165">
        <f t="shared" si="362"/>
        <v>0</v>
      </c>
      <c r="L482" s="164">
        <v>0</v>
      </c>
      <c r="M482" s="164">
        <v>0</v>
      </c>
      <c r="N482" s="164">
        <v>0</v>
      </c>
      <c r="O482" s="78">
        <v>0</v>
      </c>
      <c r="P482" s="164">
        <f t="shared" si="325"/>
        <v>0</v>
      </c>
      <c r="Q482" s="164">
        <v>0</v>
      </c>
      <c r="R482" s="164">
        <v>0</v>
      </c>
      <c r="S482" s="81">
        <v>0</v>
      </c>
      <c r="T482" s="78">
        <v>0</v>
      </c>
      <c r="U482" s="164">
        <v>0</v>
      </c>
      <c r="V482" s="164">
        <v>0</v>
      </c>
      <c r="W482" s="164">
        <v>0</v>
      </c>
      <c r="X482" s="164">
        <v>0</v>
      </c>
      <c r="Y482" s="78">
        <v>0</v>
      </c>
      <c r="Z482" s="164">
        <f t="shared" si="350"/>
        <v>0</v>
      </c>
      <c r="AA482" s="164">
        <v>0</v>
      </c>
      <c r="AB482" s="164">
        <v>0</v>
      </c>
      <c r="AC482" s="81">
        <v>0</v>
      </c>
      <c r="AD482" s="135"/>
    </row>
    <row r="483" spans="1:30" s="147" customFormat="1" ht="28.15" customHeight="1" outlineLevel="1" x14ac:dyDescent="0.2">
      <c r="A483" s="153" t="s">
        <v>1551</v>
      </c>
      <c r="B483" s="166" t="s">
        <v>349</v>
      </c>
      <c r="C483" s="78">
        <f t="shared" si="363"/>
        <v>0</v>
      </c>
      <c r="D483" s="164">
        <f t="shared" si="351"/>
        <v>0</v>
      </c>
      <c r="E483" s="117">
        <v>0</v>
      </c>
      <c r="F483" s="165">
        <f t="shared" si="352"/>
        <v>0</v>
      </c>
      <c r="G483" s="164">
        <v>0</v>
      </c>
      <c r="H483" s="164">
        <v>0</v>
      </c>
      <c r="I483" s="164">
        <v>0</v>
      </c>
      <c r="J483" s="117">
        <v>0</v>
      </c>
      <c r="K483" s="165">
        <f t="shared" si="362"/>
        <v>0</v>
      </c>
      <c r="L483" s="164">
        <v>0</v>
      </c>
      <c r="M483" s="164">
        <v>0</v>
      </c>
      <c r="N483" s="164">
        <v>0</v>
      </c>
      <c r="O483" s="78">
        <v>0</v>
      </c>
      <c r="P483" s="164">
        <f t="shared" si="325"/>
        <v>0</v>
      </c>
      <c r="Q483" s="164">
        <v>0</v>
      </c>
      <c r="R483" s="164">
        <v>0</v>
      </c>
      <c r="S483" s="81">
        <v>0</v>
      </c>
      <c r="T483" s="78">
        <v>0</v>
      </c>
      <c r="U483" s="164">
        <v>0</v>
      </c>
      <c r="V483" s="164">
        <v>0</v>
      </c>
      <c r="W483" s="164">
        <v>0</v>
      </c>
      <c r="X483" s="164">
        <v>0</v>
      </c>
      <c r="Y483" s="78">
        <v>0</v>
      </c>
      <c r="Z483" s="164">
        <f t="shared" si="350"/>
        <v>0</v>
      </c>
      <c r="AA483" s="164">
        <v>0</v>
      </c>
      <c r="AB483" s="164">
        <v>0</v>
      </c>
      <c r="AC483" s="81">
        <v>0</v>
      </c>
      <c r="AD483" s="135"/>
    </row>
    <row r="484" spans="1:30" s="147" customFormat="1" ht="26.45" customHeight="1" outlineLevel="1" x14ac:dyDescent="0.2">
      <c r="A484" s="153" t="s">
        <v>1552</v>
      </c>
      <c r="B484" s="166" t="s">
        <v>277</v>
      </c>
      <c r="C484" s="78">
        <f t="shared" si="363"/>
        <v>0</v>
      </c>
      <c r="D484" s="164">
        <f t="shared" si="351"/>
        <v>0</v>
      </c>
      <c r="E484" s="117">
        <v>0</v>
      </c>
      <c r="F484" s="165">
        <f t="shared" si="352"/>
        <v>0</v>
      </c>
      <c r="G484" s="164">
        <v>0</v>
      </c>
      <c r="H484" s="164">
        <v>0</v>
      </c>
      <c r="I484" s="164">
        <v>0</v>
      </c>
      <c r="J484" s="117">
        <v>0</v>
      </c>
      <c r="K484" s="165">
        <f t="shared" si="362"/>
        <v>0</v>
      </c>
      <c r="L484" s="164">
        <v>0</v>
      </c>
      <c r="M484" s="164">
        <v>0</v>
      </c>
      <c r="N484" s="164">
        <v>0</v>
      </c>
      <c r="O484" s="78">
        <v>0</v>
      </c>
      <c r="P484" s="164">
        <f t="shared" si="325"/>
        <v>0</v>
      </c>
      <c r="Q484" s="164">
        <v>0</v>
      </c>
      <c r="R484" s="164">
        <v>0</v>
      </c>
      <c r="S484" s="81">
        <v>0</v>
      </c>
      <c r="T484" s="78">
        <v>0</v>
      </c>
      <c r="U484" s="164">
        <v>0</v>
      </c>
      <c r="V484" s="164">
        <v>0</v>
      </c>
      <c r="W484" s="164">
        <v>0</v>
      </c>
      <c r="X484" s="164">
        <v>0</v>
      </c>
      <c r="Y484" s="78">
        <v>0</v>
      </c>
      <c r="Z484" s="164">
        <f t="shared" si="350"/>
        <v>0</v>
      </c>
      <c r="AA484" s="164">
        <v>0</v>
      </c>
      <c r="AB484" s="164">
        <v>0</v>
      </c>
      <c r="AC484" s="81">
        <v>0</v>
      </c>
      <c r="AD484" s="135"/>
    </row>
    <row r="485" spans="1:30" s="147" customFormat="1" ht="25.9" customHeight="1" outlineLevel="1" x14ac:dyDescent="0.2">
      <c r="A485" s="153" t="s">
        <v>1553</v>
      </c>
      <c r="B485" s="166" t="s">
        <v>278</v>
      </c>
      <c r="C485" s="78">
        <f t="shared" si="363"/>
        <v>0</v>
      </c>
      <c r="D485" s="164">
        <f t="shared" si="351"/>
        <v>0</v>
      </c>
      <c r="E485" s="117">
        <v>0</v>
      </c>
      <c r="F485" s="165">
        <f t="shared" si="352"/>
        <v>0</v>
      </c>
      <c r="G485" s="164">
        <v>0</v>
      </c>
      <c r="H485" s="164">
        <v>0</v>
      </c>
      <c r="I485" s="164">
        <v>0</v>
      </c>
      <c r="J485" s="117">
        <v>0</v>
      </c>
      <c r="K485" s="165">
        <f t="shared" si="362"/>
        <v>0</v>
      </c>
      <c r="L485" s="164">
        <v>0</v>
      </c>
      <c r="M485" s="164">
        <v>0</v>
      </c>
      <c r="N485" s="164">
        <v>0</v>
      </c>
      <c r="O485" s="78">
        <v>0</v>
      </c>
      <c r="P485" s="164">
        <f t="shared" si="325"/>
        <v>0</v>
      </c>
      <c r="Q485" s="164">
        <v>0</v>
      </c>
      <c r="R485" s="164">
        <v>0</v>
      </c>
      <c r="S485" s="81">
        <v>0</v>
      </c>
      <c r="T485" s="78">
        <v>0</v>
      </c>
      <c r="U485" s="164">
        <f>V485+W485+X485</f>
        <v>0</v>
      </c>
      <c r="V485" s="164">
        <v>0</v>
      </c>
      <c r="W485" s="164">
        <v>0</v>
      </c>
      <c r="X485" s="164">
        <v>0</v>
      </c>
      <c r="Y485" s="78">
        <v>0</v>
      </c>
      <c r="Z485" s="164">
        <f t="shared" si="350"/>
        <v>0</v>
      </c>
      <c r="AA485" s="164">
        <v>0</v>
      </c>
      <c r="AB485" s="164">
        <v>0</v>
      </c>
      <c r="AC485" s="81">
        <v>0</v>
      </c>
      <c r="AD485" s="135"/>
    </row>
    <row r="486" spans="1:30" s="147" customFormat="1" ht="31.15" customHeight="1" outlineLevel="1" x14ac:dyDescent="0.2">
      <c r="A486" s="153" t="s">
        <v>1554</v>
      </c>
      <c r="B486" s="166" t="s">
        <v>279</v>
      </c>
      <c r="C486" s="78">
        <f t="shared" si="363"/>
        <v>0</v>
      </c>
      <c r="D486" s="164">
        <f t="shared" si="351"/>
        <v>0</v>
      </c>
      <c r="E486" s="117">
        <v>0</v>
      </c>
      <c r="F486" s="165">
        <f t="shared" si="352"/>
        <v>0</v>
      </c>
      <c r="G486" s="164">
        <v>0</v>
      </c>
      <c r="H486" s="164">
        <v>0</v>
      </c>
      <c r="I486" s="164">
        <v>0</v>
      </c>
      <c r="J486" s="117">
        <v>0</v>
      </c>
      <c r="K486" s="165">
        <f t="shared" si="362"/>
        <v>0</v>
      </c>
      <c r="L486" s="164">
        <v>0</v>
      </c>
      <c r="M486" s="164">
        <v>0</v>
      </c>
      <c r="N486" s="164">
        <v>0</v>
      </c>
      <c r="O486" s="78">
        <v>0</v>
      </c>
      <c r="P486" s="164">
        <f t="shared" si="325"/>
        <v>0</v>
      </c>
      <c r="Q486" s="164">
        <v>0</v>
      </c>
      <c r="R486" s="164">
        <v>0</v>
      </c>
      <c r="S486" s="81">
        <v>0</v>
      </c>
      <c r="T486" s="78">
        <v>0</v>
      </c>
      <c r="U486" s="164">
        <v>0</v>
      </c>
      <c r="V486" s="164">
        <v>0</v>
      </c>
      <c r="W486" s="164">
        <v>0</v>
      </c>
      <c r="X486" s="164">
        <v>0</v>
      </c>
      <c r="Y486" s="78">
        <v>0</v>
      </c>
      <c r="Z486" s="164">
        <f t="shared" si="350"/>
        <v>0</v>
      </c>
      <c r="AA486" s="164">
        <v>0</v>
      </c>
      <c r="AB486" s="164">
        <v>0</v>
      </c>
      <c r="AC486" s="81">
        <v>0</v>
      </c>
      <c r="AD486" s="135"/>
    </row>
    <row r="487" spans="1:30" s="147" customFormat="1" ht="37.9" customHeight="1" outlineLevel="1" x14ac:dyDescent="0.2">
      <c r="A487" s="153" t="s">
        <v>1555</v>
      </c>
      <c r="B487" s="166" t="s">
        <v>359</v>
      </c>
      <c r="C487" s="78">
        <f t="shared" si="363"/>
        <v>0</v>
      </c>
      <c r="D487" s="164">
        <f t="shared" si="351"/>
        <v>0</v>
      </c>
      <c r="E487" s="117">
        <v>0</v>
      </c>
      <c r="F487" s="165">
        <f t="shared" si="352"/>
        <v>0</v>
      </c>
      <c r="G487" s="164">
        <v>0</v>
      </c>
      <c r="H487" s="164">
        <v>0</v>
      </c>
      <c r="I487" s="164">
        <v>0</v>
      </c>
      <c r="J487" s="117">
        <v>0</v>
      </c>
      <c r="K487" s="165">
        <f t="shared" si="362"/>
        <v>0</v>
      </c>
      <c r="L487" s="164">
        <v>0</v>
      </c>
      <c r="M487" s="164">
        <v>0</v>
      </c>
      <c r="N487" s="164">
        <v>0</v>
      </c>
      <c r="O487" s="78">
        <v>0</v>
      </c>
      <c r="P487" s="164">
        <f t="shared" si="325"/>
        <v>0</v>
      </c>
      <c r="Q487" s="164">
        <v>0</v>
      </c>
      <c r="R487" s="164">
        <v>0</v>
      </c>
      <c r="S487" s="81">
        <v>0</v>
      </c>
      <c r="T487" s="78">
        <v>0</v>
      </c>
      <c r="U487" s="164">
        <v>0</v>
      </c>
      <c r="V487" s="164">
        <v>0</v>
      </c>
      <c r="W487" s="164">
        <v>0</v>
      </c>
      <c r="X487" s="164">
        <v>0</v>
      </c>
      <c r="Y487" s="78">
        <v>0</v>
      </c>
      <c r="Z487" s="164">
        <f t="shared" si="350"/>
        <v>0</v>
      </c>
      <c r="AA487" s="164">
        <v>0</v>
      </c>
      <c r="AB487" s="164">
        <v>0</v>
      </c>
      <c r="AC487" s="81">
        <v>0</v>
      </c>
      <c r="AD487" s="135"/>
    </row>
    <row r="488" spans="1:30" s="147" customFormat="1" ht="25.15" customHeight="1" outlineLevel="1" x14ac:dyDescent="0.2">
      <c r="A488" s="153" t="s">
        <v>1556</v>
      </c>
      <c r="B488" s="166" t="s">
        <v>280</v>
      </c>
      <c r="C488" s="78">
        <f t="shared" si="363"/>
        <v>0</v>
      </c>
      <c r="D488" s="164">
        <f t="shared" si="351"/>
        <v>0</v>
      </c>
      <c r="E488" s="117">
        <v>0</v>
      </c>
      <c r="F488" s="165">
        <f t="shared" si="352"/>
        <v>0</v>
      </c>
      <c r="G488" s="164">
        <v>0</v>
      </c>
      <c r="H488" s="164">
        <v>0</v>
      </c>
      <c r="I488" s="164">
        <v>0</v>
      </c>
      <c r="J488" s="117">
        <v>0</v>
      </c>
      <c r="K488" s="165">
        <f t="shared" si="362"/>
        <v>0</v>
      </c>
      <c r="L488" s="164">
        <v>0</v>
      </c>
      <c r="M488" s="164">
        <v>0</v>
      </c>
      <c r="N488" s="164">
        <v>0</v>
      </c>
      <c r="O488" s="78">
        <v>0</v>
      </c>
      <c r="P488" s="164">
        <f t="shared" si="325"/>
        <v>0</v>
      </c>
      <c r="Q488" s="164">
        <v>0</v>
      </c>
      <c r="R488" s="164">
        <v>0</v>
      </c>
      <c r="S488" s="81">
        <v>0</v>
      </c>
      <c r="T488" s="78">
        <v>0</v>
      </c>
      <c r="U488" s="164">
        <v>0</v>
      </c>
      <c r="V488" s="164">
        <v>0</v>
      </c>
      <c r="W488" s="164">
        <v>0</v>
      </c>
      <c r="X488" s="164">
        <v>0</v>
      </c>
      <c r="Y488" s="78">
        <v>0</v>
      </c>
      <c r="Z488" s="164">
        <f t="shared" si="350"/>
        <v>0</v>
      </c>
      <c r="AA488" s="164">
        <v>0</v>
      </c>
      <c r="AB488" s="164">
        <v>0</v>
      </c>
      <c r="AC488" s="81">
        <v>0</v>
      </c>
      <c r="AD488" s="135"/>
    </row>
    <row r="489" spans="1:30" s="147" customFormat="1" ht="28.15" customHeight="1" outlineLevel="1" x14ac:dyDescent="0.2">
      <c r="A489" s="153" t="s">
        <v>1557</v>
      </c>
      <c r="B489" s="166" t="s">
        <v>281</v>
      </c>
      <c r="C489" s="78">
        <f t="shared" si="363"/>
        <v>0</v>
      </c>
      <c r="D489" s="164">
        <f t="shared" si="351"/>
        <v>0</v>
      </c>
      <c r="E489" s="117">
        <v>0</v>
      </c>
      <c r="F489" s="165">
        <f t="shared" si="352"/>
        <v>0</v>
      </c>
      <c r="G489" s="164">
        <v>0</v>
      </c>
      <c r="H489" s="164">
        <v>0</v>
      </c>
      <c r="I489" s="164">
        <v>0</v>
      </c>
      <c r="J489" s="117">
        <v>0</v>
      </c>
      <c r="K489" s="165">
        <f t="shared" si="362"/>
        <v>0</v>
      </c>
      <c r="L489" s="164">
        <v>0</v>
      </c>
      <c r="M489" s="164">
        <v>0</v>
      </c>
      <c r="N489" s="164">
        <v>0</v>
      </c>
      <c r="O489" s="78">
        <v>0</v>
      </c>
      <c r="P489" s="164">
        <f t="shared" si="325"/>
        <v>0</v>
      </c>
      <c r="Q489" s="164">
        <v>0</v>
      </c>
      <c r="R489" s="164">
        <v>0</v>
      </c>
      <c r="S489" s="81">
        <v>0</v>
      </c>
      <c r="T489" s="78">
        <v>0</v>
      </c>
      <c r="U489" s="164">
        <v>0</v>
      </c>
      <c r="V489" s="164">
        <v>0</v>
      </c>
      <c r="W489" s="164">
        <v>0</v>
      </c>
      <c r="X489" s="164">
        <v>0</v>
      </c>
      <c r="Y489" s="78">
        <v>0</v>
      </c>
      <c r="Z489" s="164">
        <f t="shared" si="350"/>
        <v>0</v>
      </c>
      <c r="AA489" s="164">
        <v>0</v>
      </c>
      <c r="AB489" s="164">
        <v>0</v>
      </c>
      <c r="AC489" s="81">
        <v>0</v>
      </c>
      <c r="AD489" s="135"/>
    </row>
    <row r="490" spans="1:30" s="147" customFormat="1" ht="24" customHeight="1" outlineLevel="1" x14ac:dyDescent="0.2">
      <c r="A490" s="153" t="s">
        <v>1558</v>
      </c>
      <c r="B490" s="166" t="s">
        <v>282</v>
      </c>
      <c r="C490" s="78">
        <f t="shared" si="363"/>
        <v>0</v>
      </c>
      <c r="D490" s="164">
        <f t="shared" si="351"/>
        <v>0</v>
      </c>
      <c r="E490" s="117">
        <v>0</v>
      </c>
      <c r="F490" s="165">
        <f t="shared" si="352"/>
        <v>0</v>
      </c>
      <c r="G490" s="164">
        <v>0</v>
      </c>
      <c r="H490" s="164">
        <v>0</v>
      </c>
      <c r="I490" s="164">
        <v>0</v>
      </c>
      <c r="J490" s="117">
        <v>0</v>
      </c>
      <c r="K490" s="165">
        <f t="shared" si="362"/>
        <v>0</v>
      </c>
      <c r="L490" s="164">
        <v>0</v>
      </c>
      <c r="M490" s="164">
        <v>0</v>
      </c>
      <c r="N490" s="164">
        <v>0</v>
      </c>
      <c r="O490" s="78">
        <v>0</v>
      </c>
      <c r="P490" s="164">
        <f t="shared" si="325"/>
        <v>0</v>
      </c>
      <c r="Q490" s="164">
        <v>0</v>
      </c>
      <c r="R490" s="164">
        <v>0</v>
      </c>
      <c r="S490" s="81">
        <v>0</v>
      </c>
      <c r="T490" s="78">
        <v>0</v>
      </c>
      <c r="U490" s="164">
        <v>0</v>
      </c>
      <c r="V490" s="164">
        <v>0</v>
      </c>
      <c r="W490" s="164">
        <v>0</v>
      </c>
      <c r="X490" s="164">
        <v>0</v>
      </c>
      <c r="Y490" s="78">
        <v>0</v>
      </c>
      <c r="Z490" s="164">
        <f t="shared" si="350"/>
        <v>0</v>
      </c>
      <c r="AA490" s="164">
        <v>0</v>
      </c>
      <c r="AB490" s="164">
        <v>0</v>
      </c>
      <c r="AC490" s="81">
        <v>0</v>
      </c>
      <c r="AD490" s="135"/>
    </row>
    <row r="491" spans="1:30" s="147" customFormat="1" ht="25.15" customHeight="1" outlineLevel="1" x14ac:dyDescent="0.2">
      <c r="A491" s="153" t="s">
        <v>1559</v>
      </c>
      <c r="B491" s="166" t="s">
        <v>283</v>
      </c>
      <c r="C491" s="78">
        <f t="shared" si="363"/>
        <v>0</v>
      </c>
      <c r="D491" s="164">
        <f t="shared" si="351"/>
        <v>0</v>
      </c>
      <c r="E491" s="117">
        <v>0</v>
      </c>
      <c r="F491" s="165">
        <f t="shared" si="352"/>
        <v>0</v>
      </c>
      <c r="G491" s="164">
        <v>0</v>
      </c>
      <c r="H491" s="164">
        <v>0</v>
      </c>
      <c r="I491" s="164">
        <v>0</v>
      </c>
      <c r="J491" s="117">
        <v>0</v>
      </c>
      <c r="K491" s="165">
        <f t="shared" si="362"/>
        <v>0</v>
      </c>
      <c r="L491" s="164">
        <v>0</v>
      </c>
      <c r="M491" s="164">
        <v>0</v>
      </c>
      <c r="N491" s="164">
        <v>0</v>
      </c>
      <c r="O491" s="78">
        <v>0</v>
      </c>
      <c r="P491" s="164">
        <f t="shared" si="325"/>
        <v>0</v>
      </c>
      <c r="Q491" s="164">
        <v>0</v>
      </c>
      <c r="R491" s="164">
        <v>0</v>
      </c>
      <c r="S491" s="81">
        <v>0</v>
      </c>
      <c r="T491" s="78">
        <v>0</v>
      </c>
      <c r="U491" s="164">
        <v>0</v>
      </c>
      <c r="V491" s="164">
        <v>0</v>
      </c>
      <c r="W491" s="164">
        <v>0</v>
      </c>
      <c r="X491" s="164">
        <v>0</v>
      </c>
      <c r="Y491" s="78">
        <v>0</v>
      </c>
      <c r="Z491" s="164">
        <f t="shared" si="350"/>
        <v>0</v>
      </c>
      <c r="AA491" s="164">
        <v>0</v>
      </c>
      <c r="AB491" s="164">
        <v>0</v>
      </c>
      <c r="AC491" s="81">
        <v>0</v>
      </c>
      <c r="AD491" s="135"/>
    </row>
    <row r="492" spans="1:30" s="147" customFormat="1" ht="21" customHeight="1" outlineLevel="1" x14ac:dyDescent="0.2">
      <c r="A492" s="153" t="s">
        <v>1560</v>
      </c>
      <c r="B492" s="166" t="s">
        <v>284</v>
      </c>
      <c r="C492" s="78">
        <f t="shared" si="363"/>
        <v>0</v>
      </c>
      <c r="D492" s="164">
        <f t="shared" si="351"/>
        <v>0</v>
      </c>
      <c r="E492" s="117">
        <v>0</v>
      </c>
      <c r="F492" s="165">
        <f t="shared" si="352"/>
        <v>0</v>
      </c>
      <c r="G492" s="164">
        <v>0</v>
      </c>
      <c r="H492" s="164">
        <v>0</v>
      </c>
      <c r="I492" s="164">
        <v>0</v>
      </c>
      <c r="J492" s="117">
        <v>0</v>
      </c>
      <c r="K492" s="165">
        <f t="shared" si="362"/>
        <v>0</v>
      </c>
      <c r="L492" s="164">
        <v>0</v>
      </c>
      <c r="M492" s="164">
        <v>0</v>
      </c>
      <c r="N492" s="164">
        <v>0</v>
      </c>
      <c r="O492" s="78">
        <v>0</v>
      </c>
      <c r="P492" s="164">
        <f t="shared" si="325"/>
        <v>0</v>
      </c>
      <c r="Q492" s="164">
        <v>0</v>
      </c>
      <c r="R492" s="164">
        <v>0</v>
      </c>
      <c r="S492" s="81">
        <v>0</v>
      </c>
      <c r="T492" s="78">
        <v>0</v>
      </c>
      <c r="U492" s="164">
        <v>0</v>
      </c>
      <c r="V492" s="164">
        <v>0</v>
      </c>
      <c r="W492" s="164">
        <v>0</v>
      </c>
      <c r="X492" s="164">
        <v>0</v>
      </c>
      <c r="Y492" s="78">
        <v>0</v>
      </c>
      <c r="Z492" s="164">
        <f t="shared" si="350"/>
        <v>0</v>
      </c>
      <c r="AA492" s="164">
        <v>0</v>
      </c>
      <c r="AB492" s="164">
        <v>0</v>
      </c>
      <c r="AC492" s="81">
        <v>0</v>
      </c>
      <c r="AD492" s="135"/>
    </row>
    <row r="493" spans="1:30" s="147" customFormat="1" ht="25.15" customHeight="1" outlineLevel="1" x14ac:dyDescent="0.2">
      <c r="A493" s="153" t="s">
        <v>1561</v>
      </c>
      <c r="B493" s="166" t="s">
        <v>287</v>
      </c>
      <c r="C493" s="78">
        <f t="shared" si="363"/>
        <v>0</v>
      </c>
      <c r="D493" s="164">
        <f t="shared" si="351"/>
        <v>0</v>
      </c>
      <c r="E493" s="117">
        <v>0</v>
      </c>
      <c r="F493" s="165">
        <f t="shared" si="352"/>
        <v>0</v>
      </c>
      <c r="G493" s="164">
        <v>0</v>
      </c>
      <c r="H493" s="164">
        <v>0</v>
      </c>
      <c r="I493" s="164">
        <v>0</v>
      </c>
      <c r="J493" s="117">
        <v>0</v>
      </c>
      <c r="K493" s="165">
        <f t="shared" si="362"/>
        <v>0</v>
      </c>
      <c r="L493" s="164">
        <v>0</v>
      </c>
      <c r="M493" s="164">
        <v>0</v>
      </c>
      <c r="N493" s="164">
        <v>0</v>
      </c>
      <c r="O493" s="78">
        <v>0</v>
      </c>
      <c r="P493" s="164">
        <f t="shared" si="325"/>
        <v>0</v>
      </c>
      <c r="Q493" s="164">
        <v>0</v>
      </c>
      <c r="R493" s="164">
        <v>0</v>
      </c>
      <c r="S493" s="81">
        <v>0</v>
      </c>
      <c r="T493" s="78">
        <v>0</v>
      </c>
      <c r="U493" s="164">
        <v>0</v>
      </c>
      <c r="V493" s="164">
        <v>0</v>
      </c>
      <c r="W493" s="164">
        <v>0</v>
      </c>
      <c r="X493" s="164">
        <v>0</v>
      </c>
      <c r="Y493" s="78">
        <v>0</v>
      </c>
      <c r="Z493" s="164">
        <f t="shared" si="350"/>
        <v>0</v>
      </c>
      <c r="AA493" s="164">
        <v>0</v>
      </c>
      <c r="AB493" s="164">
        <v>0</v>
      </c>
      <c r="AC493" s="81">
        <v>0</v>
      </c>
      <c r="AD493" s="135"/>
    </row>
    <row r="494" spans="1:30" s="147" customFormat="1" ht="25.15" customHeight="1" outlineLevel="1" x14ac:dyDescent="0.2">
      <c r="A494" s="153" t="s">
        <v>1562</v>
      </c>
      <c r="B494" s="166" t="s">
        <v>289</v>
      </c>
      <c r="C494" s="78">
        <f t="shared" si="363"/>
        <v>0</v>
      </c>
      <c r="D494" s="164">
        <f t="shared" si="351"/>
        <v>0</v>
      </c>
      <c r="E494" s="117">
        <v>0</v>
      </c>
      <c r="F494" s="165">
        <f t="shared" si="352"/>
        <v>0</v>
      </c>
      <c r="G494" s="164">
        <v>0</v>
      </c>
      <c r="H494" s="164">
        <v>0</v>
      </c>
      <c r="I494" s="164">
        <v>0</v>
      </c>
      <c r="J494" s="117">
        <v>0</v>
      </c>
      <c r="K494" s="165">
        <f t="shared" si="362"/>
        <v>0</v>
      </c>
      <c r="L494" s="164">
        <v>0</v>
      </c>
      <c r="M494" s="164">
        <v>0</v>
      </c>
      <c r="N494" s="164">
        <v>0</v>
      </c>
      <c r="O494" s="78">
        <v>0</v>
      </c>
      <c r="P494" s="164">
        <f t="shared" si="325"/>
        <v>0</v>
      </c>
      <c r="Q494" s="164">
        <v>0</v>
      </c>
      <c r="R494" s="164">
        <v>0</v>
      </c>
      <c r="S494" s="81">
        <v>0</v>
      </c>
      <c r="T494" s="78">
        <v>0</v>
      </c>
      <c r="U494" s="164">
        <v>0</v>
      </c>
      <c r="V494" s="164">
        <v>0</v>
      </c>
      <c r="W494" s="164">
        <v>0</v>
      </c>
      <c r="X494" s="164">
        <v>0</v>
      </c>
      <c r="Y494" s="78">
        <v>0</v>
      </c>
      <c r="Z494" s="164">
        <f t="shared" si="350"/>
        <v>0</v>
      </c>
      <c r="AA494" s="164">
        <v>0</v>
      </c>
      <c r="AB494" s="164">
        <v>0</v>
      </c>
      <c r="AC494" s="81">
        <v>0</v>
      </c>
      <c r="AD494" s="135"/>
    </row>
    <row r="495" spans="1:30" s="147" customFormat="1" ht="23.45" customHeight="1" outlineLevel="1" x14ac:dyDescent="0.2">
      <c r="A495" s="153" t="s">
        <v>1563</v>
      </c>
      <c r="B495" s="166" t="s">
        <v>290</v>
      </c>
      <c r="C495" s="78">
        <f t="shared" si="363"/>
        <v>0</v>
      </c>
      <c r="D495" s="164">
        <f t="shared" si="351"/>
        <v>0</v>
      </c>
      <c r="E495" s="117">
        <v>0</v>
      </c>
      <c r="F495" s="165">
        <f t="shared" si="352"/>
        <v>0</v>
      </c>
      <c r="G495" s="164">
        <v>0</v>
      </c>
      <c r="H495" s="164">
        <v>0</v>
      </c>
      <c r="I495" s="164">
        <v>0</v>
      </c>
      <c r="J495" s="117">
        <v>0</v>
      </c>
      <c r="K495" s="165">
        <f t="shared" si="362"/>
        <v>0</v>
      </c>
      <c r="L495" s="164">
        <v>0</v>
      </c>
      <c r="M495" s="164">
        <v>0</v>
      </c>
      <c r="N495" s="164">
        <v>0</v>
      </c>
      <c r="O495" s="78">
        <v>0</v>
      </c>
      <c r="P495" s="164">
        <f t="shared" si="325"/>
        <v>0</v>
      </c>
      <c r="Q495" s="164">
        <v>0</v>
      </c>
      <c r="R495" s="164">
        <v>0</v>
      </c>
      <c r="S495" s="81">
        <v>0</v>
      </c>
      <c r="T495" s="78">
        <v>0</v>
      </c>
      <c r="U495" s="164">
        <v>0</v>
      </c>
      <c r="V495" s="164">
        <v>0</v>
      </c>
      <c r="W495" s="164">
        <v>0</v>
      </c>
      <c r="X495" s="164">
        <v>0</v>
      </c>
      <c r="Y495" s="78">
        <v>0</v>
      </c>
      <c r="Z495" s="164">
        <f t="shared" si="350"/>
        <v>0</v>
      </c>
      <c r="AA495" s="164">
        <v>0</v>
      </c>
      <c r="AB495" s="164">
        <v>0</v>
      </c>
      <c r="AC495" s="81">
        <v>0</v>
      </c>
      <c r="AD495" s="135"/>
    </row>
    <row r="496" spans="1:30" s="147" customFormat="1" ht="22.9" customHeight="1" outlineLevel="1" x14ac:dyDescent="0.2">
      <c r="A496" s="153" t="s">
        <v>1564</v>
      </c>
      <c r="B496" s="166" t="s">
        <v>291</v>
      </c>
      <c r="C496" s="78">
        <f t="shared" si="363"/>
        <v>0</v>
      </c>
      <c r="D496" s="164">
        <f t="shared" si="351"/>
        <v>0</v>
      </c>
      <c r="E496" s="117">
        <v>0</v>
      </c>
      <c r="F496" s="165">
        <f t="shared" si="352"/>
        <v>0</v>
      </c>
      <c r="G496" s="164">
        <v>0</v>
      </c>
      <c r="H496" s="164">
        <v>0</v>
      </c>
      <c r="I496" s="164">
        <v>0</v>
      </c>
      <c r="J496" s="117">
        <v>0</v>
      </c>
      <c r="K496" s="165">
        <f t="shared" si="362"/>
        <v>0</v>
      </c>
      <c r="L496" s="164">
        <v>0</v>
      </c>
      <c r="M496" s="164">
        <v>0</v>
      </c>
      <c r="N496" s="164">
        <v>0</v>
      </c>
      <c r="O496" s="78">
        <v>0</v>
      </c>
      <c r="P496" s="164">
        <f t="shared" si="325"/>
        <v>0</v>
      </c>
      <c r="Q496" s="164">
        <v>0</v>
      </c>
      <c r="R496" s="164">
        <v>0</v>
      </c>
      <c r="S496" s="81">
        <v>0</v>
      </c>
      <c r="T496" s="78">
        <v>0</v>
      </c>
      <c r="U496" s="164">
        <v>0</v>
      </c>
      <c r="V496" s="164">
        <v>0</v>
      </c>
      <c r="W496" s="164">
        <v>0</v>
      </c>
      <c r="X496" s="164">
        <v>0</v>
      </c>
      <c r="Y496" s="78">
        <v>0</v>
      </c>
      <c r="Z496" s="164">
        <f t="shared" si="350"/>
        <v>0</v>
      </c>
      <c r="AA496" s="164">
        <v>0</v>
      </c>
      <c r="AB496" s="164">
        <v>0</v>
      </c>
      <c r="AC496" s="81">
        <v>0</v>
      </c>
      <c r="AD496" s="135"/>
    </row>
    <row r="497" spans="1:30" s="147" customFormat="1" ht="33" customHeight="1" outlineLevel="1" x14ac:dyDescent="0.2">
      <c r="A497" s="153" t="s">
        <v>1565</v>
      </c>
      <c r="B497" s="166" t="s">
        <v>1023</v>
      </c>
      <c r="C497" s="78">
        <f t="shared" si="363"/>
        <v>0</v>
      </c>
      <c r="D497" s="164">
        <f t="shared" si="351"/>
        <v>0</v>
      </c>
      <c r="E497" s="117">
        <v>0</v>
      </c>
      <c r="F497" s="165">
        <f t="shared" si="352"/>
        <v>0</v>
      </c>
      <c r="G497" s="164">
        <v>0</v>
      </c>
      <c r="H497" s="164">
        <v>0</v>
      </c>
      <c r="I497" s="164">
        <v>0</v>
      </c>
      <c r="J497" s="117">
        <v>0</v>
      </c>
      <c r="K497" s="165">
        <f t="shared" si="362"/>
        <v>0</v>
      </c>
      <c r="L497" s="164">
        <v>0</v>
      </c>
      <c r="M497" s="164">
        <v>0</v>
      </c>
      <c r="N497" s="164">
        <v>0</v>
      </c>
      <c r="O497" s="78">
        <v>0</v>
      </c>
      <c r="P497" s="164">
        <f t="shared" si="325"/>
        <v>0</v>
      </c>
      <c r="Q497" s="164">
        <v>0</v>
      </c>
      <c r="R497" s="164">
        <v>0</v>
      </c>
      <c r="S497" s="81">
        <v>0</v>
      </c>
      <c r="T497" s="78">
        <v>0</v>
      </c>
      <c r="U497" s="164">
        <v>0</v>
      </c>
      <c r="V497" s="164">
        <v>0</v>
      </c>
      <c r="W497" s="164">
        <v>0</v>
      </c>
      <c r="X497" s="164">
        <v>0</v>
      </c>
      <c r="Y497" s="78">
        <v>0</v>
      </c>
      <c r="Z497" s="164">
        <f t="shared" ref="Z497:Z521" si="364">AA497+AB497+AC497</f>
        <v>0</v>
      </c>
      <c r="AA497" s="164">
        <v>0</v>
      </c>
      <c r="AB497" s="164">
        <v>0</v>
      </c>
      <c r="AC497" s="81">
        <v>0</v>
      </c>
      <c r="AD497" s="135"/>
    </row>
    <row r="498" spans="1:30" s="147" customFormat="1" ht="33" customHeight="1" outlineLevel="1" x14ac:dyDescent="0.2">
      <c r="A498" s="153" t="s">
        <v>1566</v>
      </c>
      <c r="B498" s="166" t="s">
        <v>1024</v>
      </c>
      <c r="C498" s="78">
        <f t="shared" si="363"/>
        <v>0</v>
      </c>
      <c r="D498" s="164">
        <f t="shared" si="351"/>
        <v>0</v>
      </c>
      <c r="E498" s="117">
        <v>0</v>
      </c>
      <c r="F498" s="165">
        <f t="shared" si="352"/>
        <v>0</v>
      </c>
      <c r="G498" s="164">
        <v>0</v>
      </c>
      <c r="H498" s="164">
        <v>0</v>
      </c>
      <c r="I498" s="164">
        <v>0</v>
      </c>
      <c r="J498" s="117">
        <v>0</v>
      </c>
      <c r="K498" s="165">
        <f t="shared" si="362"/>
        <v>0</v>
      </c>
      <c r="L498" s="164">
        <v>0</v>
      </c>
      <c r="M498" s="164">
        <v>0</v>
      </c>
      <c r="N498" s="164">
        <v>0</v>
      </c>
      <c r="O498" s="78">
        <v>0</v>
      </c>
      <c r="P498" s="164">
        <f t="shared" si="325"/>
        <v>0</v>
      </c>
      <c r="Q498" s="164">
        <v>0</v>
      </c>
      <c r="R498" s="164">
        <v>0</v>
      </c>
      <c r="S498" s="81">
        <v>0</v>
      </c>
      <c r="T498" s="78">
        <v>0</v>
      </c>
      <c r="U498" s="164">
        <v>0</v>
      </c>
      <c r="V498" s="164">
        <v>0</v>
      </c>
      <c r="W498" s="164">
        <v>0</v>
      </c>
      <c r="X498" s="164">
        <v>0</v>
      </c>
      <c r="Y498" s="78">
        <v>0</v>
      </c>
      <c r="Z498" s="164">
        <f t="shared" si="364"/>
        <v>0</v>
      </c>
      <c r="AA498" s="164">
        <v>0</v>
      </c>
      <c r="AB498" s="164">
        <v>0</v>
      </c>
      <c r="AC498" s="81">
        <v>0</v>
      </c>
      <c r="AD498" s="135"/>
    </row>
    <row r="499" spans="1:30" s="147" customFormat="1" ht="31.9" customHeight="1" outlineLevel="1" x14ac:dyDescent="0.2">
      <c r="A499" s="153" t="s">
        <v>1567</v>
      </c>
      <c r="B499" s="166" t="s">
        <v>1025</v>
      </c>
      <c r="C499" s="78">
        <f t="shared" si="363"/>
        <v>0</v>
      </c>
      <c r="D499" s="164">
        <f t="shared" si="351"/>
        <v>0</v>
      </c>
      <c r="E499" s="117">
        <v>0</v>
      </c>
      <c r="F499" s="165">
        <f t="shared" si="352"/>
        <v>0</v>
      </c>
      <c r="G499" s="164">
        <v>0</v>
      </c>
      <c r="H499" s="164">
        <v>0</v>
      </c>
      <c r="I499" s="164">
        <v>0</v>
      </c>
      <c r="J499" s="117">
        <v>0</v>
      </c>
      <c r="K499" s="165">
        <f t="shared" si="362"/>
        <v>0</v>
      </c>
      <c r="L499" s="164">
        <v>0</v>
      </c>
      <c r="M499" s="164">
        <v>0</v>
      </c>
      <c r="N499" s="164">
        <v>0</v>
      </c>
      <c r="O499" s="78">
        <v>0</v>
      </c>
      <c r="P499" s="164">
        <f t="shared" ref="P499:P550" si="365">Q499+R499+S499</f>
        <v>0</v>
      </c>
      <c r="Q499" s="164">
        <v>0</v>
      </c>
      <c r="R499" s="164">
        <v>0</v>
      </c>
      <c r="S499" s="81">
        <v>0</v>
      </c>
      <c r="T499" s="78">
        <v>0</v>
      </c>
      <c r="U499" s="164">
        <v>0</v>
      </c>
      <c r="V499" s="164">
        <v>0</v>
      </c>
      <c r="W499" s="164">
        <v>0</v>
      </c>
      <c r="X499" s="164">
        <v>0</v>
      </c>
      <c r="Y499" s="78">
        <v>0</v>
      </c>
      <c r="Z499" s="164">
        <f t="shared" si="364"/>
        <v>0</v>
      </c>
      <c r="AA499" s="164">
        <v>0</v>
      </c>
      <c r="AB499" s="164">
        <v>0</v>
      </c>
      <c r="AC499" s="81">
        <v>0</v>
      </c>
      <c r="AD499" s="135"/>
    </row>
    <row r="500" spans="1:30" s="147" customFormat="1" ht="30" customHeight="1" outlineLevel="1" x14ac:dyDescent="0.2">
      <c r="A500" s="153" t="s">
        <v>1568</v>
      </c>
      <c r="B500" s="166" t="s">
        <v>1026</v>
      </c>
      <c r="C500" s="78">
        <f t="shared" si="363"/>
        <v>0</v>
      </c>
      <c r="D500" s="164">
        <f t="shared" si="351"/>
        <v>0</v>
      </c>
      <c r="E500" s="117">
        <v>0</v>
      </c>
      <c r="F500" s="165">
        <f t="shared" si="352"/>
        <v>0</v>
      </c>
      <c r="G500" s="164">
        <v>0</v>
      </c>
      <c r="H500" s="164">
        <v>0</v>
      </c>
      <c r="I500" s="164">
        <v>0</v>
      </c>
      <c r="J500" s="117">
        <v>0</v>
      </c>
      <c r="K500" s="165">
        <f t="shared" si="362"/>
        <v>0</v>
      </c>
      <c r="L500" s="164">
        <v>0</v>
      </c>
      <c r="M500" s="164">
        <v>0</v>
      </c>
      <c r="N500" s="164">
        <v>0</v>
      </c>
      <c r="O500" s="78">
        <v>0</v>
      </c>
      <c r="P500" s="164">
        <f t="shared" si="365"/>
        <v>0</v>
      </c>
      <c r="Q500" s="164">
        <v>0</v>
      </c>
      <c r="R500" s="164">
        <v>0</v>
      </c>
      <c r="S500" s="81">
        <v>0</v>
      </c>
      <c r="T500" s="78">
        <v>0</v>
      </c>
      <c r="U500" s="164">
        <v>0</v>
      </c>
      <c r="V500" s="164">
        <v>0</v>
      </c>
      <c r="W500" s="164">
        <v>0</v>
      </c>
      <c r="X500" s="164">
        <v>0</v>
      </c>
      <c r="Y500" s="78">
        <v>0</v>
      </c>
      <c r="Z500" s="164">
        <f t="shared" si="364"/>
        <v>0</v>
      </c>
      <c r="AA500" s="164">
        <v>0</v>
      </c>
      <c r="AB500" s="164">
        <v>0</v>
      </c>
      <c r="AC500" s="81">
        <v>0</v>
      </c>
      <c r="AD500" s="135"/>
    </row>
    <row r="501" spans="1:30" s="147" customFormat="1" ht="26.45" customHeight="1" outlineLevel="1" x14ac:dyDescent="0.2">
      <c r="A501" s="153" t="s">
        <v>1569</v>
      </c>
      <c r="B501" s="166" t="s">
        <v>292</v>
      </c>
      <c r="C501" s="78">
        <f t="shared" si="363"/>
        <v>0</v>
      </c>
      <c r="D501" s="164">
        <f t="shared" si="351"/>
        <v>0</v>
      </c>
      <c r="E501" s="117">
        <v>0</v>
      </c>
      <c r="F501" s="165">
        <f t="shared" si="352"/>
        <v>0</v>
      </c>
      <c r="G501" s="164">
        <v>0</v>
      </c>
      <c r="H501" s="164">
        <v>0</v>
      </c>
      <c r="I501" s="164">
        <v>0</v>
      </c>
      <c r="J501" s="117">
        <v>0</v>
      </c>
      <c r="K501" s="165">
        <f t="shared" si="362"/>
        <v>0</v>
      </c>
      <c r="L501" s="164">
        <v>0</v>
      </c>
      <c r="M501" s="164">
        <v>0</v>
      </c>
      <c r="N501" s="164">
        <v>0</v>
      </c>
      <c r="O501" s="78">
        <v>0</v>
      </c>
      <c r="P501" s="164">
        <f t="shared" si="365"/>
        <v>0</v>
      </c>
      <c r="Q501" s="164">
        <v>0</v>
      </c>
      <c r="R501" s="164">
        <v>0</v>
      </c>
      <c r="S501" s="81">
        <v>0</v>
      </c>
      <c r="T501" s="78">
        <v>0</v>
      </c>
      <c r="U501" s="164">
        <v>0</v>
      </c>
      <c r="V501" s="164">
        <v>0</v>
      </c>
      <c r="W501" s="164">
        <v>0</v>
      </c>
      <c r="X501" s="164">
        <v>0</v>
      </c>
      <c r="Y501" s="78">
        <v>0</v>
      </c>
      <c r="Z501" s="164">
        <f t="shared" si="364"/>
        <v>0</v>
      </c>
      <c r="AA501" s="164">
        <v>0</v>
      </c>
      <c r="AB501" s="164">
        <v>0</v>
      </c>
      <c r="AC501" s="81">
        <v>0</v>
      </c>
      <c r="AD501" s="135"/>
    </row>
    <row r="502" spans="1:30" s="147" customFormat="1" ht="27" customHeight="1" outlineLevel="1" x14ac:dyDescent="0.2">
      <c r="A502" s="153" t="s">
        <v>1570</v>
      </c>
      <c r="B502" s="166" t="s">
        <v>293</v>
      </c>
      <c r="C502" s="78">
        <f t="shared" si="363"/>
        <v>0</v>
      </c>
      <c r="D502" s="164">
        <f t="shared" si="351"/>
        <v>0</v>
      </c>
      <c r="E502" s="117">
        <v>0</v>
      </c>
      <c r="F502" s="165">
        <f t="shared" si="352"/>
        <v>0</v>
      </c>
      <c r="G502" s="164">
        <v>0</v>
      </c>
      <c r="H502" s="164">
        <v>0</v>
      </c>
      <c r="I502" s="164">
        <v>0</v>
      </c>
      <c r="J502" s="117">
        <v>0</v>
      </c>
      <c r="K502" s="165">
        <f t="shared" si="362"/>
        <v>0</v>
      </c>
      <c r="L502" s="164">
        <v>0</v>
      </c>
      <c r="M502" s="164">
        <v>0</v>
      </c>
      <c r="N502" s="164">
        <v>0</v>
      </c>
      <c r="O502" s="78">
        <v>0</v>
      </c>
      <c r="P502" s="164">
        <f t="shared" si="365"/>
        <v>0</v>
      </c>
      <c r="Q502" s="164">
        <v>0</v>
      </c>
      <c r="R502" s="164">
        <v>0</v>
      </c>
      <c r="S502" s="81">
        <v>0</v>
      </c>
      <c r="T502" s="78">
        <v>0</v>
      </c>
      <c r="U502" s="164">
        <v>0</v>
      </c>
      <c r="V502" s="164">
        <v>0</v>
      </c>
      <c r="W502" s="164">
        <v>0</v>
      </c>
      <c r="X502" s="164">
        <v>0</v>
      </c>
      <c r="Y502" s="78">
        <v>0</v>
      </c>
      <c r="Z502" s="164">
        <f t="shared" si="364"/>
        <v>0</v>
      </c>
      <c r="AA502" s="164">
        <v>0</v>
      </c>
      <c r="AB502" s="164">
        <v>0</v>
      </c>
      <c r="AC502" s="81">
        <v>0</v>
      </c>
      <c r="AD502" s="135"/>
    </row>
    <row r="503" spans="1:30" s="147" customFormat="1" ht="35.450000000000003" customHeight="1" outlineLevel="1" x14ac:dyDescent="0.2">
      <c r="A503" s="153" t="s">
        <v>1571</v>
      </c>
      <c r="B503" s="166" t="s">
        <v>294</v>
      </c>
      <c r="C503" s="78">
        <f t="shared" si="363"/>
        <v>0</v>
      </c>
      <c r="D503" s="164">
        <f t="shared" si="351"/>
        <v>0</v>
      </c>
      <c r="E503" s="117">
        <v>0</v>
      </c>
      <c r="F503" s="165">
        <f t="shared" si="352"/>
        <v>0</v>
      </c>
      <c r="G503" s="164">
        <v>0</v>
      </c>
      <c r="H503" s="164">
        <v>0</v>
      </c>
      <c r="I503" s="164">
        <v>0</v>
      </c>
      <c r="J503" s="117">
        <v>0</v>
      </c>
      <c r="K503" s="165">
        <f t="shared" si="362"/>
        <v>0</v>
      </c>
      <c r="L503" s="164">
        <v>0</v>
      </c>
      <c r="M503" s="164">
        <v>0</v>
      </c>
      <c r="N503" s="164">
        <v>0</v>
      </c>
      <c r="O503" s="78">
        <v>0</v>
      </c>
      <c r="P503" s="164">
        <f t="shared" si="365"/>
        <v>0</v>
      </c>
      <c r="Q503" s="164">
        <v>0</v>
      </c>
      <c r="R503" s="164">
        <v>0</v>
      </c>
      <c r="S503" s="81">
        <v>0</v>
      </c>
      <c r="T503" s="78">
        <v>0</v>
      </c>
      <c r="U503" s="164">
        <v>0</v>
      </c>
      <c r="V503" s="164">
        <v>0</v>
      </c>
      <c r="W503" s="164">
        <v>0</v>
      </c>
      <c r="X503" s="164">
        <v>0</v>
      </c>
      <c r="Y503" s="78">
        <v>0</v>
      </c>
      <c r="Z503" s="164">
        <f t="shared" si="364"/>
        <v>0</v>
      </c>
      <c r="AA503" s="164">
        <v>0</v>
      </c>
      <c r="AB503" s="164">
        <v>0</v>
      </c>
      <c r="AC503" s="81">
        <v>0</v>
      </c>
      <c r="AD503" s="135"/>
    </row>
    <row r="504" spans="1:30" s="147" customFormat="1" ht="23.45" customHeight="1" outlineLevel="1" x14ac:dyDescent="0.2">
      <c r="A504" s="153" t="s">
        <v>1572</v>
      </c>
      <c r="B504" s="166" t="s">
        <v>295</v>
      </c>
      <c r="C504" s="78">
        <f t="shared" si="363"/>
        <v>0</v>
      </c>
      <c r="D504" s="164">
        <f t="shared" si="351"/>
        <v>0</v>
      </c>
      <c r="E504" s="117">
        <v>0</v>
      </c>
      <c r="F504" s="165">
        <f t="shared" si="352"/>
        <v>0</v>
      </c>
      <c r="G504" s="164">
        <v>0</v>
      </c>
      <c r="H504" s="164">
        <v>0</v>
      </c>
      <c r="I504" s="164">
        <v>0</v>
      </c>
      <c r="J504" s="117">
        <v>0</v>
      </c>
      <c r="K504" s="165">
        <f t="shared" si="362"/>
        <v>0</v>
      </c>
      <c r="L504" s="164">
        <v>0</v>
      </c>
      <c r="M504" s="164">
        <v>0</v>
      </c>
      <c r="N504" s="164">
        <v>0</v>
      </c>
      <c r="O504" s="78">
        <v>0</v>
      </c>
      <c r="P504" s="164">
        <f t="shared" si="365"/>
        <v>0</v>
      </c>
      <c r="Q504" s="164">
        <v>0</v>
      </c>
      <c r="R504" s="164">
        <v>0</v>
      </c>
      <c r="S504" s="81">
        <v>0</v>
      </c>
      <c r="T504" s="78">
        <v>0</v>
      </c>
      <c r="U504" s="164">
        <v>0</v>
      </c>
      <c r="V504" s="164">
        <v>0</v>
      </c>
      <c r="W504" s="164">
        <v>0</v>
      </c>
      <c r="X504" s="164">
        <v>0</v>
      </c>
      <c r="Y504" s="78">
        <v>0</v>
      </c>
      <c r="Z504" s="164">
        <f t="shared" si="364"/>
        <v>0</v>
      </c>
      <c r="AA504" s="164">
        <v>0</v>
      </c>
      <c r="AB504" s="164">
        <v>0</v>
      </c>
      <c r="AC504" s="81">
        <v>0</v>
      </c>
      <c r="AD504" s="135"/>
    </row>
    <row r="505" spans="1:30" s="147" customFormat="1" ht="29.45" customHeight="1" outlineLevel="1" x14ac:dyDescent="0.2">
      <c r="A505" s="153" t="s">
        <v>1573</v>
      </c>
      <c r="B505" s="166" t="s">
        <v>296</v>
      </c>
      <c r="C505" s="78">
        <f t="shared" si="363"/>
        <v>0</v>
      </c>
      <c r="D505" s="164">
        <f t="shared" si="351"/>
        <v>0</v>
      </c>
      <c r="E505" s="117">
        <v>0</v>
      </c>
      <c r="F505" s="165">
        <f t="shared" si="352"/>
        <v>0</v>
      </c>
      <c r="G505" s="164">
        <v>0</v>
      </c>
      <c r="H505" s="164">
        <v>0</v>
      </c>
      <c r="I505" s="164">
        <v>0</v>
      </c>
      <c r="J505" s="117">
        <v>0</v>
      </c>
      <c r="K505" s="165">
        <f t="shared" si="362"/>
        <v>0</v>
      </c>
      <c r="L505" s="164">
        <v>0</v>
      </c>
      <c r="M505" s="164">
        <v>0</v>
      </c>
      <c r="N505" s="164">
        <v>0</v>
      </c>
      <c r="O505" s="78">
        <v>0</v>
      </c>
      <c r="P505" s="164">
        <f t="shared" si="365"/>
        <v>0</v>
      </c>
      <c r="Q505" s="164">
        <v>0</v>
      </c>
      <c r="R505" s="164">
        <v>0</v>
      </c>
      <c r="S505" s="81">
        <v>0</v>
      </c>
      <c r="T505" s="78">
        <v>0</v>
      </c>
      <c r="U505" s="164">
        <v>0</v>
      </c>
      <c r="V505" s="164">
        <v>0</v>
      </c>
      <c r="W505" s="164">
        <v>0</v>
      </c>
      <c r="X505" s="164">
        <v>0</v>
      </c>
      <c r="Y505" s="78">
        <v>0</v>
      </c>
      <c r="Z505" s="164">
        <f t="shared" si="364"/>
        <v>0</v>
      </c>
      <c r="AA505" s="164">
        <v>0</v>
      </c>
      <c r="AB505" s="164">
        <v>0</v>
      </c>
      <c r="AC505" s="81">
        <v>0</v>
      </c>
      <c r="AD505" s="135"/>
    </row>
    <row r="506" spans="1:30" s="147" customFormat="1" ht="27" customHeight="1" outlineLevel="1" x14ac:dyDescent="0.2">
      <c r="A506" s="153" t="s">
        <v>1574</v>
      </c>
      <c r="B506" s="166" t="s">
        <v>297</v>
      </c>
      <c r="C506" s="78">
        <f t="shared" si="363"/>
        <v>0</v>
      </c>
      <c r="D506" s="164">
        <f t="shared" si="351"/>
        <v>0</v>
      </c>
      <c r="E506" s="117">
        <v>0</v>
      </c>
      <c r="F506" s="165">
        <f t="shared" si="352"/>
        <v>0</v>
      </c>
      <c r="G506" s="164">
        <v>0</v>
      </c>
      <c r="H506" s="164">
        <v>0</v>
      </c>
      <c r="I506" s="164">
        <v>0</v>
      </c>
      <c r="J506" s="117">
        <v>0</v>
      </c>
      <c r="K506" s="165">
        <f t="shared" si="362"/>
        <v>0</v>
      </c>
      <c r="L506" s="164">
        <v>0</v>
      </c>
      <c r="M506" s="164">
        <v>0</v>
      </c>
      <c r="N506" s="164">
        <v>0</v>
      </c>
      <c r="O506" s="78">
        <v>0</v>
      </c>
      <c r="P506" s="164">
        <f t="shared" si="365"/>
        <v>0</v>
      </c>
      <c r="Q506" s="164">
        <v>0</v>
      </c>
      <c r="R506" s="164">
        <v>0</v>
      </c>
      <c r="S506" s="81">
        <v>0</v>
      </c>
      <c r="T506" s="78">
        <v>0</v>
      </c>
      <c r="U506" s="164">
        <v>0</v>
      </c>
      <c r="V506" s="164">
        <v>0</v>
      </c>
      <c r="W506" s="164">
        <v>0</v>
      </c>
      <c r="X506" s="164">
        <v>0</v>
      </c>
      <c r="Y506" s="78">
        <v>0</v>
      </c>
      <c r="Z506" s="164">
        <f t="shared" si="364"/>
        <v>0</v>
      </c>
      <c r="AA506" s="164">
        <v>0</v>
      </c>
      <c r="AB506" s="164">
        <v>0</v>
      </c>
      <c r="AC506" s="81">
        <v>0</v>
      </c>
      <c r="AD506" s="135"/>
    </row>
    <row r="507" spans="1:30" s="147" customFormat="1" ht="28.15" customHeight="1" outlineLevel="1" x14ac:dyDescent="0.2">
      <c r="A507" s="153" t="s">
        <v>1575</v>
      </c>
      <c r="B507" s="166" t="s">
        <v>298</v>
      </c>
      <c r="C507" s="78">
        <f t="shared" si="363"/>
        <v>0</v>
      </c>
      <c r="D507" s="164">
        <f t="shared" si="351"/>
        <v>0</v>
      </c>
      <c r="E507" s="117">
        <v>0</v>
      </c>
      <c r="F507" s="165">
        <f t="shared" si="352"/>
        <v>0</v>
      </c>
      <c r="G507" s="164">
        <v>0</v>
      </c>
      <c r="H507" s="164">
        <v>0</v>
      </c>
      <c r="I507" s="164">
        <v>0</v>
      </c>
      <c r="J507" s="117">
        <v>0</v>
      </c>
      <c r="K507" s="165">
        <f t="shared" si="362"/>
        <v>0</v>
      </c>
      <c r="L507" s="164">
        <v>0</v>
      </c>
      <c r="M507" s="164">
        <v>0</v>
      </c>
      <c r="N507" s="164">
        <v>0</v>
      </c>
      <c r="O507" s="78">
        <v>0</v>
      </c>
      <c r="P507" s="164">
        <f t="shared" si="365"/>
        <v>0</v>
      </c>
      <c r="Q507" s="164">
        <v>0</v>
      </c>
      <c r="R507" s="164">
        <v>0</v>
      </c>
      <c r="S507" s="81">
        <v>0</v>
      </c>
      <c r="T507" s="78">
        <v>0</v>
      </c>
      <c r="U507" s="164">
        <v>0</v>
      </c>
      <c r="V507" s="164">
        <v>0</v>
      </c>
      <c r="W507" s="164">
        <v>0</v>
      </c>
      <c r="X507" s="164">
        <v>0</v>
      </c>
      <c r="Y507" s="78">
        <v>0</v>
      </c>
      <c r="Z507" s="164">
        <f t="shared" si="364"/>
        <v>0</v>
      </c>
      <c r="AA507" s="164">
        <v>0</v>
      </c>
      <c r="AB507" s="164">
        <v>0</v>
      </c>
      <c r="AC507" s="81">
        <v>0</v>
      </c>
      <c r="AD507" s="135"/>
    </row>
    <row r="508" spans="1:30" s="147" customFormat="1" ht="25.15" customHeight="1" outlineLevel="1" x14ac:dyDescent="0.2">
      <c r="A508" s="153" t="s">
        <v>1576</v>
      </c>
      <c r="B508" s="166" t="s">
        <v>299</v>
      </c>
      <c r="C508" s="78">
        <f t="shared" si="363"/>
        <v>0</v>
      </c>
      <c r="D508" s="164">
        <f t="shared" si="351"/>
        <v>0</v>
      </c>
      <c r="E508" s="117">
        <v>0</v>
      </c>
      <c r="F508" s="165">
        <f t="shared" si="352"/>
        <v>0</v>
      </c>
      <c r="G508" s="164">
        <v>0</v>
      </c>
      <c r="H508" s="164">
        <v>0</v>
      </c>
      <c r="I508" s="164">
        <v>0</v>
      </c>
      <c r="J508" s="117">
        <v>0</v>
      </c>
      <c r="K508" s="165">
        <f t="shared" si="362"/>
        <v>0</v>
      </c>
      <c r="L508" s="164">
        <v>0</v>
      </c>
      <c r="M508" s="164">
        <v>0</v>
      </c>
      <c r="N508" s="164">
        <v>0</v>
      </c>
      <c r="O508" s="78">
        <v>0</v>
      </c>
      <c r="P508" s="164">
        <f t="shared" si="365"/>
        <v>0</v>
      </c>
      <c r="Q508" s="164">
        <v>0</v>
      </c>
      <c r="R508" s="164">
        <v>0</v>
      </c>
      <c r="S508" s="81">
        <v>0</v>
      </c>
      <c r="T508" s="78">
        <v>0</v>
      </c>
      <c r="U508" s="164">
        <v>0</v>
      </c>
      <c r="V508" s="164">
        <v>0</v>
      </c>
      <c r="W508" s="164">
        <v>0</v>
      </c>
      <c r="X508" s="164">
        <v>0</v>
      </c>
      <c r="Y508" s="78">
        <v>0</v>
      </c>
      <c r="Z508" s="164">
        <f t="shared" si="364"/>
        <v>0</v>
      </c>
      <c r="AA508" s="164">
        <v>0</v>
      </c>
      <c r="AB508" s="164">
        <v>0</v>
      </c>
      <c r="AC508" s="81">
        <v>0</v>
      </c>
      <c r="AD508" s="135"/>
    </row>
    <row r="509" spans="1:30" s="147" customFormat="1" ht="28.9" customHeight="1" outlineLevel="1" x14ac:dyDescent="0.2">
      <c r="A509" s="153" t="s">
        <v>1577</v>
      </c>
      <c r="B509" s="166" t="s">
        <v>300</v>
      </c>
      <c r="C509" s="78">
        <f t="shared" si="363"/>
        <v>0</v>
      </c>
      <c r="D509" s="164">
        <f t="shared" si="351"/>
        <v>0</v>
      </c>
      <c r="E509" s="117">
        <v>0</v>
      </c>
      <c r="F509" s="165">
        <f t="shared" si="352"/>
        <v>0</v>
      </c>
      <c r="G509" s="164">
        <v>0</v>
      </c>
      <c r="H509" s="164">
        <v>0</v>
      </c>
      <c r="I509" s="164">
        <v>0</v>
      </c>
      <c r="J509" s="117">
        <v>0</v>
      </c>
      <c r="K509" s="165">
        <f t="shared" si="362"/>
        <v>0</v>
      </c>
      <c r="L509" s="164">
        <v>0</v>
      </c>
      <c r="M509" s="164">
        <v>0</v>
      </c>
      <c r="N509" s="164">
        <v>0</v>
      </c>
      <c r="O509" s="78">
        <v>0</v>
      </c>
      <c r="P509" s="164">
        <f t="shared" si="365"/>
        <v>0</v>
      </c>
      <c r="Q509" s="164">
        <v>0</v>
      </c>
      <c r="R509" s="164">
        <v>0</v>
      </c>
      <c r="S509" s="81">
        <v>0</v>
      </c>
      <c r="T509" s="78">
        <v>0</v>
      </c>
      <c r="U509" s="164">
        <v>0</v>
      </c>
      <c r="V509" s="164">
        <v>0</v>
      </c>
      <c r="W509" s="164">
        <v>0</v>
      </c>
      <c r="X509" s="164">
        <v>0</v>
      </c>
      <c r="Y509" s="78">
        <v>0</v>
      </c>
      <c r="Z509" s="164">
        <f t="shared" si="364"/>
        <v>0</v>
      </c>
      <c r="AA509" s="164">
        <v>0</v>
      </c>
      <c r="AB509" s="164">
        <v>0</v>
      </c>
      <c r="AC509" s="81">
        <v>0</v>
      </c>
      <c r="AD509" s="135"/>
    </row>
    <row r="510" spans="1:30" s="147" customFormat="1" ht="26.45" customHeight="1" outlineLevel="1" x14ac:dyDescent="0.2">
      <c r="A510" s="153" t="s">
        <v>1578</v>
      </c>
      <c r="B510" s="166" t="s">
        <v>301</v>
      </c>
      <c r="C510" s="78">
        <f t="shared" si="363"/>
        <v>0</v>
      </c>
      <c r="D510" s="164">
        <f t="shared" si="351"/>
        <v>0</v>
      </c>
      <c r="E510" s="117">
        <v>0</v>
      </c>
      <c r="F510" s="165">
        <f t="shared" si="352"/>
        <v>0</v>
      </c>
      <c r="G510" s="164">
        <v>0</v>
      </c>
      <c r="H510" s="164">
        <v>0</v>
      </c>
      <c r="I510" s="164">
        <v>0</v>
      </c>
      <c r="J510" s="117">
        <v>0</v>
      </c>
      <c r="K510" s="165">
        <f t="shared" si="362"/>
        <v>0</v>
      </c>
      <c r="L510" s="164">
        <v>0</v>
      </c>
      <c r="M510" s="164">
        <v>0</v>
      </c>
      <c r="N510" s="164">
        <v>0</v>
      </c>
      <c r="O510" s="78">
        <v>0</v>
      </c>
      <c r="P510" s="164">
        <f t="shared" si="365"/>
        <v>0</v>
      </c>
      <c r="Q510" s="164">
        <v>0</v>
      </c>
      <c r="R510" s="164">
        <v>0</v>
      </c>
      <c r="S510" s="81">
        <v>0</v>
      </c>
      <c r="T510" s="78">
        <v>0</v>
      </c>
      <c r="U510" s="164">
        <v>0</v>
      </c>
      <c r="V510" s="164">
        <v>0</v>
      </c>
      <c r="W510" s="164">
        <v>0</v>
      </c>
      <c r="X510" s="164">
        <v>0</v>
      </c>
      <c r="Y510" s="78">
        <v>0</v>
      </c>
      <c r="Z510" s="164">
        <f t="shared" si="364"/>
        <v>0</v>
      </c>
      <c r="AA510" s="164">
        <v>0</v>
      </c>
      <c r="AB510" s="164">
        <v>0</v>
      </c>
      <c r="AC510" s="81">
        <v>0</v>
      </c>
      <c r="AD510" s="135"/>
    </row>
    <row r="511" spans="1:30" s="147" customFormat="1" ht="25.9" customHeight="1" outlineLevel="1" x14ac:dyDescent="0.2">
      <c r="A511" s="153" t="s">
        <v>1579</v>
      </c>
      <c r="B511" s="166" t="s">
        <v>309</v>
      </c>
      <c r="C511" s="78">
        <f t="shared" si="363"/>
        <v>0</v>
      </c>
      <c r="D511" s="164">
        <f t="shared" si="351"/>
        <v>0</v>
      </c>
      <c r="E511" s="117">
        <v>0</v>
      </c>
      <c r="F511" s="165">
        <f t="shared" si="352"/>
        <v>0</v>
      </c>
      <c r="G511" s="164">
        <v>0</v>
      </c>
      <c r="H511" s="164">
        <v>0</v>
      </c>
      <c r="I511" s="164">
        <v>0</v>
      </c>
      <c r="J511" s="117">
        <v>0</v>
      </c>
      <c r="K511" s="165">
        <f t="shared" si="362"/>
        <v>0</v>
      </c>
      <c r="L511" s="164">
        <v>0</v>
      </c>
      <c r="M511" s="164">
        <v>0</v>
      </c>
      <c r="N511" s="164">
        <v>0</v>
      </c>
      <c r="O511" s="78">
        <v>0</v>
      </c>
      <c r="P511" s="164">
        <f t="shared" si="365"/>
        <v>0</v>
      </c>
      <c r="Q511" s="164">
        <v>0</v>
      </c>
      <c r="R511" s="164">
        <v>0</v>
      </c>
      <c r="S511" s="81">
        <v>0</v>
      </c>
      <c r="T511" s="78">
        <v>0</v>
      </c>
      <c r="U511" s="164">
        <v>0</v>
      </c>
      <c r="V511" s="164">
        <v>0</v>
      </c>
      <c r="W511" s="164">
        <v>0</v>
      </c>
      <c r="X511" s="164">
        <v>0</v>
      </c>
      <c r="Y511" s="78">
        <v>0</v>
      </c>
      <c r="Z511" s="164">
        <f t="shared" si="364"/>
        <v>0</v>
      </c>
      <c r="AA511" s="164">
        <v>0</v>
      </c>
      <c r="AB511" s="164">
        <v>0</v>
      </c>
      <c r="AC511" s="81">
        <v>0</v>
      </c>
      <c r="AD511" s="135"/>
    </row>
    <row r="512" spans="1:30" s="147" customFormat="1" ht="28.9" customHeight="1" outlineLevel="1" x14ac:dyDescent="0.2">
      <c r="A512" s="153" t="s">
        <v>1580</v>
      </c>
      <c r="B512" s="166" t="s">
        <v>310</v>
      </c>
      <c r="C512" s="78">
        <f t="shared" si="363"/>
        <v>0</v>
      </c>
      <c r="D512" s="164">
        <f t="shared" si="351"/>
        <v>0</v>
      </c>
      <c r="E512" s="117">
        <v>0</v>
      </c>
      <c r="F512" s="165">
        <f t="shared" si="352"/>
        <v>0</v>
      </c>
      <c r="G512" s="164">
        <v>0</v>
      </c>
      <c r="H512" s="164">
        <v>0</v>
      </c>
      <c r="I512" s="164">
        <v>0</v>
      </c>
      <c r="J512" s="117">
        <v>0</v>
      </c>
      <c r="K512" s="165">
        <f t="shared" si="362"/>
        <v>0</v>
      </c>
      <c r="L512" s="164">
        <v>0</v>
      </c>
      <c r="M512" s="164">
        <v>0</v>
      </c>
      <c r="N512" s="164">
        <v>0</v>
      </c>
      <c r="O512" s="78">
        <v>0</v>
      </c>
      <c r="P512" s="164">
        <f t="shared" si="365"/>
        <v>0</v>
      </c>
      <c r="Q512" s="164">
        <v>0</v>
      </c>
      <c r="R512" s="164">
        <v>0</v>
      </c>
      <c r="S512" s="81">
        <v>0</v>
      </c>
      <c r="T512" s="78">
        <v>0</v>
      </c>
      <c r="U512" s="164">
        <v>0</v>
      </c>
      <c r="V512" s="164">
        <v>0</v>
      </c>
      <c r="W512" s="164">
        <v>0</v>
      </c>
      <c r="X512" s="164">
        <v>0</v>
      </c>
      <c r="Y512" s="78">
        <v>0</v>
      </c>
      <c r="Z512" s="164">
        <f t="shared" si="364"/>
        <v>0</v>
      </c>
      <c r="AA512" s="164">
        <v>0</v>
      </c>
      <c r="AB512" s="164">
        <v>0</v>
      </c>
      <c r="AC512" s="81">
        <v>0</v>
      </c>
      <c r="AD512" s="135"/>
    </row>
    <row r="513" spans="1:30" s="147" customFormat="1" ht="26.45" customHeight="1" outlineLevel="1" x14ac:dyDescent="0.2">
      <c r="A513" s="153" t="s">
        <v>1581</v>
      </c>
      <c r="B513" s="166" t="s">
        <v>311</v>
      </c>
      <c r="C513" s="78">
        <f t="shared" si="363"/>
        <v>0</v>
      </c>
      <c r="D513" s="164">
        <f t="shared" si="351"/>
        <v>0</v>
      </c>
      <c r="E513" s="117">
        <v>0</v>
      </c>
      <c r="F513" s="165">
        <f t="shared" si="352"/>
        <v>0</v>
      </c>
      <c r="G513" s="164">
        <v>0</v>
      </c>
      <c r="H513" s="164">
        <v>0</v>
      </c>
      <c r="I513" s="164">
        <v>0</v>
      </c>
      <c r="J513" s="117">
        <v>0</v>
      </c>
      <c r="K513" s="165">
        <f t="shared" si="362"/>
        <v>0</v>
      </c>
      <c r="L513" s="164">
        <v>0</v>
      </c>
      <c r="M513" s="164">
        <v>0</v>
      </c>
      <c r="N513" s="164">
        <v>0</v>
      </c>
      <c r="O513" s="78">
        <v>0</v>
      </c>
      <c r="P513" s="164">
        <f t="shared" si="365"/>
        <v>0</v>
      </c>
      <c r="Q513" s="164">
        <v>0</v>
      </c>
      <c r="R513" s="164">
        <v>0</v>
      </c>
      <c r="S513" s="81">
        <v>0</v>
      </c>
      <c r="T513" s="78">
        <v>0</v>
      </c>
      <c r="U513" s="164">
        <v>0</v>
      </c>
      <c r="V513" s="164">
        <v>0</v>
      </c>
      <c r="W513" s="164">
        <v>0</v>
      </c>
      <c r="X513" s="164">
        <v>0</v>
      </c>
      <c r="Y513" s="78">
        <v>0</v>
      </c>
      <c r="Z513" s="164">
        <f t="shared" si="364"/>
        <v>0</v>
      </c>
      <c r="AA513" s="164">
        <v>0</v>
      </c>
      <c r="AB513" s="164">
        <v>0</v>
      </c>
      <c r="AC513" s="81">
        <v>0</v>
      </c>
      <c r="AD513" s="135"/>
    </row>
    <row r="514" spans="1:30" s="147" customFormat="1" ht="33" customHeight="1" outlineLevel="1" x14ac:dyDescent="0.2">
      <c r="A514" s="153" t="s">
        <v>1582</v>
      </c>
      <c r="B514" s="166" t="s">
        <v>312</v>
      </c>
      <c r="C514" s="78">
        <f t="shared" si="363"/>
        <v>0</v>
      </c>
      <c r="D514" s="164">
        <f t="shared" si="351"/>
        <v>0</v>
      </c>
      <c r="E514" s="117">
        <v>0</v>
      </c>
      <c r="F514" s="165">
        <f t="shared" si="352"/>
        <v>0</v>
      </c>
      <c r="G514" s="164">
        <v>0</v>
      </c>
      <c r="H514" s="164">
        <v>0</v>
      </c>
      <c r="I514" s="164">
        <v>0</v>
      </c>
      <c r="J514" s="117">
        <v>0</v>
      </c>
      <c r="K514" s="165">
        <f t="shared" si="362"/>
        <v>0</v>
      </c>
      <c r="L514" s="164">
        <v>0</v>
      </c>
      <c r="M514" s="164">
        <v>0</v>
      </c>
      <c r="N514" s="164">
        <v>0</v>
      </c>
      <c r="O514" s="78">
        <v>0</v>
      </c>
      <c r="P514" s="164">
        <f t="shared" si="365"/>
        <v>0</v>
      </c>
      <c r="Q514" s="164">
        <v>0</v>
      </c>
      <c r="R514" s="164">
        <v>0</v>
      </c>
      <c r="S514" s="81">
        <v>0</v>
      </c>
      <c r="T514" s="78">
        <v>0</v>
      </c>
      <c r="U514" s="164">
        <v>0</v>
      </c>
      <c r="V514" s="164">
        <v>0</v>
      </c>
      <c r="W514" s="164">
        <v>0</v>
      </c>
      <c r="X514" s="164">
        <v>0</v>
      </c>
      <c r="Y514" s="78">
        <v>0</v>
      </c>
      <c r="Z514" s="164">
        <f t="shared" si="364"/>
        <v>0</v>
      </c>
      <c r="AA514" s="164">
        <v>0</v>
      </c>
      <c r="AB514" s="164">
        <v>0</v>
      </c>
      <c r="AC514" s="81">
        <v>0</v>
      </c>
      <c r="AD514" s="135"/>
    </row>
    <row r="515" spans="1:30" s="147" customFormat="1" ht="32.450000000000003" customHeight="1" outlineLevel="1" x14ac:dyDescent="0.2">
      <c r="A515" s="153" t="s">
        <v>1583</v>
      </c>
      <c r="B515" s="166" t="s">
        <v>313</v>
      </c>
      <c r="C515" s="78">
        <f t="shared" si="363"/>
        <v>0</v>
      </c>
      <c r="D515" s="164">
        <f t="shared" si="351"/>
        <v>0</v>
      </c>
      <c r="E515" s="117">
        <v>0</v>
      </c>
      <c r="F515" s="165">
        <f t="shared" si="352"/>
        <v>0</v>
      </c>
      <c r="G515" s="164">
        <v>0</v>
      </c>
      <c r="H515" s="164">
        <v>0</v>
      </c>
      <c r="I515" s="164">
        <v>0</v>
      </c>
      <c r="J515" s="117">
        <v>0</v>
      </c>
      <c r="K515" s="165">
        <f t="shared" si="362"/>
        <v>0</v>
      </c>
      <c r="L515" s="164">
        <v>0</v>
      </c>
      <c r="M515" s="164">
        <v>0</v>
      </c>
      <c r="N515" s="164">
        <v>0</v>
      </c>
      <c r="O515" s="78">
        <v>0</v>
      </c>
      <c r="P515" s="164">
        <f t="shared" si="365"/>
        <v>0</v>
      </c>
      <c r="Q515" s="164">
        <v>0</v>
      </c>
      <c r="R515" s="164">
        <v>0</v>
      </c>
      <c r="S515" s="81">
        <v>0</v>
      </c>
      <c r="T515" s="78">
        <v>0</v>
      </c>
      <c r="U515" s="164">
        <v>0</v>
      </c>
      <c r="V515" s="164">
        <v>0</v>
      </c>
      <c r="W515" s="164">
        <v>0</v>
      </c>
      <c r="X515" s="164">
        <v>0</v>
      </c>
      <c r="Y515" s="78">
        <v>0</v>
      </c>
      <c r="Z515" s="164">
        <f t="shared" si="364"/>
        <v>0</v>
      </c>
      <c r="AA515" s="164">
        <v>0</v>
      </c>
      <c r="AB515" s="164">
        <v>0</v>
      </c>
      <c r="AC515" s="81">
        <v>0</v>
      </c>
      <c r="AD515" s="135"/>
    </row>
    <row r="516" spans="1:30" s="147" customFormat="1" ht="30.6" customHeight="1" outlineLevel="1" x14ac:dyDescent="0.2">
      <c r="A516" s="153" t="s">
        <v>1584</v>
      </c>
      <c r="B516" s="166" t="s">
        <v>314</v>
      </c>
      <c r="C516" s="78">
        <f t="shared" si="363"/>
        <v>0</v>
      </c>
      <c r="D516" s="164">
        <f t="shared" si="351"/>
        <v>0</v>
      </c>
      <c r="E516" s="117">
        <v>0</v>
      </c>
      <c r="F516" s="165">
        <f t="shared" si="352"/>
        <v>0</v>
      </c>
      <c r="G516" s="164">
        <v>0</v>
      </c>
      <c r="H516" s="164">
        <v>0</v>
      </c>
      <c r="I516" s="164">
        <v>0</v>
      </c>
      <c r="J516" s="117">
        <v>0</v>
      </c>
      <c r="K516" s="165">
        <f t="shared" si="362"/>
        <v>0</v>
      </c>
      <c r="L516" s="164">
        <v>0</v>
      </c>
      <c r="M516" s="164">
        <v>0</v>
      </c>
      <c r="N516" s="164">
        <v>0</v>
      </c>
      <c r="O516" s="78">
        <v>0</v>
      </c>
      <c r="P516" s="164">
        <f t="shared" si="365"/>
        <v>0</v>
      </c>
      <c r="Q516" s="164">
        <v>0</v>
      </c>
      <c r="R516" s="164">
        <v>0</v>
      </c>
      <c r="S516" s="81">
        <v>0</v>
      </c>
      <c r="T516" s="78">
        <v>0</v>
      </c>
      <c r="U516" s="164">
        <v>0</v>
      </c>
      <c r="V516" s="164">
        <v>0</v>
      </c>
      <c r="W516" s="164">
        <v>0</v>
      </c>
      <c r="X516" s="164">
        <v>0</v>
      </c>
      <c r="Y516" s="78">
        <v>0</v>
      </c>
      <c r="Z516" s="164">
        <f t="shared" si="364"/>
        <v>0</v>
      </c>
      <c r="AA516" s="164">
        <v>0</v>
      </c>
      <c r="AB516" s="164">
        <v>0</v>
      </c>
      <c r="AC516" s="81">
        <v>0</v>
      </c>
      <c r="AD516" s="135"/>
    </row>
    <row r="517" spans="1:30" s="147" customFormat="1" ht="22.15" customHeight="1" outlineLevel="1" x14ac:dyDescent="0.2">
      <c r="A517" s="153" t="s">
        <v>1585</v>
      </c>
      <c r="B517" s="166" t="s">
        <v>315</v>
      </c>
      <c r="C517" s="78">
        <f t="shared" si="363"/>
        <v>0</v>
      </c>
      <c r="D517" s="164">
        <f t="shared" si="351"/>
        <v>0</v>
      </c>
      <c r="E517" s="117">
        <v>0</v>
      </c>
      <c r="F517" s="165">
        <f t="shared" si="352"/>
        <v>0</v>
      </c>
      <c r="G517" s="164">
        <v>0</v>
      </c>
      <c r="H517" s="164">
        <v>0</v>
      </c>
      <c r="I517" s="164">
        <v>0</v>
      </c>
      <c r="J517" s="117">
        <v>0</v>
      </c>
      <c r="K517" s="165">
        <f t="shared" si="362"/>
        <v>0</v>
      </c>
      <c r="L517" s="164">
        <v>0</v>
      </c>
      <c r="M517" s="164">
        <v>0</v>
      </c>
      <c r="N517" s="164">
        <v>0</v>
      </c>
      <c r="O517" s="78">
        <v>0</v>
      </c>
      <c r="P517" s="164">
        <f t="shared" si="365"/>
        <v>0</v>
      </c>
      <c r="Q517" s="164">
        <v>0</v>
      </c>
      <c r="R517" s="164">
        <v>0</v>
      </c>
      <c r="S517" s="81">
        <v>0</v>
      </c>
      <c r="T517" s="78">
        <v>0</v>
      </c>
      <c r="U517" s="164">
        <v>0</v>
      </c>
      <c r="V517" s="164">
        <v>0</v>
      </c>
      <c r="W517" s="164">
        <v>0</v>
      </c>
      <c r="X517" s="164">
        <v>0</v>
      </c>
      <c r="Y517" s="78">
        <v>0</v>
      </c>
      <c r="Z517" s="164">
        <f t="shared" si="364"/>
        <v>0</v>
      </c>
      <c r="AA517" s="164">
        <v>0</v>
      </c>
      <c r="AB517" s="164">
        <v>0</v>
      </c>
      <c r="AC517" s="81">
        <v>0</v>
      </c>
      <c r="AD517" s="135"/>
    </row>
    <row r="518" spans="1:30" s="147" customFormat="1" ht="22.15" customHeight="1" outlineLevel="1" x14ac:dyDescent="0.2">
      <c r="A518" s="153" t="s">
        <v>1586</v>
      </c>
      <c r="B518" s="166" t="s">
        <v>316</v>
      </c>
      <c r="C518" s="78">
        <f t="shared" si="363"/>
        <v>0</v>
      </c>
      <c r="D518" s="164">
        <f t="shared" si="351"/>
        <v>0</v>
      </c>
      <c r="E518" s="117">
        <v>0</v>
      </c>
      <c r="F518" s="165">
        <f t="shared" si="352"/>
        <v>0</v>
      </c>
      <c r="G518" s="164">
        <v>0</v>
      </c>
      <c r="H518" s="164">
        <v>0</v>
      </c>
      <c r="I518" s="164">
        <v>0</v>
      </c>
      <c r="J518" s="117">
        <v>0</v>
      </c>
      <c r="K518" s="165">
        <f t="shared" si="362"/>
        <v>0</v>
      </c>
      <c r="L518" s="164">
        <v>0</v>
      </c>
      <c r="M518" s="164">
        <v>0</v>
      </c>
      <c r="N518" s="164">
        <v>0</v>
      </c>
      <c r="O518" s="78">
        <v>0</v>
      </c>
      <c r="P518" s="164">
        <f t="shared" si="365"/>
        <v>0</v>
      </c>
      <c r="Q518" s="164">
        <v>0</v>
      </c>
      <c r="R518" s="164">
        <v>0</v>
      </c>
      <c r="S518" s="81">
        <v>0</v>
      </c>
      <c r="T518" s="78">
        <v>0</v>
      </c>
      <c r="U518" s="164">
        <v>0</v>
      </c>
      <c r="V518" s="164">
        <v>0</v>
      </c>
      <c r="W518" s="164">
        <v>0</v>
      </c>
      <c r="X518" s="164">
        <v>0</v>
      </c>
      <c r="Y518" s="78">
        <v>0</v>
      </c>
      <c r="Z518" s="164">
        <f t="shared" si="364"/>
        <v>0</v>
      </c>
      <c r="AA518" s="164">
        <v>0</v>
      </c>
      <c r="AB518" s="164">
        <v>0</v>
      </c>
      <c r="AC518" s="81">
        <v>0</v>
      </c>
      <c r="AD518" s="135"/>
    </row>
    <row r="519" spans="1:30" s="147" customFormat="1" ht="19.899999999999999" customHeight="1" outlineLevel="1" x14ac:dyDescent="0.2">
      <c r="A519" s="153" t="s">
        <v>1587</v>
      </c>
      <c r="B519" s="166" t="s">
        <v>317</v>
      </c>
      <c r="C519" s="78">
        <f t="shared" si="363"/>
        <v>0</v>
      </c>
      <c r="D519" s="164">
        <f t="shared" si="351"/>
        <v>0</v>
      </c>
      <c r="E519" s="117">
        <v>0</v>
      </c>
      <c r="F519" s="165">
        <f t="shared" si="352"/>
        <v>0</v>
      </c>
      <c r="G519" s="164">
        <v>0</v>
      </c>
      <c r="H519" s="164">
        <v>0</v>
      </c>
      <c r="I519" s="164">
        <v>0</v>
      </c>
      <c r="J519" s="117">
        <v>0</v>
      </c>
      <c r="K519" s="165">
        <f t="shared" si="362"/>
        <v>0</v>
      </c>
      <c r="L519" s="164">
        <v>0</v>
      </c>
      <c r="M519" s="164">
        <v>0</v>
      </c>
      <c r="N519" s="164">
        <v>0</v>
      </c>
      <c r="O519" s="78">
        <v>0</v>
      </c>
      <c r="P519" s="164">
        <f t="shared" si="365"/>
        <v>0</v>
      </c>
      <c r="Q519" s="164">
        <v>0</v>
      </c>
      <c r="R519" s="164">
        <v>0</v>
      </c>
      <c r="S519" s="81">
        <v>0</v>
      </c>
      <c r="T519" s="78">
        <v>0</v>
      </c>
      <c r="U519" s="164">
        <v>0</v>
      </c>
      <c r="V519" s="164">
        <v>0</v>
      </c>
      <c r="W519" s="164">
        <v>0</v>
      </c>
      <c r="X519" s="164">
        <v>0</v>
      </c>
      <c r="Y519" s="78">
        <v>0</v>
      </c>
      <c r="Z519" s="164">
        <f t="shared" si="364"/>
        <v>0</v>
      </c>
      <c r="AA519" s="164">
        <v>0</v>
      </c>
      <c r="AB519" s="164">
        <v>0</v>
      </c>
      <c r="AC519" s="81">
        <v>0</v>
      </c>
      <c r="AD519" s="135"/>
    </row>
    <row r="520" spans="1:30" s="147" customFormat="1" ht="25.15" customHeight="1" outlineLevel="1" x14ac:dyDescent="0.2">
      <c r="A520" s="153" t="s">
        <v>1588</v>
      </c>
      <c r="B520" s="166" t="s">
        <v>318</v>
      </c>
      <c r="C520" s="78">
        <f t="shared" si="363"/>
        <v>0</v>
      </c>
      <c r="D520" s="164">
        <f t="shared" si="351"/>
        <v>0</v>
      </c>
      <c r="E520" s="117">
        <v>0</v>
      </c>
      <c r="F520" s="165">
        <f t="shared" si="352"/>
        <v>0</v>
      </c>
      <c r="G520" s="164">
        <v>0</v>
      </c>
      <c r="H520" s="164">
        <v>0</v>
      </c>
      <c r="I520" s="164">
        <v>0</v>
      </c>
      <c r="J520" s="117">
        <v>0</v>
      </c>
      <c r="K520" s="165">
        <f t="shared" si="362"/>
        <v>0</v>
      </c>
      <c r="L520" s="164">
        <v>0</v>
      </c>
      <c r="M520" s="164">
        <v>0</v>
      </c>
      <c r="N520" s="164">
        <v>0</v>
      </c>
      <c r="O520" s="78">
        <v>0</v>
      </c>
      <c r="P520" s="164">
        <f t="shared" si="365"/>
        <v>0</v>
      </c>
      <c r="Q520" s="164">
        <v>0</v>
      </c>
      <c r="R520" s="164">
        <v>0</v>
      </c>
      <c r="S520" s="81">
        <v>0</v>
      </c>
      <c r="T520" s="78">
        <v>0</v>
      </c>
      <c r="U520" s="164">
        <v>0</v>
      </c>
      <c r="V520" s="164">
        <v>0</v>
      </c>
      <c r="W520" s="164">
        <v>0</v>
      </c>
      <c r="X520" s="164">
        <v>0</v>
      </c>
      <c r="Y520" s="78">
        <v>0</v>
      </c>
      <c r="Z520" s="164">
        <f t="shared" si="364"/>
        <v>0</v>
      </c>
      <c r="AA520" s="164">
        <v>0</v>
      </c>
      <c r="AB520" s="164">
        <v>0</v>
      </c>
      <c r="AC520" s="81">
        <v>0</v>
      </c>
      <c r="AD520" s="135"/>
    </row>
    <row r="521" spans="1:30" s="147" customFormat="1" ht="36" customHeight="1" outlineLevel="1" x14ac:dyDescent="0.2">
      <c r="A521" s="153" t="s">
        <v>1589</v>
      </c>
      <c r="B521" s="166" t="s">
        <v>319</v>
      </c>
      <c r="C521" s="78">
        <f t="shared" si="363"/>
        <v>0</v>
      </c>
      <c r="D521" s="164">
        <f t="shared" si="351"/>
        <v>0</v>
      </c>
      <c r="E521" s="117">
        <v>0</v>
      </c>
      <c r="F521" s="165">
        <f t="shared" si="352"/>
        <v>0</v>
      </c>
      <c r="G521" s="164">
        <v>0</v>
      </c>
      <c r="H521" s="164">
        <v>0</v>
      </c>
      <c r="I521" s="164">
        <v>0</v>
      </c>
      <c r="J521" s="117">
        <v>0</v>
      </c>
      <c r="K521" s="165">
        <f t="shared" si="362"/>
        <v>0</v>
      </c>
      <c r="L521" s="164">
        <v>0</v>
      </c>
      <c r="M521" s="164">
        <v>0</v>
      </c>
      <c r="N521" s="164">
        <v>0</v>
      </c>
      <c r="O521" s="78">
        <v>0</v>
      </c>
      <c r="P521" s="164">
        <f t="shared" si="365"/>
        <v>0</v>
      </c>
      <c r="Q521" s="164">
        <v>0</v>
      </c>
      <c r="R521" s="164">
        <v>0</v>
      </c>
      <c r="S521" s="81">
        <v>0</v>
      </c>
      <c r="T521" s="78">
        <v>0</v>
      </c>
      <c r="U521" s="164">
        <v>0</v>
      </c>
      <c r="V521" s="164">
        <v>0</v>
      </c>
      <c r="W521" s="164">
        <v>0</v>
      </c>
      <c r="X521" s="164">
        <v>0</v>
      </c>
      <c r="Y521" s="78">
        <v>0</v>
      </c>
      <c r="Z521" s="164">
        <f t="shared" si="364"/>
        <v>0</v>
      </c>
      <c r="AA521" s="164">
        <v>0</v>
      </c>
      <c r="AB521" s="164">
        <v>0</v>
      </c>
      <c r="AC521" s="81">
        <v>0</v>
      </c>
      <c r="AD521" s="135"/>
    </row>
    <row r="522" spans="1:30" s="147" customFormat="1" ht="27.75" customHeight="1" outlineLevel="1" x14ac:dyDescent="0.2">
      <c r="A522" s="153" t="s">
        <v>1590</v>
      </c>
      <c r="B522" s="166" t="s">
        <v>1702</v>
      </c>
      <c r="C522" s="78">
        <f t="shared" ref="C522" si="366">E522+J522+O522+T522+Y522</f>
        <v>5.6</v>
      </c>
      <c r="D522" s="164">
        <f t="shared" si="351"/>
        <v>2104</v>
      </c>
      <c r="E522" s="117">
        <v>0</v>
      </c>
      <c r="F522" s="165">
        <f t="shared" si="352"/>
        <v>0</v>
      </c>
      <c r="G522" s="164">
        <v>0</v>
      </c>
      <c r="H522" s="164">
        <v>0</v>
      </c>
      <c r="I522" s="164">
        <v>0</v>
      </c>
      <c r="J522" s="117">
        <v>2.8</v>
      </c>
      <c r="K522" s="165">
        <f t="shared" si="362"/>
        <v>1380</v>
      </c>
      <c r="L522" s="164">
        <v>0</v>
      </c>
      <c r="M522" s="164">
        <v>0</v>
      </c>
      <c r="N522" s="164">
        <v>1380</v>
      </c>
      <c r="O522" s="78">
        <v>2.8</v>
      </c>
      <c r="P522" s="164">
        <f t="shared" si="365"/>
        <v>724</v>
      </c>
      <c r="Q522" s="164">
        <v>0</v>
      </c>
      <c r="R522" s="164">
        <v>0</v>
      </c>
      <c r="S522" s="81">
        <v>724</v>
      </c>
      <c r="T522" s="78">
        <v>0</v>
      </c>
      <c r="U522" s="164">
        <v>0</v>
      </c>
      <c r="V522" s="164">
        <v>0</v>
      </c>
      <c r="W522" s="164">
        <v>0</v>
      </c>
      <c r="X522" s="81">
        <v>0</v>
      </c>
      <c r="Y522" s="78">
        <v>0</v>
      </c>
      <c r="Z522" s="164">
        <f>AA522+AB522+AC522</f>
        <v>0</v>
      </c>
      <c r="AA522" s="164">
        <v>0</v>
      </c>
      <c r="AB522" s="164">
        <v>0</v>
      </c>
      <c r="AC522" s="81">
        <v>0</v>
      </c>
      <c r="AD522" s="135"/>
    </row>
    <row r="523" spans="1:30" s="147" customFormat="1" ht="22.9" customHeight="1" outlineLevel="1" x14ac:dyDescent="0.2">
      <c r="A523" s="153" t="s">
        <v>1591</v>
      </c>
      <c r="B523" s="166" t="s">
        <v>320</v>
      </c>
      <c r="C523" s="78">
        <f>E523+J523+O523+Y523+T523</f>
        <v>0</v>
      </c>
      <c r="D523" s="164">
        <f t="shared" si="351"/>
        <v>0</v>
      </c>
      <c r="E523" s="117">
        <v>0</v>
      </c>
      <c r="F523" s="165">
        <f t="shared" si="352"/>
        <v>0</v>
      </c>
      <c r="G523" s="164">
        <v>0</v>
      </c>
      <c r="H523" s="164">
        <v>0</v>
      </c>
      <c r="I523" s="164">
        <v>0</v>
      </c>
      <c r="J523" s="117">
        <v>0</v>
      </c>
      <c r="K523" s="165">
        <f t="shared" si="362"/>
        <v>0</v>
      </c>
      <c r="L523" s="164">
        <v>0</v>
      </c>
      <c r="M523" s="164">
        <v>0</v>
      </c>
      <c r="N523" s="164">
        <v>0</v>
      </c>
      <c r="O523" s="78">
        <v>0</v>
      </c>
      <c r="P523" s="164">
        <f t="shared" si="365"/>
        <v>0</v>
      </c>
      <c r="Q523" s="164">
        <v>0</v>
      </c>
      <c r="R523" s="164">
        <v>0</v>
      </c>
      <c r="S523" s="81">
        <v>0</v>
      </c>
      <c r="T523" s="78">
        <v>0</v>
      </c>
      <c r="U523" s="164">
        <v>0</v>
      </c>
      <c r="V523" s="164">
        <v>0</v>
      </c>
      <c r="W523" s="164">
        <v>0</v>
      </c>
      <c r="X523" s="164">
        <v>0</v>
      </c>
      <c r="Y523" s="78">
        <v>0</v>
      </c>
      <c r="Z523" s="164">
        <f t="shared" ref="Z523:Z536" si="367">AA523+AB523+AC523</f>
        <v>0</v>
      </c>
      <c r="AA523" s="164">
        <v>0</v>
      </c>
      <c r="AB523" s="164">
        <v>0</v>
      </c>
      <c r="AC523" s="81">
        <v>0</v>
      </c>
      <c r="AD523" s="135"/>
    </row>
    <row r="524" spans="1:30" s="147" customFormat="1" ht="24" customHeight="1" outlineLevel="1" x14ac:dyDescent="0.2">
      <c r="A524" s="153" t="s">
        <v>1592</v>
      </c>
      <c r="B524" s="166" t="s">
        <v>321</v>
      </c>
      <c r="C524" s="78">
        <f t="shared" ref="C524:C528" si="368">E524+J524+O524+Y524+T524</f>
        <v>0</v>
      </c>
      <c r="D524" s="164">
        <f t="shared" si="351"/>
        <v>0</v>
      </c>
      <c r="E524" s="117">
        <v>0</v>
      </c>
      <c r="F524" s="165">
        <f t="shared" si="352"/>
        <v>0</v>
      </c>
      <c r="G524" s="164">
        <v>0</v>
      </c>
      <c r="H524" s="164">
        <v>0</v>
      </c>
      <c r="I524" s="164">
        <v>0</v>
      </c>
      <c r="J524" s="117">
        <v>0</v>
      </c>
      <c r="K524" s="165">
        <f t="shared" si="362"/>
        <v>0</v>
      </c>
      <c r="L524" s="164">
        <v>0</v>
      </c>
      <c r="M524" s="164">
        <v>0</v>
      </c>
      <c r="N524" s="164">
        <v>0</v>
      </c>
      <c r="O524" s="78">
        <v>0</v>
      </c>
      <c r="P524" s="164">
        <f t="shared" si="365"/>
        <v>0</v>
      </c>
      <c r="Q524" s="164">
        <v>0</v>
      </c>
      <c r="R524" s="164">
        <v>0</v>
      </c>
      <c r="S524" s="81">
        <v>0</v>
      </c>
      <c r="T524" s="78">
        <v>0</v>
      </c>
      <c r="U524" s="164">
        <v>0</v>
      </c>
      <c r="V524" s="164">
        <v>0</v>
      </c>
      <c r="W524" s="164">
        <v>0</v>
      </c>
      <c r="X524" s="164">
        <v>0</v>
      </c>
      <c r="Y524" s="78">
        <v>0</v>
      </c>
      <c r="Z524" s="164">
        <f t="shared" si="367"/>
        <v>0</v>
      </c>
      <c r="AA524" s="164">
        <v>0</v>
      </c>
      <c r="AB524" s="164">
        <v>0</v>
      </c>
      <c r="AC524" s="81">
        <v>0</v>
      </c>
      <c r="AD524" s="135"/>
    </row>
    <row r="525" spans="1:30" s="147" customFormat="1" ht="26.45" customHeight="1" outlineLevel="1" x14ac:dyDescent="0.2">
      <c r="A525" s="153" t="s">
        <v>1593</v>
      </c>
      <c r="B525" s="166" t="s">
        <v>322</v>
      </c>
      <c r="C525" s="78">
        <f t="shared" si="368"/>
        <v>0</v>
      </c>
      <c r="D525" s="164">
        <f t="shared" si="351"/>
        <v>0</v>
      </c>
      <c r="E525" s="117">
        <v>0</v>
      </c>
      <c r="F525" s="165">
        <f t="shared" si="352"/>
        <v>0</v>
      </c>
      <c r="G525" s="164">
        <v>0</v>
      </c>
      <c r="H525" s="164">
        <v>0</v>
      </c>
      <c r="I525" s="164">
        <v>0</v>
      </c>
      <c r="J525" s="117">
        <v>0</v>
      </c>
      <c r="K525" s="165">
        <f t="shared" si="362"/>
        <v>0</v>
      </c>
      <c r="L525" s="164">
        <v>0</v>
      </c>
      <c r="M525" s="164">
        <v>0</v>
      </c>
      <c r="N525" s="164">
        <v>0</v>
      </c>
      <c r="O525" s="78">
        <v>0</v>
      </c>
      <c r="P525" s="164">
        <f t="shared" si="365"/>
        <v>0</v>
      </c>
      <c r="Q525" s="164">
        <v>0</v>
      </c>
      <c r="R525" s="164">
        <v>0</v>
      </c>
      <c r="S525" s="81">
        <v>0</v>
      </c>
      <c r="T525" s="78">
        <v>0</v>
      </c>
      <c r="U525" s="164">
        <v>0</v>
      </c>
      <c r="V525" s="164">
        <v>0</v>
      </c>
      <c r="W525" s="164">
        <v>0</v>
      </c>
      <c r="X525" s="164">
        <v>0</v>
      </c>
      <c r="Y525" s="78">
        <v>0</v>
      </c>
      <c r="Z525" s="164">
        <f t="shared" si="367"/>
        <v>0</v>
      </c>
      <c r="AA525" s="164">
        <v>0</v>
      </c>
      <c r="AB525" s="164">
        <v>0</v>
      </c>
      <c r="AC525" s="81">
        <v>0</v>
      </c>
      <c r="AD525" s="135"/>
    </row>
    <row r="526" spans="1:30" s="147" customFormat="1" ht="28.9" customHeight="1" outlineLevel="1" x14ac:dyDescent="0.2">
      <c r="A526" s="153" t="s">
        <v>1594</v>
      </c>
      <c r="B526" s="166" t="s">
        <v>323</v>
      </c>
      <c r="C526" s="78">
        <f t="shared" si="368"/>
        <v>0</v>
      </c>
      <c r="D526" s="164">
        <f t="shared" si="351"/>
        <v>0</v>
      </c>
      <c r="E526" s="117">
        <v>0</v>
      </c>
      <c r="F526" s="165">
        <f t="shared" si="352"/>
        <v>0</v>
      </c>
      <c r="G526" s="164">
        <v>0</v>
      </c>
      <c r="H526" s="164">
        <v>0</v>
      </c>
      <c r="I526" s="164">
        <v>0</v>
      </c>
      <c r="J526" s="117">
        <v>0</v>
      </c>
      <c r="K526" s="165">
        <f t="shared" si="362"/>
        <v>0</v>
      </c>
      <c r="L526" s="164">
        <v>0</v>
      </c>
      <c r="M526" s="164">
        <v>0</v>
      </c>
      <c r="N526" s="164">
        <v>0</v>
      </c>
      <c r="O526" s="78">
        <v>0</v>
      </c>
      <c r="P526" s="164">
        <f t="shared" si="365"/>
        <v>0</v>
      </c>
      <c r="Q526" s="164">
        <v>0</v>
      </c>
      <c r="R526" s="164">
        <v>0</v>
      </c>
      <c r="S526" s="81">
        <v>0</v>
      </c>
      <c r="T526" s="78">
        <v>0</v>
      </c>
      <c r="U526" s="164">
        <v>0</v>
      </c>
      <c r="V526" s="164">
        <v>0</v>
      </c>
      <c r="W526" s="164">
        <v>0</v>
      </c>
      <c r="X526" s="164">
        <v>0</v>
      </c>
      <c r="Y526" s="78">
        <v>0</v>
      </c>
      <c r="Z526" s="164">
        <f t="shared" si="367"/>
        <v>0</v>
      </c>
      <c r="AA526" s="164">
        <v>0</v>
      </c>
      <c r="AB526" s="164">
        <v>0</v>
      </c>
      <c r="AC526" s="81">
        <v>0</v>
      </c>
      <c r="AD526" s="135"/>
    </row>
    <row r="527" spans="1:30" s="147" customFormat="1" ht="28.9" customHeight="1" outlineLevel="1" x14ac:dyDescent="0.2">
      <c r="A527" s="153" t="s">
        <v>1595</v>
      </c>
      <c r="B527" s="166" t="s">
        <v>326</v>
      </c>
      <c r="C527" s="78">
        <f t="shared" si="368"/>
        <v>0</v>
      </c>
      <c r="D527" s="164">
        <f t="shared" si="351"/>
        <v>0</v>
      </c>
      <c r="E527" s="117">
        <v>0</v>
      </c>
      <c r="F527" s="165">
        <f t="shared" si="352"/>
        <v>0</v>
      </c>
      <c r="G527" s="164">
        <v>0</v>
      </c>
      <c r="H527" s="164">
        <v>0</v>
      </c>
      <c r="I527" s="164">
        <v>0</v>
      </c>
      <c r="J527" s="117">
        <v>0</v>
      </c>
      <c r="K527" s="165">
        <f t="shared" si="362"/>
        <v>0</v>
      </c>
      <c r="L527" s="164">
        <v>0</v>
      </c>
      <c r="M527" s="164">
        <v>0</v>
      </c>
      <c r="N527" s="164">
        <v>0</v>
      </c>
      <c r="O527" s="78">
        <v>0</v>
      </c>
      <c r="P527" s="164">
        <f t="shared" si="365"/>
        <v>0</v>
      </c>
      <c r="Q527" s="164">
        <v>0</v>
      </c>
      <c r="R527" s="164">
        <v>0</v>
      </c>
      <c r="S527" s="81">
        <v>0</v>
      </c>
      <c r="T527" s="78">
        <v>0</v>
      </c>
      <c r="U527" s="164">
        <v>0</v>
      </c>
      <c r="V527" s="164">
        <v>0</v>
      </c>
      <c r="W527" s="164">
        <v>0</v>
      </c>
      <c r="X527" s="164">
        <v>0</v>
      </c>
      <c r="Y527" s="78">
        <v>0</v>
      </c>
      <c r="Z527" s="164">
        <f t="shared" si="367"/>
        <v>0</v>
      </c>
      <c r="AA527" s="164">
        <v>0</v>
      </c>
      <c r="AB527" s="164">
        <v>0</v>
      </c>
      <c r="AC527" s="81">
        <v>0</v>
      </c>
      <c r="AD527" s="135"/>
    </row>
    <row r="528" spans="1:30" s="147" customFormat="1" ht="28.15" customHeight="1" outlineLevel="1" x14ac:dyDescent="0.2">
      <c r="A528" s="153" t="s">
        <v>1596</v>
      </c>
      <c r="B528" s="166" t="s">
        <v>327</v>
      </c>
      <c r="C528" s="78">
        <f t="shared" si="368"/>
        <v>0</v>
      </c>
      <c r="D528" s="164">
        <f t="shared" si="351"/>
        <v>0</v>
      </c>
      <c r="E528" s="117">
        <v>0</v>
      </c>
      <c r="F528" s="165">
        <f t="shared" si="352"/>
        <v>0</v>
      </c>
      <c r="G528" s="164">
        <v>0</v>
      </c>
      <c r="H528" s="164">
        <v>0</v>
      </c>
      <c r="I528" s="164">
        <v>0</v>
      </c>
      <c r="J528" s="117">
        <v>0</v>
      </c>
      <c r="K528" s="165">
        <f t="shared" si="362"/>
        <v>0</v>
      </c>
      <c r="L528" s="164">
        <v>0</v>
      </c>
      <c r="M528" s="164">
        <v>0</v>
      </c>
      <c r="N528" s="164">
        <v>0</v>
      </c>
      <c r="O528" s="78">
        <v>0</v>
      </c>
      <c r="P528" s="164">
        <f t="shared" si="365"/>
        <v>0</v>
      </c>
      <c r="Q528" s="164">
        <v>0</v>
      </c>
      <c r="R528" s="164">
        <v>0</v>
      </c>
      <c r="S528" s="81">
        <v>0</v>
      </c>
      <c r="T528" s="78">
        <v>0</v>
      </c>
      <c r="U528" s="164">
        <v>0</v>
      </c>
      <c r="V528" s="164">
        <v>0</v>
      </c>
      <c r="W528" s="164">
        <v>0</v>
      </c>
      <c r="X528" s="164">
        <v>0</v>
      </c>
      <c r="Y528" s="78">
        <v>0</v>
      </c>
      <c r="Z528" s="164">
        <f t="shared" si="367"/>
        <v>0</v>
      </c>
      <c r="AA528" s="164">
        <v>0</v>
      </c>
      <c r="AB528" s="164">
        <v>0</v>
      </c>
      <c r="AC528" s="81">
        <v>0</v>
      </c>
      <c r="AD528" s="135"/>
    </row>
    <row r="529" spans="1:30" s="147" customFormat="1" ht="34.15" customHeight="1" outlineLevel="1" x14ac:dyDescent="0.2">
      <c r="A529" s="167"/>
      <c r="B529" s="168" t="s">
        <v>354</v>
      </c>
      <c r="C529" s="167">
        <f>SUM(C530:C548)</f>
        <v>0</v>
      </c>
      <c r="D529" s="169">
        <f>SUM(D530:D548)</f>
        <v>0</v>
      </c>
      <c r="E529" s="167">
        <f t="shared" ref="E529:S529" si="369">SUM(E530:E548)</f>
        <v>0</v>
      </c>
      <c r="F529" s="169">
        <f t="shared" si="369"/>
        <v>0</v>
      </c>
      <c r="G529" s="169">
        <f t="shared" si="369"/>
        <v>0</v>
      </c>
      <c r="H529" s="169">
        <f t="shared" si="369"/>
        <v>0</v>
      </c>
      <c r="I529" s="169">
        <f t="shared" si="369"/>
        <v>0</v>
      </c>
      <c r="J529" s="167">
        <f t="shared" si="369"/>
        <v>0</v>
      </c>
      <c r="K529" s="169">
        <f t="shared" ref="K529:K550" si="370">SUM(L529:N529)</f>
        <v>0</v>
      </c>
      <c r="L529" s="169">
        <f t="shared" si="369"/>
        <v>0</v>
      </c>
      <c r="M529" s="169">
        <f t="shared" si="369"/>
        <v>0</v>
      </c>
      <c r="N529" s="169">
        <f t="shared" si="369"/>
        <v>0</v>
      </c>
      <c r="O529" s="167">
        <f t="shared" si="369"/>
        <v>0</v>
      </c>
      <c r="P529" s="162">
        <f t="shared" si="365"/>
        <v>0</v>
      </c>
      <c r="Q529" s="169">
        <f t="shared" si="369"/>
        <v>0</v>
      </c>
      <c r="R529" s="169">
        <f t="shared" si="369"/>
        <v>0</v>
      </c>
      <c r="S529" s="169">
        <f t="shared" si="369"/>
        <v>0</v>
      </c>
      <c r="T529" s="161">
        <v>0</v>
      </c>
      <c r="U529" s="162">
        <v>0</v>
      </c>
      <c r="V529" s="162">
        <v>0</v>
      </c>
      <c r="W529" s="162">
        <v>0</v>
      </c>
      <c r="X529" s="162">
        <v>0</v>
      </c>
      <c r="Y529" s="167">
        <f>SUM(T530:T548)</f>
        <v>0</v>
      </c>
      <c r="Z529" s="162">
        <f>AA529+AB529+AC529</f>
        <v>0</v>
      </c>
      <c r="AA529" s="169">
        <f>SUM(V530:V548)</f>
        <v>0</v>
      </c>
      <c r="AB529" s="169">
        <f>SUM(W530:W548)</f>
        <v>0</v>
      </c>
      <c r="AC529" s="169">
        <f>SUM(AC530:AC548)</f>
        <v>0</v>
      </c>
      <c r="AD529" s="135"/>
    </row>
    <row r="530" spans="1:30" s="147" customFormat="1" ht="25.9" customHeight="1" outlineLevel="1" x14ac:dyDescent="0.2">
      <c r="A530" s="153" t="s">
        <v>1597</v>
      </c>
      <c r="B530" s="166" t="s">
        <v>328</v>
      </c>
      <c r="C530" s="78">
        <f>E530+J530+O530+Y530+T530</f>
        <v>0</v>
      </c>
      <c r="D530" s="164">
        <f t="shared" si="351"/>
        <v>0</v>
      </c>
      <c r="E530" s="117">
        <v>0</v>
      </c>
      <c r="F530" s="165">
        <f t="shared" si="352"/>
        <v>0</v>
      </c>
      <c r="G530" s="164">
        <v>0</v>
      </c>
      <c r="H530" s="164">
        <v>0</v>
      </c>
      <c r="I530" s="164">
        <v>0</v>
      </c>
      <c r="J530" s="117">
        <v>0</v>
      </c>
      <c r="K530" s="165">
        <f t="shared" ref="K530:K547" si="371">L530+M530+N530</f>
        <v>0</v>
      </c>
      <c r="L530" s="164">
        <v>0</v>
      </c>
      <c r="M530" s="164">
        <v>0</v>
      </c>
      <c r="N530" s="164">
        <v>0</v>
      </c>
      <c r="O530" s="78">
        <v>0</v>
      </c>
      <c r="P530" s="164">
        <f t="shared" si="365"/>
        <v>0</v>
      </c>
      <c r="Q530" s="164">
        <v>0</v>
      </c>
      <c r="R530" s="164">
        <v>0</v>
      </c>
      <c r="S530" s="81">
        <v>0</v>
      </c>
      <c r="T530" s="78">
        <v>0</v>
      </c>
      <c r="U530" s="164">
        <v>0</v>
      </c>
      <c r="V530" s="164">
        <v>0</v>
      </c>
      <c r="W530" s="164">
        <v>0</v>
      </c>
      <c r="X530" s="164">
        <v>0</v>
      </c>
      <c r="Y530" s="78">
        <v>0</v>
      </c>
      <c r="Z530" s="164">
        <f t="shared" si="367"/>
        <v>0</v>
      </c>
      <c r="AA530" s="164">
        <v>0</v>
      </c>
      <c r="AB530" s="164">
        <v>0</v>
      </c>
      <c r="AC530" s="81">
        <v>0</v>
      </c>
      <c r="AD530" s="135"/>
    </row>
    <row r="531" spans="1:30" s="147" customFormat="1" ht="25.15" customHeight="1" outlineLevel="1" x14ac:dyDescent="0.2">
      <c r="A531" s="153" t="s">
        <v>1598</v>
      </c>
      <c r="B531" s="166" t="s">
        <v>329</v>
      </c>
      <c r="C531" s="78">
        <f t="shared" ref="C531:D548" si="372">E531+J531+O531+Y531+T531</f>
        <v>0</v>
      </c>
      <c r="D531" s="164">
        <f t="shared" si="351"/>
        <v>0</v>
      </c>
      <c r="E531" s="117">
        <v>0</v>
      </c>
      <c r="F531" s="165">
        <f t="shared" si="352"/>
        <v>0</v>
      </c>
      <c r="G531" s="164">
        <v>0</v>
      </c>
      <c r="H531" s="164">
        <v>0</v>
      </c>
      <c r="I531" s="164">
        <v>0</v>
      </c>
      <c r="J531" s="117">
        <v>0</v>
      </c>
      <c r="K531" s="165">
        <f t="shared" si="371"/>
        <v>0</v>
      </c>
      <c r="L531" s="164">
        <v>0</v>
      </c>
      <c r="M531" s="164">
        <v>0</v>
      </c>
      <c r="N531" s="164">
        <v>0</v>
      </c>
      <c r="O531" s="78">
        <v>0</v>
      </c>
      <c r="P531" s="164">
        <f t="shared" si="365"/>
        <v>0</v>
      </c>
      <c r="Q531" s="164">
        <v>0</v>
      </c>
      <c r="R531" s="164">
        <v>0</v>
      </c>
      <c r="S531" s="81">
        <v>0</v>
      </c>
      <c r="T531" s="78">
        <v>0</v>
      </c>
      <c r="U531" s="164">
        <v>0</v>
      </c>
      <c r="V531" s="164">
        <v>0</v>
      </c>
      <c r="W531" s="164">
        <v>0</v>
      </c>
      <c r="X531" s="164">
        <v>0</v>
      </c>
      <c r="Y531" s="78">
        <v>0</v>
      </c>
      <c r="Z531" s="164">
        <f t="shared" si="367"/>
        <v>0</v>
      </c>
      <c r="AA531" s="164">
        <v>0</v>
      </c>
      <c r="AB531" s="164">
        <v>0</v>
      </c>
      <c r="AC531" s="81">
        <v>0</v>
      </c>
      <c r="AD531" s="135"/>
    </row>
    <row r="532" spans="1:30" s="147" customFormat="1" ht="25.9" customHeight="1" outlineLevel="1" x14ac:dyDescent="0.2">
      <c r="A532" s="153" t="s">
        <v>1599</v>
      </c>
      <c r="B532" s="166" t="s">
        <v>330</v>
      </c>
      <c r="C532" s="78">
        <f t="shared" si="372"/>
        <v>0</v>
      </c>
      <c r="D532" s="164">
        <f t="shared" si="372"/>
        <v>0</v>
      </c>
      <c r="E532" s="117">
        <v>0</v>
      </c>
      <c r="F532" s="165">
        <f t="shared" ref="F532:F548" si="373">G532+H532+I532</f>
        <v>0</v>
      </c>
      <c r="G532" s="164">
        <v>0</v>
      </c>
      <c r="H532" s="164">
        <v>0</v>
      </c>
      <c r="I532" s="164">
        <v>0</v>
      </c>
      <c r="J532" s="117">
        <v>0</v>
      </c>
      <c r="K532" s="165">
        <f t="shared" si="371"/>
        <v>0</v>
      </c>
      <c r="L532" s="164">
        <v>0</v>
      </c>
      <c r="M532" s="164">
        <v>0</v>
      </c>
      <c r="N532" s="164">
        <v>0</v>
      </c>
      <c r="O532" s="78">
        <v>0</v>
      </c>
      <c r="P532" s="164">
        <f t="shared" si="365"/>
        <v>0</v>
      </c>
      <c r="Q532" s="164">
        <v>0</v>
      </c>
      <c r="R532" s="164">
        <v>0</v>
      </c>
      <c r="S532" s="81">
        <v>0</v>
      </c>
      <c r="T532" s="78">
        <v>0</v>
      </c>
      <c r="U532" s="164">
        <v>0</v>
      </c>
      <c r="V532" s="164">
        <v>0</v>
      </c>
      <c r="W532" s="164">
        <v>0</v>
      </c>
      <c r="X532" s="164">
        <v>0</v>
      </c>
      <c r="Y532" s="78">
        <v>0</v>
      </c>
      <c r="Z532" s="164">
        <f t="shared" si="367"/>
        <v>0</v>
      </c>
      <c r="AA532" s="164">
        <v>0</v>
      </c>
      <c r="AB532" s="164">
        <v>0</v>
      </c>
      <c r="AC532" s="81">
        <v>0</v>
      </c>
      <c r="AD532" s="135"/>
    </row>
    <row r="533" spans="1:30" s="147" customFormat="1" ht="25.15" customHeight="1" outlineLevel="1" x14ac:dyDescent="0.2">
      <c r="A533" s="153" t="s">
        <v>1600</v>
      </c>
      <c r="B533" s="166" t="s">
        <v>331</v>
      </c>
      <c r="C533" s="78">
        <f t="shared" si="372"/>
        <v>0</v>
      </c>
      <c r="D533" s="164">
        <f t="shared" si="372"/>
        <v>0</v>
      </c>
      <c r="E533" s="117">
        <v>0</v>
      </c>
      <c r="F533" s="165">
        <f t="shared" si="373"/>
        <v>0</v>
      </c>
      <c r="G533" s="164">
        <v>0</v>
      </c>
      <c r="H533" s="164">
        <v>0</v>
      </c>
      <c r="I533" s="164">
        <v>0</v>
      </c>
      <c r="J533" s="117">
        <v>0</v>
      </c>
      <c r="K533" s="165">
        <f t="shared" si="371"/>
        <v>0</v>
      </c>
      <c r="L533" s="164">
        <v>0</v>
      </c>
      <c r="M533" s="164">
        <v>0</v>
      </c>
      <c r="N533" s="164">
        <v>0</v>
      </c>
      <c r="O533" s="78">
        <v>0</v>
      </c>
      <c r="P533" s="164">
        <f t="shared" si="365"/>
        <v>0</v>
      </c>
      <c r="Q533" s="164">
        <v>0</v>
      </c>
      <c r="R533" s="164">
        <v>0</v>
      </c>
      <c r="S533" s="81">
        <v>0</v>
      </c>
      <c r="T533" s="78">
        <v>0</v>
      </c>
      <c r="U533" s="164">
        <v>0</v>
      </c>
      <c r="V533" s="164">
        <v>0</v>
      </c>
      <c r="W533" s="164">
        <v>0</v>
      </c>
      <c r="X533" s="164">
        <v>0</v>
      </c>
      <c r="Y533" s="78">
        <v>0</v>
      </c>
      <c r="Z533" s="164">
        <f t="shared" si="367"/>
        <v>0</v>
      </c>
      <c r="AA533" s="164">
        <v>0</v>
      </c>
      <c r="AB533" s="164">
        <v>0</v>
      </c>
      <c r="AC533" s="81">
        <v>0</v>
      </c>
      <c r="AD533" s="135"/>
    </row>
    <row r="534" spans="1:30" s="147" customFormat="1" ht="23.45" customHeight="1" outlineLevel="1" x14ac:dyDescent="0.2">
      <c r="A534" s="153" t="s">
        <v>1601</v>
      </c>
      <c r="B534" s="166" t="s">
        <v>332</v>
      </c>
      <c r="C534" s="78">
        <f t="shared" si="372"/>
        <v>0</v>
      </c>
      <c r="D534" s="164">
        <f t="shared" si="372"/>
        <v>0</v>
      </c>
      <c r="E534" s="117">
        <v>0</v>
      </c>
      <c r="F534" s="165">
        <f t="shared" si="373"/>
        <v>0</v>
      </c>
      <c r="G534" s="164">
        <v>0</v>
      </c>
      <c r="H534" s="164">
        <v>0</v>
      </c>
      <c r="I534" s="164">
        <v>0</v>
      </c>
      <c r="J534" s="117">
        <v>0</v>
      </c>
      <c r="K534" s="165">
        <f t="shared" si="371"/>
        <v>0</v>
      </c>
      <c r="L534" s="164">
        <v>0</v>
      </c>
      <c r="M534" s="164">
        <v>0</v>
      </c>
      <c r="N534" s="164">
        <v>0</v>
      </c>
      <c r="O534" s="78">
        <v>0</v>
      </c>
      <c r="P534" s="164">
        <f t="shared" si="365"/>
        <v>0</v>
      </c>
      <c r="Q534" s="164">
        <v>0</v>
      </c>
      <c r="R534" s="164">
        <v>0</v>
      </c>
      <c r="S534" s="81">
        <v>0</v>
      </c>
      <c r="T534" s="78">
        <v>0</v>
      </c>
      <c r="U534" s="164">
        <v>0</v>
      </c>
      <c r="V534" s="164">
        <v>0</v>
      </c>
      <c r="W534" s="164">
        <v>0</v>
      </c>
      <c r="X534" s="164">
        <v>0</v>
      </c>
      <c r="Y534" s="78">
        <v>0</v>
      </c>
      <c r="Z534" s="164">
        <f t="shared" si="367"/>
        <v>0</v>
      </c>
      <c r="AA534" s="164">
        <v>0</v>
      </c>
      <c r="AB534" s="164">
        <v>0</v>
      </c>
      <c r="AC534" s="81">
        <v>0</v>
      </c>
      <c r="AD534" s="135"/>
    </row>
    <row r="535" spans="1:30" s="147" customFormat="1" ht="24" customHeight="1" outlineLevel="1" x14ac:dyDescent="0.2">
      <c r="A535" s="153" t="s">
        <v>1602</v>
      </c>
      <c r="B535" s="166" t="s">
        <v>333</v>
      </c>
      <c r="C535" s="78">
        <f t="shared" si="372"/>
        <v>0</v>
      </c>
      <c r="D535" s="164">
        <f t="shared" si="372"/>
        <v>0</v>
      </c>
      <c r="E535" s="117">
        <v>0</v>
      </c>
      <c r="F535" s="165">
        <f t="shared" si="373"/>
        <v>0</v>
      </c>
      <c r="G535" s="164">
        <v>0</v>
      </c>
      <c r="H535" s="164">
        <v>0</v>
      </c>
      <c r="I535" s="164">
        <v>0</v>
      </c>
      <c r="J535" s="117">
        <v>0</v>
      </c>
      <c r="K535" s="165">
        <f t="shared" si="371"/>
        <v>0</v>
      </c>
      <c r="L535" s="164">
        <v>0</v>
      </c>
      <c r="M535" s="164">
        <v>0</v>
      </c>
      <c r="N535" s="164">
        <v>0</v>
      </c>
      <c r="O535" s="78">
        <v>0</v>
      </c>
      <c r="P535" s="164">
        <f t="shared" si="365"/>
        <v>0</v>
      </c>
      <c r="Q535" s="164">
        <v>0</v>
      </c>
      <c r="R535" s="164">
        <v>0</v>
      </c>
      <c r="S535" s="81">
        <v>0</v>
      </c>
      <c r="T535" s="78">
        <v>0</v>
      </c>
      <c r="U535" s="164">
        <v>0</v>
      </c>
      <c r="V535" s="164">
        <v>0</v>
      </c>
      <c r="W535" s="164">
        <v>0</v>
      </c>
      <c r="X535" s="164">
        <v>0</v>
      </c>
      <c r="Y535" s="78">
        <v>0</v>
      </c>
      <c r="Z535" s="164">
        <f t="shared" si="367"/>
        <v>0</v>
      </c>
      <c r="AA535" s="164">
        <v>0</v>
      </c>
      <c r="AB535" s="164">
        <v>0</v>
      </c>
      <c r="AC535" s="81">
        <v>0</v>
      </c>
      <c r="AD535" s="135"/>
    </row>
    <row r="536" spans="1:30" s="147" customFormat="1" ht="26.45" customHeight="1" outlineLevel="1" x14ac:dyDescent="0.2">
      <c r="A536" s="153" t="s">
        <v>1603</v>
      </c>
      <c r="B536" s="166" t="s">
        <v>334</v>
      </c>
      <c r="C536" s="78">
        <f t="shared" si="372"/>
        <v>0</v>
      </c>
      <c r="D536" s="164">
        <f t="shared" si="372"/>
        <v>0</v>
      </c>
      <c r="E536" s="117">
        <v>0</v>
      </c>
      <c r="F536" s="165">
        <f t="shared" si="373"/>
        <v>0</v>
      </c>
      <c r="G536" s="164">
        <v>0</v>
      </c>
      <c r="H536" s="164">
        <v>0</v>
      </c>
      <c r="I536" s="164">
        <v>0</v>
      </c>
      <c r="J536" s="117">
        <v>0</v>
      </c>
      <c r="K536" s="165">
        <f t="shared" si="371"/>
        <v>0</v>
      </c>
      <c r="L536" s="164">
        <v>0</v>
      </c>
      <c r="M536" s="164">
        <v>0</v>
      </c>
      <c r="N536" s="164">
        <v>0</v>
      </c>
      <c r="O536" s="78">
        <v>0</v>
      </c>
      <c r="P536" s="164">
        <f t="shared" si="365"/>
        <v>0</v>
      </c>
      <c r="Q536" s="164">
        <v>0</v>
      </c>
      <c r="R536" s="164">
        <v>0</v>
      </c>
      <c r="S536" s="81">
        <v>0</v>
      </c>
      <c r="T536" s="78">
        <v>0</v>
      </c>
      <c r="U536" s="164">
        <v>0</v>
      </c>
      <c r="V536" s="164">
        <v>0</v>
      </c>
      <c r="W536" s="164">
        <v>0</v>
      </c>
      <c r="X536" s="164">
        <v>0</v>
      </c>
      <c r="Y536" s="78">
        <v>0</v>
      </c>
      <c r="Z536" s="164">
        <f t="shared" si="367"/>
        <v>0</v>
      </c>
      <c r="AA536" s="164">
        <v>0</v>
      </c>
      <c r="AB536" s="164">
        <v>0</v>
      </c>
      <c r="AC536" s="81">
        <v>0</v>
      </c>
      <c r="AD536" s="135"/>
    </row>
    <row r="537" spans="1:30" s="147" customFormat="1" ht="45" customHeight="1" outlineLevel="1" x14ac:dyDescent="0.2">
      <c r="A537" s="153" t="s">
        <v>1604</v>
      </c>
      <c r="B537" s="166" t="s">
        <v>276</v>
      </c>
      <c r="C537" s="78">
        <f t="shared" si="372"/>
        <v>0</v>
      </c>
      <c r="D537" s="164">
        <f t="shared" si="372"/>
        <v>0</v>
      </c>
      <c r="E537" s="117">
        <v>0</v>
      </c>
      <c r="F537" s="165">
        <f t="shared" si="373"/>
        <v>0</v>
      </c>
      <c r="G537" s="164">
        <v>0</v>
      </c>
      <c r="H537" s="164">
        <v>0</v>
      </c>
      <c r="I537" s="164">
        <v>0</v>
      </c>
      <c r="J537" s="117">
        <v>0</v>
      </c>
      <c r="K537" s="165">
        <f t="shared" si="371"/>
        <v>0</v>
      </c>
      <c r="L537" s="164">
        <v>0</v>
      </c>
      <c r="M537" s="164">
        <v>0</v>
      </c>
      <c r="N537" s="164">
        <v>0</v>
      </c>
      <c r="O537" s="78">
        <v>0</v>
      </c>
      <c r="P537" s="164">
        <f t="shared" si="365"/>
        <v>0</v>
      </c>
      <c r="Q537" s="164">
        <v>0</v>
      </c>
      <c r="R537" s="164">
        <v>0</v>
      </c>
      <c r="S537" s="81">
        <v>0</v>
      </c>
      <c r="T537" s="78">
        <v>0</v>
      </c>
      <c r="U537" s="164">
        <v>0</v>
      </c>
      <c r="V537" s="164">
        <v>0</v>
      </c>
      <c r="W537" s="164">
        <v>0</v>
      </c>
      <c r="X537" s="81">
        <v>0</v>
      </c>
      <c r="Y537" s="78">
        <v>0</v>
      </c>
      <c r="Z537" s="164">
        <f t="shared" ref="Z537:Z550" si="374">AA537+AB537+AC537</f>
        <v>0</v>
      </c>
      <c r="AA537" s="164">
        <v>0</v>
      </c>
      <c r="AB537" s="164">
        <v>0</v>
      </c>
      <c r="AC537" s="81">
        <v>0</v>
      </c>
      <c r="AD537" s="135"/>
    </row>
    <row r="538" spans="1:30" s="147" customFormat="1" ht="24.6" customHeight="1" outlineLevel="1" x14ac:dyDescent="0.2">
      <c r="A538" s="153" t="s">
        <v>1605</v>
      </c>
      <c r="B538" s="166" t="s">
        <v>308</v>
      </c>
      <c r="C538" s="78">
        <f t="shared" si="372"/>
        <v>0</v>
      </c>
      <c r="D538" s="164">
        <f t="shared" si="372"/>
        <v>0</v>
      </c>
      <c r="E538" s="117">
        <v>0</v>
      </c>
      <c r="F538" s="165">
        <f t="shared" si="373"/>
        <v>0</v>
      </c>
      <c r="G538" s="164">
        <v>0</v>
      </c>
      <c r="H538" s="164">
        <v>0</v>
      </c>
      <c r="I538" s="164">
        <v>0</v>
      </c>
      <c r="J538" s="117">
        <v>0</v>
      </c>
      <c r="K538" s="165">
        <f t="shared" si="371"/>
        <v>0</v>
      </c>
      <c r="L538" s="164">
        <v>0</v>
      </c>
      <c r="M538" s="164">
        <v>0</v>
      </c>
      <c r="N538" s="164">
        <v>0</v>
      </c>
      <c r="O538" s="78">
        <v>0</v>
      </c>
      <c r="P538" s="164">
        <f t="shared" si="365"/>
        <v>0</v>
      </c>
      <c r="Q538" s="164">
        <v>0</v>
      </c>
      <c r="R538" s="164">
        <v>0</v>
      </c>
      <c r="S538" s="81">
        <v>0</v>
      </c>
      <c r="T538" s="78">
        <v>0</v>
      </c>
      <c r="U538" s="164">
        <v>0</v>
      </c>
      <c r="V538" s="164">
        <v>0</v>
      </c>
      <c r="W538" s="164">
        <v>0</v>
      </c>
      <c r="X538" s="81">
        <v>0</v>
      </c>
      <c r="Y538" s="78">
        <v>0</v>
      </c>
      <c r="Z538" s="164">
        <f t="shared" si="374"/>
        <v>0</v>
      </c>
      <c r="AA538" s="164">
        <v>0</v>
      </c>
      <c r="AB538" s="164">
        <v>0</v>
      </c>
      <c r="AC538" s="81">
        <v>0</v>
      </c>
      <c r="AD538" s="135"/>
    </row>
    <row r="539" spans="1:30" s="147" customFormat="1" ht="25.5" customHeight="1" outlineLevel="1" x14ac:dyDescent="0.2">
      <c r="A539" s="153" t="s">
        <v>1606</v>
      </c>
      <c r="B539" s="166" t="s">
        <v>302</v>
      </c>
      <c r="C539" s="78">
        <f t="shared" si="372"/>
        <v>0</v>
      </c>
      <c r="D539" s="164">
        <f t="shared" si="372"/>
        <v>0</v>
      </c>
      <c r="E539" s="117">
        <v>0</v>
      </c>
      <c r="F539" s="165">
        <f t="shared" si="373"/>
        <v>0</v>
      </c>
      <c r="G539" s="164">
        <v>0</v>
      </c>
      <c r="H539" s="164">
        <v>0</v>
      </c>
      <c r="I539" s="164">
        <v>0</v>
      </c>
      <c r="J539" s="117">
        <v>0</v>
      </c>
      <c r="K539" s="165">
        <f t="shared" si="371"/>
        <v>0</v>
      </c>
      <c r="L539" s="164">
        <v>0</v>
      </c>
      <c r="M539" s="164">
        <v>0</v>
      </c>
      <c r="N539" s="164">
        <v>0</v>
      </c>
      <c r="O539" s="78">
        <v>0</v>
      </c>
      <c r="P539" s="164">
        <f t="shared" si="365"/>
        <v>0</v>
      </c>
      <c r="Q539" s="164">
        <v>0</v>
      </c>
      <c r="R539" s="164">
        <v>0</v>
      </c>
      <c r="S539" s="81">
        <v>0</v>
      </c>
      <c r="T539" s="78">
        <v>0</v>
      </c>
      <c r="U539" s="164">
        <v>0</v>
      </c>
      <c r="V539" s="164">
        <v>0</v>
      </c>
      <c r="W539" s="164">
        <v>0</v>
      </c>
      <c r="X539" s="81">
        <v>0</v>
      </c>
      <c r="Y539" s="78">
        <v>0</v>
      </c>
      <c r="Z539" s="164">
        <f t="shared" si="374"/>
        <v>0</v>
      </c>
      <c r="AA539" s="164">
        <v>0</v>
      </c>
      <c r="AB539" s="164">
        <v>0</v>
      </c>
      <c r="AC539" s="81">
        <v>0</v>
      </c>
      <c r="AD539" s="135"/>
    </row>
    <row r="540" spans="1:30" s="147" customFormat="1" ht="27" customHeight="1" outlineLevel="1" x14ac:dyDescent="0.2">
      <c r="A540" s="153" t="s">
        <v>1607</v>
      </c>
      <c r="B540" s="166" t="s">
        <v>303</v>
      </c>
      <c r="C540" s="78">
        <f t="shared" si="372"/>
        <v>0</v>
      </c>
      <c r="D540" s="164">
        <f t="shared" si="372"/>
        <v>0</v>
      </c>
      <c r="E540" s="117">
        <v>0</v>
      </c>
      <c r="F540" s="165">
        <f t="shared" si="373"/>
        <v>0</v>
      </c>
      <c r="G540" s="164">
        <v>0</v>
      </c>
      <c r="H540" s="164">
        <v>0</v>
      </c>
      <c r="I540" s="164">
        <v>0</v>
      </c>
      <c r="J540" s="117">
        <v>0</v>
      </c>
      <c r="K540" s="165">
        <f t="shared" si="371"/>
        <v>0</v>
      </c>
      <c r="L540" s="164">
        <v>0</v>
      </c>
      <c r="M540" s="164">
        <v>0</v>
      </c>
      <c r="N540" s="164">
        <v>0</v>
      </c>
      <c r="O540" s="78">
        <v>0</v>
      </c>
      <c r="P540" s="164">
        <f t="shared" si="365"/>
        <v>0</v>
      </c>
      <c r="Q540" s="164">
        <v>0</v>
      </c>
      <c r="R540" s="164">
        <v>0</v>
      </c>
      <c r="S540" s="81">
        <v>0</v>
      </c>
      <c r="T540" s="78">
        <v>0</v>
      </c>
      <c r="U540" s="164">
        <v>0</v>
      </c>
      <c r="V540" s="164">
        <v>0</v>
      </c>
      <c r="W540" s="164">
        <v>0</v>
      </c>
      <c r="X540" s="81">
        <v>0</v>
      </c>
      <c r="Y540" s="78">
        <v>0</v>
      </c>
      <c r="Z540" s="164">
        <f t="shared" si="374"/>
        <v>0</v>
      </c>
      <c r="AA540" s="164">
        <v>0</v>
      </c>
      <c r="AB540" s="164">
        <v>0</v>
      </c>
      <c r="AC540" s="81">
        <v>0</v>
      </c>
      <c r="AD540" s="135"/>
    </row>
    <row r="541" spans="1:30" s="147" customFormat="1" ht="27" customHeight="1" outlineLevel="1" x14ac:dyDescent="0.2">
      <c r="A541" s="153" t="s">
        <v>1608</v>
      </c>
      <c r="B541" s="166" t="s">
        <v>304</v>
      </c>
      <c r="C541" s="78">
        <f t="shared" si="372"/>
        <v>0</v>
      </c>
      <c r="D541" s="164">
        <f t="shared" si="372"/>
        <v>0</v>
      </c>
      <c r="E541" s="117">
        <v>0</v>
      </c>
      <c r="F541" s="165">
        <f t="shared" si="373"/>
        <v>0</v>
      </c>
      <c r="G541" s="164">
        <v>0</v>
      </c>
      <c r="H541" s="164">
        <v>0</v>
      </c>
      <c r="I541" s="164">
        <v>0</v>
      </c>
      <c r="J541" s="117">
        <v>0</v>
      </c>
      <c r="K541" s="165">
        <f t="shared" si="371"/>
        <v>0</v>
      </c>
      <c r="L541" s="164">
        <v>0</v>
      </c>
      <c r="M541" s="164">
        <v>0</v>
      </c>
      <c r="N541" s="164">
        <v>0</v>
      </c>
      <c r="O541" s="78">
        <v>0</v>
      </c>
      <c r="P541" s="164">
        <f t="shared" si="365"/>
        <v>0</v>
      </c>
      <c r="Q541" s="164">
        <v>0</v>
      </c>
      <c r="R541" s="164">
        <v>0</v>
      </c>
      <c r="S541" s="81">
        <v>0</v>
      </c>
      <c r="T541" s="78">
        <v>0</v>
      </c>
      <c r="U541" s="164">
        <v>0</v>
      </c>
      <c r="V541" s="164">
        <v>0</v>
      </c>
      <c r="W541" s="164">
        <v>0</v>
      </c>
      <c r="X541" s="81">
        <v>0</v>
      </c>
      <c r="Y541" s="78">
        <v>0</v>
      </c>
      <c r="Z541" s="164">
        <f t="shared" si="374"/>
        <v>0</v>
      </c>
      <c r="AA541" s="164">
        <v>0</v>
      </c>
      <c r="AB541" s="164">
        <v>0</v>
      </c>
      <c r="AC541" s="81">
        <v>0</v>
      </c>
      <c r="AD541" s="135"/>
    </row>
    <row r="542" spans="1:30" s="147" customFormat="1" ht="28.9" customHeight="1" outlineLevel="1" x14ac:dyDescent="0.2">
      <c r="A542" s="153" t="s">
        <v>1609</v>
      </c>
      <c r="B542" s="166" t="s">
        <v>305</v>
      </c>
      <c r="C542" s="78">
        <f t="shared" si="372"/>
        <v>0</v>
      </c>
      <c r="D542" s="164">
        <f t="shared" si="372"/>
        <v>0</v>
      </c>
      <c r="E542" s="117">
        <v>0</v>
      </c>
      <c r="F542" s="165">
        <f t="shared" si="373"/>
        <v>0</v>
      </c>
      <c r="G542" s="164">
        <v>0</v>
      </c>
      <c r="H542" s="164">
        <v>0</v>
      </c>
      <c r="I542" s="164">
        <v>0</v>
      </c>
      <c r="J542" s="117">
        <v>0</v>
      </c>
      <c r="K542" s="165">
        <f t="shared" si="371"/>
        <v>0</v>
      </c>
      <c r="L542" s="164">
        <v>0</v>
      </c>
      <c r="M542" s="164">
        <v>0</v>
      </c>
      <c r="N542" s="164">
        <v>0</v>
      </c>
      <c r="O542" s="78">
        <v>0</v>
      </c>
      <c r="P542" s="164">
        <f t="shared" si="365"/>
        <v>0</v>
      </c>
      <c r="Q542" s="164">
        <v>0</v>
      </c>
      <c r="R542" s="164">
        <v>0</v>
      </c>
      <c r="S542" s="81">
        <v>0</v>
      </c>
      <c r="T542" s="78">
        <v>0</v>
      </c>
      <c r="U542" s="164">
        <v>0</v>
      </c>
      <c r="V542" s="164">
        <v>0</v>
      </c>
      <c r="W542" s="164">
        <v>0</v>
      </c>
      <c r="X542" s="81">
        <v>0</v>
      </c>
      <c r="Y542" s="78">
        <v>0</v>
      </c>
      <c r="Z542" s="164">
        <f t="shared" si="374"/>
        <v>0</v>
      </c>
      <c r="AA542" s="164">
        <v>0</v>
      </c>
      <c r="AB542" s="164">
        <v>0</v>
      </c>
      <c r="AC542" s="81">
        <v>0</v>
      </c>
      <c r="AD542" s="135"/>
    </row>
    <row r="543" spans="1:30" s="147" customFormat="1" ht="25.5" customHeight="1" outlineLevel="1" x14ac:dyDescent="0.2">
      <c r="A543" s="153" t="s">
        <v>1610</v>
      </c>
      <c r="B543" s="166" t="s">
        <v>306</v>
      </c>
      <c r="C543" s="78">
        <f t="shared" si="372"/>
        <v>0</v>
      </c>
      <c r="D543" s="164">
        <f t="shared" si="372"/>
        <v>0</v>
      </c>
      <c r="E543" s="117">
        <v>0</v>
      </c>
      <c r="F543" s="165">
        <f t="shared" si="373"/>
        <v>0</v>
      </c>
      <c r="G543" s="164">
        <v>0</v>
      </c>
      <c r="H543" s="164">
        <v>0</v>
      </c>
      <c r="I543" s="164">
        <v>0</v>
      </c>
      <c r="J543" s="117">
        <v>0</v>
      </c>
      <c r="K543" s="165">
        <f t="shared" si="371"/>
        <v>0</v>
      </c>
      <c r="L543" s="164">
        <v>0</v>
      </c>
      <c r="M543" s="164">
        <v>0</v>
      </c>
      <c r="N543" s="164">
        <v>0</v>
      </c>
      <c r="O543" s="78">
        <v>0</v>
      </c>
      <c r="P543" s="164">
        <f t="shared" si="365"/>
        <v>0</v>
      </c>
      <c r="Q543" s="164">
        <v>0</v>
      </c>
      <c r="R543" s="164">
        <v>0</v>
      </c>
      <c r="S543" s="81">
        <v>0</v>
      </c>
      <c r="T543" s="78">
        <v>0</v>
      </c>
      <c r="U543" s="164">
        <v>0</v>
      </c>
      <c r="V543" s="164">
        <v>0</v>
      </c>
      <c r="W543" s="164">
        <v>0</v>
      </c>
      <c r="X543" s="81">
        <v>0</v>
      </c>
      <c r="Y543" s="78">
        <v>0</v>
      </c>
      <c r="Z543" s="164">
        <f t="shared" si="374"/>
        <v>0</v>
      </c>
      <c r="AA543" s="164">
        <v>0</v>
      </c>
      <c r="AB543" s="164">
        <v>0</v>
      </c>
      <c r="AC543" s="81">
        <v>0</v>
      </c>
      <c r="AD543" s="135"/>
    </row>
    <row r="544" spans="1:30" s="147" customFormat="1" ht="18" customHeight="1" outlineLevel="1" x14ac:dyDescent="0.2">
      <c r="A544" s="153" t="s">
        <v>1611</v>
      </c>
      <c r="B544" s="166" t="s">
        <v>307</v>
      </c>
      <c r="C544" s="78">
        <f t="shared" si="372"/>
        <v>0</v>
      </c>
      <c r="D544" s="164">
        <f t="shared" si="372"/>
        <v>0</v>
      </c>
      <c r="E544" s="117">
        <v>0</v>
      </c>
      <c r="F544" s="165">
        <f t="shared" si="373"/>
        <v>0</v>
      </c>
      <c r="G544" s="164">
        <v>0</v>
      </c>
      <c r="H544" s="164">
        <v>0</v>
      </c>
      <c r="I544" s="164">
        <v>0</v>
      </c>
      <c r="J544" s="117">
        <v>0</v>
      </c>
      <c r="K544" s="165">
        <f t="shared" si="371"/>
        <v>0</v>
      </c>
      <c r="L544" s="164">
        <v>0</v>
      </c>
      <c r="M544" s="164">
        <v>0</v>
      </c>
      <c r="N544" s="164">
        <v>0</v>
      </c>
      <c r="O544" s="78">
        <v>0</v>
      </c>
      <c r="P544" s="164">
        <f t="shared" si="365"/>
        <v>0</v>
      </c>
      <c r="Q544" s="164">
        <v>0</v>
      </c>
      <c r="R544" s="164">
        <v>0</v>
      </c>
      <c r="S544" s="81">
        <v>0</v>
      </c>
      <c r="T544" s="78">
        <v>0</v>
      </c>
      <c r="U544" s="164">
        <v>0</v>
      </c>
      <c r="V544" s="164">
        <v>0</v>
      </c>
      <c r="W544" s="164">
        <v>0</v>
      </c>
      <c r="X544" s="81">
        <v>0</v>
      </c>
      <c r="Y544" s="78">
        <v>0</v>
      </c>
      <c r="Z544" s="164">
        <f t="shared" si="374"/>
        <v>0</v>
      </c>
      <c r="AA544" s="164">
        <v>0</v>
      </c>
      <c r="AB544" s="164">
        <v>0</v>
      </c>
      <c r="AC544" s="81">
        <v>0</v>
      </c>
      <c r="AD544" s="135"/>
    </row>
    <row r="545" spans="1:31" s="147" customFormat="1" ht="17.25" customHeight="1" outlineLevel="1" x14ac:dyDescent="0.2">
      <c r="A545" s="153" t="s">
        <v>1612</v>
      </c>
      <c r="B545" s="166" t="s">
        <v>288</v>
      </c>
      <c r="C545" s="78">
        <f t="shared" si="372"/>
        <v>0</v>
      </c>
      <c r="D545" s="164">
        <f t="shared" si="372"/>
        <v>0</v>
      </c>
      <c r="E545" s="117">
        <v>0</v>
      </c>
      <c r="F545" s="165">
        <f t="shared" si="373"/>
        <v>0</v>
      </c>
      <c r="G545" s="164">
        <v>0</v>
      </c>
      <c r="H545" s="164">
        <v>0</v>
      </c>
      <c r="I545" s="164">
        <v>0</v>
      </c>
      <c r="J545" s="117">
        <v>0</v>
      </c>
      <c r="K545" s="165">
        <f t="shared" si="371"/>
        <v>0</v>
      </c>
      <c r="L545" s="164">
        <v>0</v>
      </c>
      <c r="M545" s="164">
        <v>0</v>
      </c>
      <c r="N545" s="164">
        <v>0</v>
      </c>
      <c r="O545" s="78">
        <v>0</v>
      </c>
      <c r="P545" s="164">
        <f t="shared" si="365"/>
        <v>0</v>
      </c>
      <c r="Q545" s="164">
        <v>0</v>
      </c>
      <c r="R545" s="164">
        <v>0</v>
      </c>
      <c r="S545" s="81">
        <v>0</v>
      </c>
      <c r="T545" s="78">
        <v>0</v>
      </c>
      <c r="U545" s="164">
        <v>0</v>
      </c>
      <c r="V545" s="164">
        <v>0</v>
      </c>
      <c r="W545" s="164">
        <v>0</v>
      </c>
      <c r="X545" s="81">
        <v>0</v>
      </c>
      <c r="Y545" s="78">
        <v>0</v>
      </c>
      <c r="Z545" s="164">
        <f t="shared" si="374"/>
        <v>0</v>
      </c>
      <c r="AA545" s="164">
        <v>0</v>
      </c>
      <c r="AB545" s="164">
        <v>0</v>
      </c>
      <c r="AC545" s="81">
        <v>0</v>
      </c>
      <c r="AD545" s="135"/>
    </row>
    <row r="546" spans="1:31" s="147" customFormat="1" ht="25.5" customHeight="1" outlineLevel="1" x14ac:dyDescent="0.2">
      <c r="A546" s="153" t="s">
        <v>1613</v>
      </c>
      <c r="B546" s="166" t="s">
        <v>285</v>
      </c>
      <c r="C546" s="78">
        <f t="shared" si="372"/>
        <v>0</v>
      </c>
      <c r="D546" s="164">
        <f t="shared" si="372"/>
        <v>0</v>
      </c>
      <c r="E546" s="117">
        <v>0</v>
      </c>
      <c r="F546" s="165">
        <f t="shared" si="373"/>
        <v>0</v>
      </c>
      <c r="G546" s="164">
        <v>0</v>
      </c>
      <c r="H546" s="164">
        <v>0</v>
      </c>
      <c r="I546" s="164">
        <v>0</v>
      </c>
      <c r="J546" s="117">
        <v>0</v>
      </c>
      <c r="K546" s="165">
        <f t="shared" si="371"/>
        <v>0</v>
      </c>
      <c r="L546" s="164">
        <v>0</v>
      </c>
      <c r="M546" s="164">
        <v>0</v>
      </c>
      <c r="N546" s="164">
        <v>0</v>
      </c>
      <c r="O546" s="78">
        <v>0</v>
      </c>
      <c r="P546" s="164">
        <f t="shared" si="365"/>
        <v>0</v>
      </c>
      <c r="Q546" s="164">
        <v>0</v>
      </c>
      <c r="R546" s="164">
        <v>0</v>
      </c>
      <c r="S546" s="81">
        <v>0</v>
      </c>
      <c r="T546" s="78">
        <v>0</v>
      </c>
      <c r="U546" s="164">
        <v>0</v>
      </c>
      <c r="V546" s="164">
        <v>0</v>
      </c>
      <c r="W546" s="164">
        <v>0</v>
      </c>
      <c r="X546" s="81">
        <v>0</v>
      </c>
      <c r="Y546" s="78">
        <v>0</v>
      </c>
      <c r="Z546" s="164">
        <f t="shared" si="374"/>
        <v>0</v>
      </c>
      <c r="AA546" s="164">
        <v>0</v>
      </c>
      <c r="AB546" s="164">
        <v>0</v>
      </c>
      <c r="AC546" s="81">
        <v>0</v>
      </c>
      <c r="AD546" s="135"/>
    </row>
    <row r="547" spans="1:31" s="147" customFormat="1" ht="27" customHeight="1" outlineLevel="1" x14ac:dyDescent="0.2">
      <c r="A547" s="153" t="s">
        <v>1614</v>
      </c>
      <c r="B547" s="166" t="s">
        <v>286</v>
      </c>
      <c r="C547" s="78">
        <f t="shared" si="372"/>
        <v>0</v>
      </c>
      <c r="D547" s="164">
        <f t="shared" si="372"/>
        <v>0</v>
      </c>
      <c r="E547" s="117">
        <v>0</v>
      </c>
      <c r="F547" s="165">
        <f t="shared" si="373"/>
        <v>0</v>
      </c>
      <c r="G547" s="164">
        <v>0</v>
      </c>
      <c r="H547" s="164">
        <v>0</v>
      </c>
      <c r="I547" s="164">
        <v>0</v>
      </c>
      <c r="J547" s="117">
        <v>0</v>
      </c>
      <c r="K547" s="165">
        <f t="shared" si="371"/>
        <v>0</v>
      </c>
      <c r="L547" s="164">
        <v>0</v>
      </c>
      <c r="M547" s="164">
        <v>0</v>
      </c>
      <c r="N547" s="164">
        <v>0</v>
      </c>
      <c r="O547" s="78">
        <v>0</v>
      </c>
      <c r="P547" s="164">
        <f t="shared" si="365"/>
        <v>0</v>
      </c>
      <c r="Q547" s="164">
        <v>0</v>
      </c>
      <c r="R547" s="164">
        <v>0</v>
      </c>
      <c r="S547" s="81">
        <v>0</v>
      </c>
      <c r="T547" s="78">
        <v>0</v>
      </c>
      <c r="U547" s="164">
        <v>0</v>
      </c>
      <c r="V547" s="164">
        <v>0</v>
      </c>
      <c r="W547" s="164">
        <v>0</v>
      </c>
      <c r="X547" s="81">
        <v>0</v>
      </c>
      <c r="Y547" s="78">
        <v>0</v>
      </c>
      <c r="Z547" s="164">
        <f t="shared" si="374"/>
        <v>0</v>
      </c>
      <c r="AA547" s="164">
        <v>0</v>
      </c>
      <c r="AB547" s="164">
        <v>0</v>
      </c>
      <c r="AC547" s="81">
        <v>0</v>
      </c>
      <c r="AD547" s="135"/>
    </row>
    <row r="548" spans="1:31" s="147" customFormat="1" ht="18.75" customHeight="1" outlineLevel="1" x14ac:dyDescent="0.2">
      <c r="A548" s="153" t="s">
        <v>1615</v>
      </c>
      <c r="B548" s="177" t="s">
        <v>272</v>
      </c>
      <c r="C548" s="78">
        <f t="shared" si="372"/>
        <v>0</v>
      </c>
      <c r="D548" s="164">
        <f t="shared" si="372"/>
        <v>0</v>
      </c>
      <c r="E548" s="117">
        <v>0</v>
      </c>
      <c r="F548" s="165">
        <f t="shared" si="373"/>
        <v>0</v>
      </c>
      <c r="G548" s="164">
        <v>0</v>
      </c>
      <c r="H548" s="164">
        <v>0</v>
      </c>
      <c r="I548" s="164">
        <v>0</v>
      </c>
      <c r="J548" s="117">
        <v>0</v>
      </c>
      <c r="K548" s="165">
        <f>L548+M548+N548</f>
        <v>0</v>
      </c>
      <c r="L548" s="164">
        <v>0</v>
      </c>
      <c r="M548" s="164">
        <v>0</v>
      </c>
      <c r="N548" s="164">
        <v>0</v>
      </c>
      <c r="O548" s="78">
        <v>0</v>
      </c>
      <c r="P548" s="164">
        <f t="shared" si="365"/>
        <v>0</v>
      </c>
      <c r="Q548" s="164">
        <v>0</v>
      </c>
      <c r="R548" s="164">
        <v>0</v>
      </c>
      <c r="S548" s="81">
        <v>0</v>
      </c>
      <c r="T548" s="78">
        <v>0</v>
      </c>
      <c r="U548" s="164">
        <v>0</v>
      </c>
      <c r="V548" s="164">
        <v>0</v>
      </c>
      <c r="W548" s="164">
        <v>0</v>
      </c>
      <c r="X548" s="81">
        <v>0</v>
      </c>
      <c r="Y548" s="78">
        <v>0</v>
      </c>
      <c r="Z548" s="164">
        <f t="shared" si="374"/>
        <v>0</v>
      </c>
      <c r="AA548" s="164">
        <v>0</v>
      </c>
      <c r="AB548" s="164">
        <v>0</v>
      </c>
      <c r="AC548" s="81">
        <v>0</v>
      </c>
      <c r="AD548" s="135"/>
    </row>
    <row r="549" spans="1:31" s="147" customFormat="1" ht="32.25" customHeight="1" x14ac:dyDescent="0.2">
      <c r="A549" s="133"/>
      <c r="B549" s="178" t="s">
        <v>336</v>
      </c>
      <c r="C549" s="161">
        <f t="shared" ref="C549:I549" si="375">SUM(C529,C478,C471,C465)</f>
        <v>10.48</v>
      </c>
      <c r="D549" s="179">
        <f>SUM(D529,D478,D471,D465)</f>
        <v>3237</v>
      </c>
      <c r="E549" s="161">
        <f t="shared" si="375"/>
        <v>0</v>
      </c>
      <c r="F549" s="179">
        <f t="shared" si="375"/>
        <v>0</v>
      </c>
      <c r="G549" s="179">
        <f t="shared" si="375"/>
        <v>0</v>
      </c>
      <c r="H549" s="179">
        <f t="shared" si="375"/>
        <v>0</v>
      </c>
      <c r="I549" s="179">
        <f t="shared" si="375"/>
        <v>0</v>
      </c>
      <c r="J549" s="161">
        <f>SUM(J529,J478,J471,J465)</f>
        <v>2.8</v>
      </c>
      <c r="K549" s="179">
        <f t="shared" si="370"/>
        <v>1380</v>
      </c>
      <c r="L549" s="179">
        <f>SUM(L529,L478,L471,L465)</f>
        <v>0</v>
      </c>
      <c r="M549" s="179">
        <f>SUM(M529,M478,M471,M465)</f>
        <v>0</v>
      </c>
      <c r="N549" s="179">
        <f>SUM(N529,N478,N471,N465)</f>
        <v>1380</v>
      </c>
      <c r="O549" s="161">
        <f>SUM(O529,O59,O471,O465,O478)</f>
        <v>2.8</v>
      </c>
      <c r="P549" s="179">
        <f t="shared" si="365"/>
        <v>724</v>
      </c>
      <c r="Q549" s="179">
        <f>SUM(Q529,Q478,Q471,Q465)</f>
        <v>0</v>
      </c>
      <c r="R549" s="179">
        <f>SUM(R529,R478,R471,R465)</f>
        <v>0</v>
      </c>
      <c r="S549" s="179">
        <f>SUM(S529,S478,S471,S465)</f>
        <v>724</v>
      </c>
      <c r="T549" s="161">
        <f>SUM(T529,T478,T471,T465)</f>
        <v>4.88</v>
      </c>
      <c r="U549" s="162">
        <f t="shared" ref="U549:U550" si="376">V549+W549+X549</f>
        <v>1133</v>
      </c>
      <c r="V549" s="162">
        <v>0</v>
      </c>
      <c r="W549" s="162">
        <v>0</v>
      </c>
      <c r="X549" s="162">
        <f>SUM(X529,X478,X471,X465)</f>
        <v>1133</v>
      </c>
      <c r="Y549" s="161">
        <f>SUM(Y529,Y478,Y471,Y465)</f>
        <v>0</v>
      </c>
      <c r="Z549" s="179">
        <f>AA549+AB549+AC549</f>
        <v>0</v>
      </c>
      <c r="AA549" s="179">
        <f>SUM(AA529,AA478,AA471,AA465)</f>
        <v>0</v>
      </c>
      <c r="AB549" s="179">
        <f>SUM(AB529,AB478,AB471,AB465)</f>
        <v>0</v>
      </c>
      <c r="AC549" s="179">
        <f>SUM(AC529,AC478,AC471,AC465)</f>
        <v>0</v>
      </c>
      <c r="AD549" s="135"/>
    </row>
    <row r="550" spans="1:31" s="147" customFormat="1" ht="127.5" hidden="1" customHeight="1" x14ac:dyDescent="0.2">
      <c r="A550" s="133"/>
      <c r="B550" s="166" t="s">
        <v>335</v>
      </c>
      <c r="C550" s="78">
        <f t="shared" ref="C550" si="377">E550+J550+O550+T550+Y550</f>
        <v>0</v>
      </c>
      <c r="D550" s="164">
        <f t="shared" ref="D550" si="378">F550+K550+P550+U550+Z550</f>
        <v>0</v>
      </c>
      <c r="E550" s="128"/>
      <c r="F550" s="165">
        <f t="shared" ref="F550" si="379">G550+H550+I550</f>
        <v>0</v>
      </c>
      <c r="G550" s="174"/>
      <c r="H550" s="174"/>
      <c r="I550" s="174"/>
      <c r="J550" s="128"/>
      <c r="K550" s="165">
        <f t="shared" si="370"/>
        <v>0</v>
      </c>
      <c r="L550" s="174"/>
      <c r="M550" s="174"/>
      <c r="N550" s="174"/>
      <c r="O550" s="133">
        <v>0</v>
      </c>
      <c r="P550" s="165">
        <f t="shared" si="365"/>
        <v>0</v>
      </c>
      <c r="Q550" s="174"/>
      <c r="R550" s="174"/>
      <c r="S550" s="165">
        <v>0</v>
      </c>
      <c r="T550" s="133">
        <v>0</v>
      </c>
      <c r="U550" s="165">
        <f t="shared" si="376"/>
        <v>0</v>
      </c>
      <c r="V550" s="174"/>
      <c r="W550" s="174"/>
      <c r="X550" s="165">
        <v>0</v>
      </c>
      <c r="Y550" s="133">
        <v>0</v>
      </c>
      <c r="Z550" s="165">
        <f t="shared" si="374"/>
        <v>0</v>
      </c>
      <c r="AA550" s="164">
        <v>0</v>
      </c>
      <c r="AB550" s="164">
        <v>0</v>
      </c>
      <c r="AC550" s="165">
        <v>0</v>
      </c>
      <c r="AD550" s="135"/>
    </row>
    <row r="551" spans="1:31" s="147" customFormat="1" ht="66.75" customHeight="1" x14ac:dyDescent="0.2">
      <c r="A551" s="180"/>
      <c r="B551" s="151" t="s">
        <v>1616</v>
      </c>
      <c r="C551" s="128">
        <f>C463+C549</f>
        <v>34.180000000000007</v>
      </c>
      <c r="D551" s="129">
        <f>D463+D549</f>
        <v>8444</v>
      </c>
      <c r="E551" s="128">
        <f t="shared" ref="E551:H551" si="380">E463+E549</f>
        <v>13.8</v>
      </c>
      <c r="F551" s="129">
        <f t="shared" si="380"/>
        <v>2746</v>
      </c>
      <c r="G551" s="129">
        <f t="shared" si="380"/>
        <v>0</v>
      </c>
      <c r="H551" s="129">
        <f t="shared" si="380"/>
        <v>0</v>
      </c>
      <c r="I551" s="129">
        <f>I463+I549</f>
        <v>2746</v>
      </c>
      <c r="J551" s="128">
        <f>J463+J549</f>
        <v>2.8</v>
      </c>
      <c r="K551" s="129">
        <f t="shared" ref="K551:R551" si="381">K463+K549</f>
        <v>1380</v>
      </c>
      <c r="L551" s="129">
        <f t="shared" si="381"/>
        <v>0</v>
      </c>
      <c r="M551" s="129">
        <f t="shared" si="381"/>
        <v>0</v>
      </c>
      <c r="N551" s="129">
        <f t="shared" si="381"/>
        <v>1380</v>
      </c>
      <c r="O551" s="128">
        <f>O463+O549</f>
        <v>8.6999999999999993</v>
      </c>
      <c r="P551" s="129">
        <f t="shared" si="381"/>
        <v>2257</v>
      </c>
      <c r="Q551" s="129">
        <f t="shared" si="381"/>
        <v>0</v>
      </c>
      <c r="R551" s="129">
        <f t="shared" si="381"/>
        <v>0</v>
      </c>
      <c r="S551" s="129">
        <f>S463+S549</f>
        <v>2257</v>
      </c>
      <c r="T551" s="128">
        <f>T463+T549</f>
        <v>8.879999999999999</v>
      </c>
      <c r="U551" s="129">
        <f>U463+U549</f>
        <v>2061</v>
      </c>
      <c r="V551" s="129">
        <f>V463+AA549</f>
        <v>0</v>
      </c>
      <c r="W551" s="129">
        <f>W463+AB549</f>
        <v>0</v>
      </c>
      <c r="X551" s="129">
        <f t="shared" ref="X551:AC551" si="382">X463+X549</f>
        <v>2061</v>
      </c>
      <c r="Y551" s="128">
        <f>Y463+Y549</f>
        <v>0</v>
      </c>
      <c r="Z551" s="129">
        <f t="shared" si="382"/>
        <v>0</v>
      </c>
      <c r="AA551" s="129">
        <f t="shared" si="382"/>
        <v>0</v>
      </c>
      <c r="AB551" s="129">
        <f t="shared" si="382"/>
        <v>0</v>
      </c>
      <c r="AC551" s="129">
        <f t="shared" si="382"/>
        <v>0</v>
      </c>
      <c r="AD551" s="135"/>
    </row>
    <row r="552" spans="1:31" s="147" customFormat="1" ht="27.75" customHeight="1" x14ac:dyDescent="0.2">
      <c r="A552" s="152" t="s">
        <v>1073</v>
      </c>
      <c r="B552" s="369" t="s">
        <v>712</v>
      </c>
      <c r="C552" s="370"/>
      <c r="D552" s="370"/>
      <c r="E552" s="370"/>
      <c r="F552" s="370"/>
      <c r="G552" s="370"/>
      <c r="H552" s="370"/>
      <c r="I552" s="370"/>
      <c r="J552" s="370"/>
      <c r="K552" s="370"/>
      <c r="L552" s="370"/>
      <c r="M552" s="370"/>
      <c r="N552" s="370"/>
      <c r="O552" s="370"/>
      <c r="P552" s="370"/>
      <c r="Q552" s="370"/>
      <c r="R552" s="370"/>
      <c r="S552" s="370"/>
      <c r="T552" s="370"/>
      <c r="U552" s="370"/>
      <c r="V552" s="370"/>
      <c r="W552" s="370"/>
      <c r="X552" s="370"/>
      <c r="Y552" s="370"/>
      <c r="Z552" s="370"/>
      <c r="AA552" s="370"/>
      <c r="AB552" s="370"/>
      <c r="AC552" s="371"/>
      <c r="AD552" s="135"/>
    </row>
    <row r="553" spans="1:31" s="147" customFormat="1" ht="39.75" customHeight="1" x14ac:dyDescent="0.2">
      <c r="A553" s="133" t="s">
        <v>1617</v>
      </c>
      <c r="B553" s="177" t="s">
        <v>714</v>
      </c>
      <c r="C553" s="117">
        <f t="shared" ref="C553" si="383">E553+J553+O553+T553+Y553</f>
        <v>0</v>
      </c>
      <c r="D553" s="93">
        <f t="shared" ref="D553" si="384">F553+K553+P553+U553+Z553</f>
        <v>580090</v>
      </c>
      <c r="E553" s="157">
        <v>0</v>
      </c>
      <c r="F553" s="118">
        <f t="shared" ref="F553" si="385">G553+H553+I553</f>
        <v>155462</v>
      </c>
      <c r="G553" s="118">
        <v>0</v>
      </c>
      <c r="H553" s="118">
        <v>148000</v>
      </c>
      <c r="I553" s="118">
        <v>7462</v>
      </c>
      <c r="J553" s="117">
        <v>0</v>
      </c>
      <c r="K553" s="118">
        <f t="shared" ref="K553" si="386">SUM(L553:N553)</f>
        <v>212314</v>
      </c>
      <c r="L553" s="118">
        <v>0</v>
      </c>
      <c r="M553" s="118">
        <v>200000</v>
      </c>
      <c r="N553" s="118">
        <v>12314</v>
      </c>
      <c r="O553" s="117">
        <v>0</v>
      </c>
      <c r="P553" s="118">
        <f t="shared" ref="P553" si="387">Q553+R553+S553</f>
        <v>212314</v>
      </c>
      <c r="Q553" s="164">
        <v>0</v>
      </c>
      <c r="R553" s="118">
        <v>200000</v>
      </c>
      <c r="S553" s="118">
        <v>12314</v>
      </c>
      <c r="T553" s="117">
        <v>0</v>
      </c>
      <c r="U553" s="164">
        <f t="shared" ref="U553" si="388">V553+W553+X553</f>
        <v>0</v>
      </c>
      <c r="V553" s="164">
        <v>0</v>
      </c>
      <c r="W553" s="164">
        <v>0</v>
      </c>
      <c r="X553" s="164">
        <v>0</v>
      </c>
      <c r="Y553" s="117">
        <v>0</v>
      </c>
      <c r="Z553" s="164">
        <f t="shared" ref="Z553" si="389">AA553+AB553+AC553</f>
        <v>0</v>
      </c>
      <c r="AA553" s="164">
        <v>0</v>
      </c>
      <c r="AB553" s="164">
        <v>0</v>
      </c>
      <c r="AC553" s="164">
        <v>0</v>
      </c>
      <c r="AD553" s="135"/>
    </row>
    <row r="554" spans="1:31" s="147" customFormat="1" ht="88.5" customHeight="1" x14ac:dyDescent="0.2">
      <c r="A554" s="180"/>
      <c r="B554" s="151" t="s">
        <v>1618</v>
      </c>
      <c r="C554" s="128">
        <f t="shared" ref="C554" si="390">E554+J554+O554+T554+Y554</f>
        <v>0</v>
      </c>
      <c r="D554" s="104">
        <f t="shared" ref="D554" si="391">F554+K554+P554+U554+Z554</f>
        <v>580090</v>
      </c>
      <c r="E554" s="128">
        <v>0</v>
      </c>
      <c r="F554" s="104">
        <f t="shared" ref="F554" si="392">G554+H554+I554</f>
        <v>155462</v>
      </c>
      <c r="G554" s="104">
        <v>0</v>
      </c>
      <c r="H554" s="104">
        <f>H553</f>
        <v>148000</v>
      </c>
      <c r="I554" s="104">
        <f>I553</f>
        <v>7462</v>
      </c>
      <c r="J554" s="128">
        <v>0</v>
      </c>
      <c r="K554" s="129">
        <f t="shared" ref="K554" si="393">SUM(L554:N554)</f>
        <v>212314</v>
      </c>
      <c r="L554" s="129">
        <v>0</v>
      </c>
      <c r="M554" s="129">
        <v>200000</v>
      </c>
      <c r="N554" s="129">
        <v>12314</v>
      </c>
      <c r="O554" s="128">
        <v>0</v>
      </c>
      <c r="P554" s="104">
        <f t="shared" ref="P554" si="394">SUM(Q554:S554)</f>
        <v>212314</v>
      </c>
      <c r="Q554" s="104">
        <v>0</v>
      </c>
      <c r="R554" s="104">
        <f>R553</f>
        <v>200000</v>
      </c>
      <c r="S554" s="104">
        <f>S553</f>
        <v>12314</v>
      </c>
      <c r="T554" s="128">
        <v>0</v>
      </c>
      <c r="U554" s="104">
        <f t="shared" ref="U554" si="395">V554+W554+X554</f>
        <v>0</v>
      </c>
      <c r="V554" s="104">
        <v>0</v>
      </c>
      <c r="W554" s="104">
        <v>0</v>
      </c>
      <c r="X554" s="104">
        <v>0</v>
      </c>
      <c r="Y554" s="128">
        <v>0</v>
      </c>
      <c r="Z554" s="104">
        <f t="shared" ref="Z554" si="396">AA554+AB554+AC554</f>
        <v>0</v>
      </c>
      <c r="AA554" s="104">
        <v>0</v>
      </c>
      <c r="AB554" s="104">
        <v>0</v>
      </c>
      <c r="AC554" s="104">
        <v>0</v>
      </c>
      <c r="AD554" s="135"/>
    </row>
    <row r="555" spans="1:31" s="147" customFormat="1" ht="42.75" customHeight="1" x14ac:dyDescent="0.2">
      <c r="A555" s="357" t="s">
        <v>956</v>
      </c>
      <c r="B555" s="357"/>
      <c r="C555" s="357"/>
      <c r="D555" s="89">
        <f>D557-D556</f>
        <v>6385520.4000000004</v>
      </c>
      <c r="E555" s="125">
        <f t="shared" ref="E555:AB555" si="397">E557-E556</f>
        <v>426.43</v>
      </c>
      <c r="F555" s="89">
        <f>F557-F556</f>
        <v>1584835</v>
      </c>
      <c r="G555" s="89">
        <f t="shared" si="397"/>
        <v>126793</v>
      </c>
      <c r="H555" s="89">
        <f t="shared" si="397"/>
        <v>1349108</v>
      </c>
      <c r="I555" s="89">
        <f t="shared" si="397"/>
        <v>108934</v>
      </c>
      <c r="J555" s="125">
        <f t="shared" si="397"/>
        <v>492.98</v>
      </c>
      <c r="K555" s="89">
        <f>K557-K556</f>
        <v>1550012</v>
      </c>
      <c r="L555" s="89">
        <f t="shared" si="397"/>
        <v>0</v>
      </c>
      <c r="M555" s="89">
        <f t="shared" si="397"/>
        <v>1290861</v>
      </c>
      <c r="N555" s="89">
        <f t="shared" si="397"/>
        <v>259151</v>
      </c>
      <c r="O555" s="125">
        <f t="shared" si="397"/>
        <v>390.49299999999994</v>
      </c>
      <c r="P555" s="89">
        <f>P557-P556</f>
        <v>1675983</v>
      </c>
      <c r="Q555" s="89">
        <f t="shared" si="397"/>
        <v>0</v>
      </c>
      <c r="R555" s="89">
        <f t="shared" si="397"/>
        <v>1454048</v>
      </c>
      <c r="S555" s="89">
        <f t="shared" si="397"/>
        <v>221935</v>
      </c>
      <c r="T555" s="125">
        <f t="shared" si="397"/>
        <v>18.88</v>
      </c>
      <c r="U555" s="89">
        <f t="shared" si="397"/>
        <v>796677</v>
      </c>
      <c r="V555" s="89">
        <f t="shared" si="397"/>
        <v>0</v>
      </c>
      <c r="W555" s="89">
        <f t="shared" si="397"/>
        <v>700000</v>
      </c>
      <c r="X555" s="89">
        <f t="shared" si="397"/>
        <v>96677</v>
      </c>
      <c r="Y555" s="125">
        <f t="shared" si="397"/>
        <v>5.8</v>
      </c>
      <c r="Z555" s="89">
        <f t="shared" si="397"/>
        <v>778013</v>
      </c>
      <c r="AA555" s="89">
        <f t="shared" si="397"/>
        <v>0</v>
      </c>
      <c r="AB555" s="89">
        <f t="shared" si="397"/>
        <v>700000</v>
      </c>
      <c r="AC555" s="89">
        <f>AC557-AC556</f>
        <v>78013</v>
      </c>
      <c r="AD555" s="135"/>
    </row>
    <row r="556" spans="1:31" s="114" customFormat="1" ht="26.25" customHeight="1" x14ac:dyDescent="0.2">
      <c r="A556" s="358" t="s">
        <v>960</v>
      </c>
      <c r="B556" s="358"/>
      <c r="C556" s="358"/>
      <c r="D556" s="129">
        <f>F556+K556+P556+U556+Z556</f>
        <v>2572</v>
      </c>
      <c r="E556" s="128">
        <v>0</v>
      </c>
      <c r="F556" s="129">
        <f t="shared" ref="F556" si="398">G556+H556+I556</f>
        <v>988</v>
      </c>
      <c r="G556" s="129">
        <v>0</v>
      </c>
      <c r="H556" s="129">
        <v>0</v>
      </c>
      <c r="I556" s="129">
        <v>988</v>
      </c>
      <c r="J556" s="128">
        <v>0</v>
      </c>
      <c r="K556" s="129">
        <f t="shared" ref="K556" si="399">L556+M556+N556</f>
        <v>1584</v>
      </c>
      <c r="L556" s="129">
        <v>0</v>
      </c>
      <c r="M556" s="129">
        <v>0</v>
      </c>
      <c r="N556" s="129">
        <v>1584</v>
      </c>
      <c r="O556" s="128">
        <v>0</v>
      </c>
      <c r="P556" s="129">
        <f t="shared" ref="P556" si="400">Q556+R556+S556</f>
        <v>0</v>
      </c>
      <c r="Q556" s="129">
        <v>0</v>
      </c>
      <c r="R556" s="129">
        <v>0</v>
      </c>
      <c r="S556" s="129">
        <v>0</v>
      </c>
      <c r="T556" s="128">
        <v>0</v>
      </c>
      <c r="U556" s="129">
        <f t="shared" ref="U556" si="401">V556+W556+X556</f>
        <v>0</v>
      </c>
      <c r="V556" s="129">
        <v>0</v>
      </c>
      <c r="W556" s="129">
        <v>0</v>
      </c>
      <c r="X556" s="129">
        <v>0</v>
      </c>
      <c r="Y556" s="128">
        <v>0</v>
      </c>
      <c r="Z556" s="129">
        <f t="shared" ref="Z556" si="402">AA556+AB556+AC556</f>
        <v>0</v>
      </c>
      <c r="AA556" s="129">
        <v>0</v>
      </c>
      <c r="AB556" s="129">
        <v>0</v>
      </c>
      <c r="AC556" s="129">
        <v>0</v>
      </c>
      <c r="AD556" s="121"/>
      <c r="AE556" s="121"/>
    </row>
    <row r="557" spans="1:31" ht="47.25" customHeight="1" x14ac:dyDescent="0.2">
      <c r="A557" s="359" t="s">
        <v>955</v>
      </c>
      <c r="B557" s="359"/>
      <c r="C557" s="359"/>
      <c r="D557" s="89">
        <f t="shared" ref="D557:AC557" si="403">D50+D68+D95+D122+D295+D299+D551+D554+D556</f>
        <v>6388092.4000000004</v>
      </c>
      <c r="E557" s="125">
        <f t="shared" si="403"/>
        <v>426.43</v>
      </c>
      <c r="F557" s="89">
        <f t="shared" si="403"/>
        <v>1585823</v>
      </c>
      <c r="G557" s="89">
        <f t="shared" si="403"/>
        <v>126793</v>
      </c>
      <c r="H557" s="89">
        <f t="shared" si="403"/>
        <v>1349108</v>
      </c>
      <c r="I557" s="89">
        <f t="shared" si="403"/>
        <v>109922</v>
      </c>
      <c r="J557" s="125">
        <f t="shared" si="403"/>
        <v>492.98</v>
      </c>
      <c r="K557" s="89">
        <f t="shared" si="403"/>
        <v>1551596</v>
      </c>
      <c r="L557" s="89">
        <f t="shared" si="403"/>
        <v>0</v>
      </c>
      <c r="M557" s="89">
        <f t="shared" si="403"/>
        <v>1290861</v>
      </c>
      <c r="N557" s="89">
        <f t="shared" si="403"/>
        <v>260735</v>
      </c>
      <c r="O557" s="125">
        <f t="shared" si="403"/>
        <v>390.49299999999994</v>
      </c>
      <c r="P557" s="89">
        <f t="shared" si="403"/>
        <v>1675983</v>
      </c>
      <c r="Q557" s="89">
        <f t="shared" si="403"/>
        <v>0</v>
      </c>
      <c r="R557" s="89">
        <f t="shared" si="403"/>
        <v>1454048</v>
      </c>
      <c r="S557" s="89">
        <f t="shared" si="403"/>
        <v>221935</v>
      </c>
      <c r="T557" s="125">
        <f t="shared" si="403"/>
        <v>18.88</v>
      </c>
      <c r="U557" s="89">
        <f t="shared" si="403"/>
        <v>796677</v>
      </c>
      <c r="V557" s="89">
        <f t="shared" si="403"/>
        <v>0</v>
      </c>
      <c r="W557" s="89">
        <f t="shared" si="403"/>
        <v>700000</v>
      </c>
      <c r="X557" s="89">
        <f t="shared" si="403"/>
        <v>96677</v>
      </c>
      <c r="Y557" s="125">
        <f t="shared" si="403"/>
        <v>5.8</v>
      </c>
      <c r="Z557" s="89">
        <f t="shared" si="403"/>
        <v>778013</v>
      </c>
      <c r="AA557" s="89">
        <f t="shared" si="403"/>
        <v>0</v>
      </c>
      <c r="AB557" s="89">
        <f t="shared" si="403"/>
        <v>700000</v>
      </c>
      <c r="AC557" s="89">
        <f t="shared" si="403"/>
        <v>78013</v>
      </c>
    </row>
    <row r="558" spans="1:31" ht="52.15" customHeight="1" x14ac:dyDescent="0.2">
      <c r="M558" s="184"/>
      <c r="N558" s="184"/>
      <c r="O558" s="185"/>
      <c r="P558" s="186"/>
      <c r="Q558" s="186"/>
    </row>
  </sheetData>
  <mergeCells count="28">
    <mergeCell ref="A8:AC8"/>
    <mergeCell ref="B9:AC9"/>
    <mergeCell ref="B552:AC552"/>
    <mergeCell ref="B69:AC69"/>
    <mergeCell ref="B97:AC97"/>
    <mergeCell ref="B123:AC123"/>
    <mergeCell ref="B296:AC296"/>
    <mergeCell ref="B300:AC300"/>
    <mergeCell ref="A118:AC118"/>
    <mergeCell ref="A249:AC249"/>
    <mergeCell ref="B10:AC10"/>
    <mergeCell ref="B51:AC51"/>
    <mergeCell ref="A555:C555"/>
    <mergeCell ref="A556:C556"/>
    <mergeCell ref="A557:C557"/>
    <mergeCell ref="Z2:AC2"/>
    <mergeCell ref="Z1:AC1"/>
    <mergeCell ref="T5:X5"/>
    <mergeCell ref="B4:B6"/>
    <mergeCell ref="O5:S5"/>
    <mergeCell ref="E5:I5"/>
    <mergeCell ref="Y5:AC5"/>
    <mergeCell ref="C4:C6"/>
    <mergeCell ref="A3:AC3"/>
    <mergeCell ref="J5:N5"/>
    <mergeCell ref="E4:AC4"/>
    <mergeCell ref="D4:D6"/>
    <mergeCell ref="A4:A6"/>
  </mergeCells>
  <phoneticPr fontId="1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46" fitToHeight="0" orientation="landscape" r:id="rId1"/>
  <headerFooter alignWithMargins="0"/>
  <rowBreaks count="26" manualBreakCount="26">
    <brk id="19" max="28" man="1"/>
    <brk id="30" max="28" man="1"/>
    <brk id="44" max="28" man="1"/>
    <brk id="55" max="28" man="1"/>
    <brk id="63" max="28" man="1"/>
    <brk id="72" max="28" man="1"/>
    <brk id="81" max="28" man="1"/>
    <brk id="89" max="28" man="1"/>
    <brk id="103" max="28" man="1"/>
    <brk id="129" max="28" man="1"/>
    <brk id="153" max="28" man="1"/>
    <brk id="172" max="28" man="1"/>
    <brk id="186" max="28" man="1"/>
    <brk id="202" max="28" man="1"/>
    <brk id="216" max="28" man="1"/>
    <brk id="228" max="28" man="1"/>
    <brk id="244" max="28" man="1"/>
    <brk id="267" max="28" man="1"/>
    <brk id="295" max="28" man="1"/>
    <brk id="321" max="28" man="1"/>
    <brk id="352" max="28" man="1"/>
    <brk id="389" max="28" man="1"/>
    <brk id="425" max="28" man="1"/>
    <brk id="459" max="28" man="1"/>
    <brk id="493" max="28" man="1"/>
    <brk id="530" max="2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95"/>
  <sheetViews>
    <sheetView view="pageBreakPreview" topLeftCell="A49" zoomScale="70" zoomScaleSheetLayoutView="70" workbookViewId="0">
      <selection activeCell="Q50" sqref="Q50"/>
    </sheetView>
  </sheetViews>
  <sheetFormatPr defaultColWidth="9.140625" defaultRowHeight="42" customHeight="1" outlineLevelRow="1" x14ac:dyDescent="0.2"/>
  <cols>
    <col min="1" max="1" width="8.140625" customWidth="1"/>
    <col min="2" max="2" width="21.5703125" style="233" customWidth="1"/>
    <col min="3" max="3" width="19.7109375" style="39" customWidth="1"/>
    <col min="4" max="4" width="10.28515625" customWidth="1"/>
    <col min="5" max="5" width="14.28515625" style="21" customWidth="1"/>
    <col min="6" max="6" width="12.85546875" customWidth="1"/>
    <col min="7" max="7" width="13.85546875" customWidth="1"/>
    <col min="8" max="8" width="13.5703125" customWidth="1"/>
    <col min="9" max="9" width="8.85546875" customWidth="1"/>
    <col min="10" max="10" width="13.85546875" style="21" customWidth="1"/>
    <col min="11" max="11" width="13.7109375" customWidth="1"/>
    <col min="12" max="12" width="13" customWidth="1"/>
    <col min="13" max="13" width="9.140625" customWidth="1"/>
    <col min="14" max="14" width="8.42578125" customWidth="1"/>
    <col min="15" max="15" width="13.85546875" style="21" customWidth="1"/>
    <col min="16" max="16" width="11.85546875" customWidth="1"/>
    <col min="17" max="17" width="15.140625" customWidth="1"/>
    <col min="18" max="18" width="8.5703125" customWidth="1"/>
    <col min="19" max="19" width="8.42578125" customWidth="1"/>
    <col min="20" max="20" width="14.42578125" style="21" customWidth="1"/>
    <col min="21" max="21" width="14.42578125" customWidth="1"/>
    <col min="22" max="22" width="16" customWidth="1"/>
    <col min="23" max="23" width="8.5703125" customWidth="1"/>
    <col min="24" max="24" width="8.42578125" customWidth="1"/>
    <col min="25" max="25" width="13.85546875" style="21" customWidth="1"/>
    <col min="26" max="26" width="13.140625" customWidth="1"/>
    <col min="27" max="27" width="13.85546875" customWidth="1"/>
    <col min="28" max="28" width="8.5703125" customWidth="1"/>
    <col min="29" max="29" width="7.7109375" customWidth="1"/>
    <col min="30" max="30" width="15.7109375" style="71" customWidth="1"/>
    <col min="31" max="31" width="16.28515625" bestFit="1" customWidth="1"/>
    <col min="32" max="32" width="14.7109375" customWidth="1"/>
    <col min="33" max="33" width="16.28515625" customWidth="1"/>
    <col min="34" max="34" width="9.28515625" bestFit="1" customWidth="1"/>
  </cols>
  <sheetData>
    <row r="1" spans="1:34" s="24" customFormat="1" ht="82.9" customHeight="1" x14ac:dyDescent="0.25">
      <c r="A1" s="22"/>
      <c r="B1" s="189"/>
      <c r="C1" s="190"/>
      <c r="D1" s="191"/>
      <c r="E1" s="23"/>
      <c r="J1" s="25"/>
      <c r="K1" s="26"/>
      <c r="L1" s="26"/>
      <c r="M1" s="26"/>
      <c r="N1" s="26"/>
      <c r="O1"/>
      <c r="P1"/>
      <c r="Q1" s="27"/>
      <c r="R1"/>
      <c r="S1"/>
      <c r="T1"/>
      <c r="U1"/>
      <c r="V1"/>
      <c r="W1"/>
      <c r="X1"/>
      <c r="Y1" s="21"/>
      <c r="Z1"/>
      <c r="AA1" s="331" t="s">
        <v>1747</v>
      </c>
      <c r="AB1" s="331"/>
      <c r="AC1" s="331"/>
      <c r="AD1" s="331"/>
    </row>
    <row r="2" spans="1:34" s="24" customFormat="1" ht="138" customHeight="1" x14ac:dyDescent="0.25">
      <c r="A2" s="22"/>
      <c r="B2" s="189"/>
      <c r="C2" s="190"/>
      <c r="D2" s="191"/>
      <c r="E2" s="23"/>
      <c r="J2" s="25"/>
      <c r="K2" s="26"/>
      <c r="L2" s="26"/>
      <c r="M2" s="26"/>
      <c r="N2" s="26"/>
      <c r="O2"/>
      <c r="P2"/>
      <c r="Q2" s="27"/>
      <c r="R2"/>
      <c r="S2"/>
      <c r="T2"/>
      <c r="U2"/>
      <c r="V2"/>
      <c r="W2"/>
      <c r="X2"/>
      <c r="Y2" s="21"/>
      <c r="Z2"/>
      <c r="AA2" s="334" t="s">
        <v>1057</v>
      </c>
      <c r="AB2" s="334"/>
      <c r="AC2" s="334"/>
      <c r="AD2" s="334"/>
    </row>
    <row r="3" spans="1:34" ht="42" customHeight="1" x14ac:dyDescent="0.4">
      <c r="A3" s="29"/>
      <c r="B3" s="403" t="s">
        <v>689</v>
      </c>
      <c r="C3" s="403"/>
      <c r="D3" s="403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</row>
    <row r="4" spans="1:34" ht="42" customHeight="1" x14ac:dyDescent="0.2">
      <c r="A4" s="344" t="s">
        <v>124</v>
      </c>
      <c r="B4" s="312" t="s">
        <v>123</v>
      </c>
      <c r="C4" s="312" t="s">
        <v>122</v>
      </c>
      <c r="D4" s="312" t="s">
        <v>134</v>
      </c>
      <c r="E4" s="401" t="s">
        <v>121</v>
      </c>
      <c r="F4" s="401"/>
      <c r="G4" s="401"/>
      <c r="H4" s="401"/>
      <c r="I4" s="401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337" t="s">
        <v>120</v>
      </c>
    </row>
    <row r="5" spans="1:34" ht="42" customHeight="1" x14ac:dyDescent="0.2">
      <c r="A5" s="344"/>
      <c r="B5" s="385"/>
      <c r="C5" s="312"/>
      <c r="D5" s="400"/>
      <c r="E5" s="389" t="s">
        <v>119</v>
      </c>
      <c r="F5" s="389"/>
      <c r="G5" s="389"/>
      <c r="H5" s="389"/>
      <c r="I5" s="389"/>
      <c r="J5" s="389" t="s">
        <v>118</v>
      </c>
      <c r="K5" s="389"/>
      <c r="L5" s="389"/>
      <c r="M5" s="389"/>
      <c r="N5" s="389"/>
      <c r="O5" s="389" t="s">
        <v>117</v>
      </c>
      <c r="P5" s="389"/>
      <c r="Q5" s="389"/>
      <c r="R5" s="389"/>
      <c r="S5" s="389"/>
      <c r="T5" s="389" t="s">
        <v>116</v>
      </c>
      <c r="U5" s="389"/>
      <c r="V5" s="389"/>
      <c r="W5" s="389"/>
      <c r="X5" s="389"/>
      <c r="Y5" s="389" t="s">
        <v>115</v>
      </c>
      <c r="Z5" s="389"/>
      <c r="AA5" s="389"/>
      <c r="AB5" s="389"/>
      <c r="AC5" s="389"/>
      <c r="AD5" s="337"/>
    </row>
    <row r="6" spans="1:34" ht="57.6" customHeight="1" x14ac:dyDescent="0.2">
      <c r="A6" s="344"/>
      <c r="B6" s="385"/>
      <c r="C6" s="312"/>
      <c r="D6" s="400"/>
      <c r="E6" s="30" t="s">
        <v>114</v>
      </c>
      <c r="F6" s="9" t="s">
        <v>364</v>
      </c>
      <c r="G6" s="9" t="s">
        <v>365</v>
      </c>
      <c r="H6" s="9" t="s">
        <v>111</v>
      </c>
      <c r="I6" s="9" t="s">
        <v>125</v>
      </c>
      <c r="J6" s="30" t="s">
        <v>114</v>
      </c>
      <c r="K6" s="9" t="s">
        <v>364</v>
      </c>
      <c r="L6" s="9" t="s">
        <v>365</v>
      </c>
      <c r="M6" s="9" t="s">
        <v>126</v>
      </c>
      <c r="N6" s="9" t="s">
        <v>125</v>
      </c>
      <c r="O6" s="30" t="s">
        <v>114</v>
      </c>
      <c r="P6" s="9" t="s">
        <v>364</v>
      </c>
      <c r="Q6" s="9" t="s">
        <v>365</v>
      </c>
      <c r="R6" s="9" t="s">
        <v>126</v>
      </c>
      <c r="S6" s="9" t="s">
        <v>125</v>
      </c>
      <c r="T6" s="30" t="s">
        <v>114</v>
      </c>
      <c r="U6" s="9" t="s">
        <v>364</v>
      </c>
      <c r="V6" s="9" t="s">
        <v>365</v>
      </c>
      <c r="W6" s="9" t="s">
        <v>126</v>
      </c>
      <c r="X6" s="9" t="s">
        <v>125</v>
      </c>
      <c r="Y6" s="30" t="s">
        <v>114</v>
      </c>
      <c r="Z6" s="9" t="s">
        <v>364</v>
      </c>
      <c r="AA6" s="9" t="s">
        <v>365</v>
      </c>
      <c r="AB6" s="9" t="s">
        <v>126</v>
      </c>
      <c r="AC6" s="9" t="s">
        <v>125</v>
      </c>
      <c r="AD6" s="337"/>
      <c r="AE6" s="9" t="s">
        <v>113</v>
      </c>
      <c r="AF6" s="9" t="s">
        <v>112</v>
      </c>
      <c r="AG6" s="9" t="s">
        <v>126</v>
      </c>
      <c r="AH6" s="9" t="s">
        <v>125</v>
      </c>
    </row>
    <row r="7" spans="1:34" s="192" customFormat="1" ht="25.15" customHeight="1" x14ac:dyDescent="0.25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1">
        <v>28</v>
      </c>
      <c r="AC7" s="31">
        <v>29</v>
      </c>
      <c r="AD7" s="31">
        <v>30</v>
      </c>
    </row>
    <row r="8" spans="1:34" s="192" customFormat="1" ht="33" customHeight="1" x14ac:dyDescent="0.25">
      <c r="A8" s="397" t="s">
        <v>135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  <c r="AD8" s="397"/>
    </row>
    <row r="9" spans="1:34" s="192" customFormat="1" ht="34.9" customHeight="1" x14ac:dyDescent="0.25">
      <c r="A9" s="193" t="s">
        <v>1066</v>
      </c>
      <c r="B9" s="393" t="s">
        <v>109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  <c r="AA9" s="394"/>
      <c r="AB9" s="394"/>
      <c r="AC9" s="394"/>
      <c r="AD9" s="395"/>
    </row>
    <row r="10" spans="1:34" s="24" customFormat="1" ht="30" customHeight="1" x14ac:dyDescent="0.2">
      <c r="A10" s="391" t="s">
        <v>688</v>
      </c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</row>
    <row r="11" spans="1:34" s="24" customFormat="1" ht="34.9" customHeight="1" outlineLevel="1" x14ac:dyDescent="0.2">
      <c r="A11" s="392" t="s">
        <v>108</v>
      </c>
      <c r="B11" s="392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O11" s="392"/>
      <c r="P11" s="392"/>
      <c r="Q11" s="392"/>
      <c r="R11" s="392"/>
      <c r="S11" s="392"/>
      <c r="T11" s="392"/>
      <c r="U11" s="392"/>
      <c r="V11" s="392"/>
      <c r="W11" s="392"/>
      <c r="X11" s="392"/>
      <c r="Y11" s="392"/>
      <c r="Z11" s="392"/>
      <c r="AA11" s="392"/>
      <c r="AB11" s="392"/>
      <c r="AC11" s="392"/>
      <c r="AD11" s="392"/>
    </row>
    <row r="12" spans="1:34" s="24" customFormat="1" ht="31.15" customHeight="1" outlineLevel="1" x14ac:dyDescent="0.2">
      <c r="A12" s="194" t="s">
        <v>1</v>
      </c>
      <c r="B12" s="405" t="s">
        <v>1065</v>
      </c>
      <c r="C12" s="406"/>
      <c r="D12" s="406"/>
      <c r="E12" s="406"/>
      <c r="F12" s="406"/>
      <c r="G12" s="406"/>
      <c r="H12" s="406"/>
      <c r="I12" s="406"/>
      <c r="J12" s="406"/>
      <c r="K12" s="406"/>
      <c r="L12" s="406"/>
      <c r="M12" s="406"/>
      <c r="N12" s="406"/>
      <c r="O12" s="406"/>
      <c r="P12" s="406"/>
      <c r="Q12" s="406"/>
      <c r="R12" s="406"/>
      <c r="S12" s="406"/>
      <c r="T12" s="406"/>
      <c r="U12" s="406"/>
      <c r="V12" s="406"/>
      <c r="W12" s="406"/>
      <c r="X12" s="406"/>
      <c r="Y12" s="406"/>
      <c r="Z12" s="406"/>
      <c r="AA12" s="406"/>
      <c r="AB12" s="406"/>
      <c r="AC12" s="406"/>
      <c r="AD12" s="407"/>
    </row>
    <row r="13" spans="1:34" s="39" customFormat="1" ht="88.15" customHeight="1" outlineLevel="1" x14ac:dyDescent="0.2">
      <c r="A13" s="195" t="s">
        <v>8</v>
      </c>
      <c r="B13" s="196" t="s">
        <v>571</v>
      </c>
      <c r="C13" s="9" t="s">
        <v>95</v>
      </c>
      <c r="D13" s="197" t="s">
        <v>861</v>
      </c>
      <c r="E13" s="198">
        <f t="shared" ref="E13:E17" si="0">F13+G13+H13+I13</f>
        <v>67429</v>
      </c>
      <c r="F13" s="199">
        <f>67429</f>
        <v>67429</v>
      </c>
      <c r="G13" s="199">
        <v>0</v>
      </c>
      <c r="H13" s="199">
        <v>0</v>
      </c>
      <c r="I13" s="199">
        <v>0</v>
      </c>
      <c r="J13" s="198">
        <f t="shared" ref="J13" si="1">K13+L13+M13+N13</f>
        <v>19781</v>
      </c>
      <c r="K13" s="199">
        <f>6885+12896</f>
        <v>19781</v>
      </c>
      <c r="L13" s="199">
        <v>0</v>
      </c>
      <c r="M13" s="199">
        <v>0</v>
      </c>
      <c r="N13" s="199">
        <v>0</v>
      </c>
      <c r="O13" s="198">
        <f t="shared" ref="O13:O19" si="2">SUM(P13:S13)</f>
        <v>361</v>
      </c>
      <c r="P13" s="199">
        <f>30758-12896-17501</f>
        <v>361</v>
      </c>
      <c r="Q13" s="199">
        <v>0</v>
      </c>
      <c r="R13" s="199">
        <v>0</v>
      </c>
      <c r="S13" s="199">
        <v>0</v>
      </c>
      <c r="T13" s="198">
        <f t="shared" ref="T13:T19" si="3">SUM(U13:X13)</f>
        <v>8359</v>
      </c>
      <c r="U13" s="199">
        <f>30758-22399</f>
        <v>8359</v>
      </c>
      <c r="V13" s="199">
        <v>0</v>
      </c>
      <c r="W13" s="199">
        <v>0</v>
      </c>
      <c r="X13" s="199">
        <v>0</v>
      </c>
      <c r="Y13" s="198">
        <f t="shared" ref="Y13:Y19" si="4">SUM(Z13:AC13)</f>
        <v>34182</v>
      </c>
      <c r="Z13" s="199">
        <v>34182</v>
      </c>
      <c r="AA13" s="199">
        <v>0</v>
      </c>
      <c r="AB13" s="199">
        <v>0</v>
      </c>
      <c r="AC13" s="199">
        <v>0</v>
      </c>
      <c r="AD13" s="198">
        <f t="shared" ref="AD13:AD18" si="5">E13+J13+O13+T13+Y13</f>
        <v>130112</v>
      </c>
    </row>
    <row r="14" spans="1:34" s="39" customFormat="1" ht="117" customHeight="1" outlineLevel="1" x14ac:dyDescent="0.2">
      <c r="A14" s="200" t="s">
        <v>25</v>
      </c>
      <c r="B14" s="196" t="s">
        <v>848</v>
      </c>
      <c r="C14" s="9" t="s">
        <v>95</v>
      </c>
      <c r="D14" s="201" t="s">
        <v>860</v>
      </c>
      <c r="E14" s="198">
        <f t="shared" si="0"/>
        <v>1235</v>
      </c>
      <c r="F14" s="199">
        <v>1235</v>
      </c>
      <c r="G14" s="199">
        <v>0</v>
      </c>
      <c r="H14" s="199">
        <v>0</v>
      </c>
      <c r="I14" s="199">
        <v>0</v>
      </c>
      <c r="J14" s="198">
        <f t="shared" ref="J14:J18" si="6">K14+L14+M14+N14</f>
        <v>741</v>
      </c>
      <c r="K14" s="199">
        <v>741</v>
      </c>
      <c r="L14" s="199">
        <v>0</v>
      </c>
      <c r="M14" s="199">
        <v>0</v>
      </c>
      <c r="N14" s="199">
        <v>0</v>
      </c>
      <c r="O14" s="198">
        <f t="shared" si="2"/>
        <v>0</v>
      </c>
      <c r="P14" s="199">
        <v>0</v>
      </c>
      <c r="Q14" s="199">
        <v>0</v>
      </c>
      <c r="R14" s="199">
        <v>0</v>
      </c>
      <c r="S14" s="199">
        <v>0</v>
      </c>
      <c r="T14" s="198">
        <f t="shared" si="3"/>
        <v>0</v>
      </c>
      <c r="U14" s="199">
        <v>0</v>
      </c>
      <c r="V14" s="199">
        <v>0</v>
      </c>
      <c r="W14" s="199">
        <v>0</v>
      </c>
      <c r="X14" s="199">
        <v>0</v>
      </c>
      <c r="Y14" s="198">
        <f t="shared" si="4"/>
        <v>0</v>
      </c>
      <c r="Z14" s="199">
        <v>0</v>
      </c>
      <c r="AA14" s="199">
        <v>0</v>
      </c>
      <c r="AB14" s="199">
        <v>0</v>
      </c>
      <c r="AC14" s="199">
        <v>0</v>
      </c>
      <c r="AD14" s="198">
        <f t="shared" si="5"/>
        <v>1976</v>
      </c>
    </row>
    <row r="15" spans="1:34" ht="99" customHeight="1" outlineLevel="1" x14ac:dyDescent="0.2">
      <c r="A15" s="200" t="s">
        <v>37</v>
      </c>
      <c r="B15" s="196" t="s">
        <v>106</v>
      </c>
      <c r="C15" s="9" t="s">
        <v>95</v>
      </c>
      <c r="D15" s="202" t="s">
        <v>91</v>
      </c>
      <c r="E15" s="198">
        <f t="shared" si="0"/>
        <v>1644</v>
      </c>
      <c r="F15" s="199">
        <v>1644</v>
      </c>
      <c r="G15" s="199">
        <v>0</v>
      </c>
      <c r="H15" s="199">
        <v>0</v>
      </c>
      <c r="I15" s="199">
        <v>0</v>
      </c>
      <c r="J15" s="198">
        <f t="shared" si="6"/>
        <v>1472</v>
      </c>
      <c r="K15" s="199">
        <v>1472</v>
      </c>
      <c r="L15" s="199">
        <v>0</v>
      </c>
      <c r="M15" s="199">
        <v>0</v>
      </c>
      <c r="N15" s="199">
        <v>0</v>
      </c>
      <c r="O15" s="198">
        <f t="shared" si="2"/>
        <v>2763</v>
      </c>
      <c r="P15" s="199">
        <f>1368-668+1946+117</f>
        <v>2763</v>
      </c>
      <c r="Q15" s="199">
        <v>0</v>
      </c>
      <c r="R15" s="199">
        <v>0</v>
      </c>
      <c r="S15" s="199">
        <v>0</v>
      </c>
      <c r="T15" s="198">
        <f t="shared" si="3"/>
        <v>4600</v>
      </c>
      <c r="U15" s="199">
        <f>1368+3232</f>
        <v>4600</v>
      </c>
      <c r="V15" s="199">
        <v>0</v>
      </c>
      <c r="W15" s="199">
        <v>0</v>
      </c>
      <c r="X15" s="199">
        <v>0</v>
      </c>
      <c r="Y15" s="198">
        <f t="shared" si="4"/>
        <v>4463</v>
      </c>
      <c r="Z15" s="199">
        <v>4463</v>
      </c>
      <c r="AA15" s="199">
        <v>0</v>
      </c>
      <c r="AB15" s="199">
        <v>0</v>
      </c>
      <c r="AC15" s="199">
        <v>0</v>
      </c>
      <c r="AD15" s="198">
        <f t="shared" si="5"/>
        <v>14942</v>
      </c>
    </row>
    <row r="16" spans="1:34" ht="94.9" customHeight="1" outlineLevel="1" x14ac:dyDescent="0.2">
      <c r="A16" s="200" t="s">
        <v>1074</v>
      </c>
      <c r="B16" s="196" t="s">
        <v>706</v>
      </c>
      <c r="C16" s="9" t="s">
        <v>105</v>
      </c>
      <c r="D16" s="201" t="s">
        <v>91</v>
      </c>
      <c r="E16" s="198">
        <f t="shared" si="0"/>
        <v>1020</v>
      </c>
      <c r="F16" s="199">
        <v>1020</v>
      </c>
      <c r="G16" s="199">
        <v>0</v>
      </c>
      <c r="H16" s="199">
        <v>0</v>
      </c>
      <c r="I16" s="199">
        <v>0</v>
      </c>
      <c r="J16" s="198">
        <f>K16+L16+M16+N16</f>
        <v>1570</v>
      </c>
      <c r="K16" s="199">
        <f>1286+283+1</f>
        <v>1570</v>
      </c>
      <c r="L16" s="199">
        <v>0</v>
      </c>
      <c r="M16" s="199">
        <v>0</v>
      </c>
      <c r="N16" s="199">
        <v>0</v>
      </c>
      <c r="O16" s="198">
        <f t="shared" si="2"/>
        <v>932</v>
      </c>
      <c r="P16" s="199">
        <f>94+838</f>
        <v>932</v>
      </c>
      <c r="Q16" s="199">
        <v>0</v>
      </c>
      <c r="R16" s="199">
        <v>0</v>
      </c>
      <c r="S16" s="199">
        <v>0</v>
      </c>
      <c r="T16" s="198">
        <f t="shared" si="3"/>
        <v>14338</v>
      </c>
      <c r="U16" s="199">
        <v>14338</v>
      </c>
      <c r="V16" s="199">
        <v>0</v>
      </c>
      <c r="W16" s="199">
        <v>0</v>
      </c>
      <c r="X16" s="199">
        <v>0</v>
      </c>
      <c r="Y16" s="198">
        <f t="shared" si="4"/>
        <v>632</v>
      </c>
      <c r="Z16" s="199">
        <v>632</v>
      </c>
      <c r="AA16" s="199">
        <v>0</v>
      </c>
      <c r="AB16" s="199">
        <v>0</v>
      </c>
      <c r="AC16" s="199">
        <v>0</v>
      </c>
      <c r="AD16" s="198">
        <f t="shared" si="5"/>
        <v>18492</v>
      </c>
    </row>
    <row r="17" spans="1:30" ht="96" customHeight="1" outlineLevel="1" x14ac:dyDescent="0.2">
      <c r="A17" s="200" t="s">
        <v>1075</v>
      </c>
      <c r="B17" s="196" t="s">
        <v>104</v>
      </c>
      <c r="C17" s="9" t="s">
        <v>95</v>
      </c>
      <c r="D17" s="202" t="s">
        <v>1628</v>
      </c>
      <c r="E17" s="198">
        <f t="shared" si="0"/>
        <v>8411</v>
      </c>
      <c r="F17" s="199">
        <v>8411</v>
      </c>
      <c r="G17" s="199">
        <v>0</v>
      </c>
      <c r="H17" s="199">
        <v>0</v>
      </c>
      <c r="I17" s="199">
        <v>0</v>
      </c>
      <c r="J17" s="203">
        <f t="shared" si="6"/>
        <v>3081</v>
      </c>
      <c r="K17" s="204">
        <f>7310-5219+841+153-4</f>
        <v>3081</v>
      </c>
      <c r="L17" s="199">
        <v>0</v>
      </c>
      <c r="M17" s="199">
        <v>0</v>
      </c>
      <c r="N17" s="199">
        <v>0</v>
      </c>
      <c r="O17" s="198">
        <f t="shared" si="2"/>
        <v>1912</v>
      </c>
      <c r="P17" s="199">
        <f>8219-6307</f>
        <v>1912</v>
      </c>
      <c r="Q17" s="199">
        <v>0</v>
      </c>
      <c r="R17" s="199">
        <v>0</v>
      </c>
      <c r="S17" s="199">
        <v>0</v>
      </c>
      <c r="T17" s="198">
        <f t="shared" si="3"/>
        <v>0</v>
      </c>
      <c r="U17" s="199">
        <v>0</v>
      </c>
      <c r="V17" s="199">
        <v>0</v>
      </c>
      <c r="W17" s="199">
        <v>0</v>
      </c>
      <c r="X17" s="199">
        <v>0</v>
      </c>
      <c r="Y17" s="198">
        <f t="shared" si="4"/>
        <v>0</v>
      </c>
      <c r="Z17" s="199">
        <v>0</v>
      </c>
      <c r="AA17" s="199">
        <v>0</v>
      </c>
      <c r="AB17" s="199">
        <v>0</v>
      </c>
      <c r="AC17" s="199">
        <v>0</v>
      </c>
      <c r="AD17" s="198">
        <f t="shared" si="5"/>
        <v>13404</v>
      </c>
    </row>
    <row r="18" spans="1:30" ht="135.75" customHeight="1" outlineLevel="1" x14ac:dyDescent="0.2">
      <c r="A18" s="200" t="s">
        <v>1076</v>
      </c>
      <c r="B18" s="196" t="s">
        <v>709</v>
      </c>
      <c r="C18" s="9" t="s">
        <v>95</v>
      </c>
      <c r="D18" s="201" t="s">
        <v>91</v>
      </c>
      <c r="E18" s="198">
        <f>F18+G18+H18+I18</f>
        <v>817</v>
      </c>
      <c r="F18" s="199">
        <v>817</v>
      </c>
      <c r="G18" s="199">
        <v>0</v>
      </c>
      <c r="H18" s="199">
        <v>0</v>
      </c>
      <c r="I18" s="199">
        <v>0</v>
      </c>
      <c r="J18" s="198">
        <f t="shared" si="6"/>
        <v>2512</v>
      </c>
      <c r="K18" s="199">
        <f>1695+817</f>
        <v>2512</v>
      </c>
      <c r="L18" s="199">
        <v>0</v>
      </c>
      <c r="M18" s="199">
        <v>0</v>
      </c>
      <c r="N18" s="199">
        <v>0</v>
      </c>
      <c r="O18" s="198">
        <f t="shared" si="2"/>
        <v>5558</v>
      </c>
      <c r="P18" s="199">
        <f>615+578+1853+2512</f>
        <v>5558</v>
      </c>
      <c r="Q18" s="199">
        <v>0</v>
      </c>
      <c r="R18" s="199">
        <v>0</v>
      </c>
      <c r="S18" s="199">
        <v>0</v>
      </c>
      <c r="T18" s="198">
        <f t="shared" si="3"/>
        <v>3573</v>
      </c>
      <c r="U18" s="199">
        <v>3573</v>
      </c>
      <c r="V18" s="199">
        <v>0</v>
      </c>
      <c r="W18" s="199">
        <v>0</v>
      </c>
      <c r="X18" s="199">
        <v>0</v>
      </c>
      <c r="Y18" s="198">
        <f t="shared" si="4"/>
        <v>3719</v>
      </c>
      <c r="Z18" s="199">
        <v>3719</v>
      </c>
      <c r="AA18" s="199">
        <v>0</v>
      </c>
      <c r="AB18" s="199">
        <v>0</v>
      </c>
      <c r="AC18" s="199">
        <v>0</v>
      </c>
      <c r="AD18" s="198">
        <f t="shared" si="5"/>
        <v>16179</v>
      </c>
    </row>
    <row r="19" spans="1:30" ht="135.75" customHeight="1" outlineLevel="1" x14ac:dyDescent="0.2">
      <c r="A19" s="200" t="s">
        <v>1077</v>
      </c>
      <c r="B19" s="196" t="s">
        <v>859</v>
      </c>
      <c r="C19" s="9" t="s">
        <v>107</v>
      </c>
      <c r="D19" s="201" t="s">
        <v>1632</v>
      </c>
      <c r="E19" s="198">
        <f t="shared" ref="E19" si="7">F19+G19+H19+I19</f>
        <v>0</v>
      </c>
      <c r="F19" s="199">
        <v>0</v>
      </c>
      <c r="G19" s="199">
        <v>0</v>
      </c>
      <c r="H19" s="199">
        <v>0</v>
      </c>
      <c r="I19" s="199">
        <v>0</v>
      </c>
      <c r="J19" s="198">
        <f t="shared" ref="J19" si="8">K19+L19+M19+N19</f>
        <v>0</v>
      </c>
      <c r="K19" s="199">
        <f>8629-8629</f>
        <v>0</v>
      </c>
      <c r="L19" s="199">
        <v>0</v>
      </c>
      <c r="M19" s="199">
        <v>0</v>
      </c>
      <c r="N19" s="199">
        <v>0</v>
      </c>
      <c r="O19" s="198">
        <f t="shared" si="2"/>
        <v>10733</v>
      </c>
      <c r="P19" s="199">
        <v>10733</v>
      </c>
      <c r="Q19" s="199">
        <v>0</v>
      </c>
      <c r="R19" s="199">
        <v>0</v>
      </c>
      <c r="S19" s="199">
        <v>0</v>
      </c>
      <c r="T19" s="198">
        <f t="shared" si="3"/>
        <v>0</v>
      </c>
      <c r="U19" s="199">
        <v>0</v>
      </c>
      <c r="V19" s="199">
        <v>0</v>
      </c>
      <c r="W19" s="199">
        <v>0</v>
      </c>
      <c r="X19" s="199">
        <v>0</v>
      </c>
      <c r="Y19" s="198">
        <f t="shared" si="4"/>
        <v>0</v>
      </c>
      <c r="Z19" s="199">
        <v>0</v>
      </c>
      <c r="AA19" s="199">
        <v>0</v>
      </c>
      <c r="AB19" s="199">
        <v>0</v>
      </c>
      <c r="AC19" s="199">
        <v>0</v>
      </c>
      <c r="AD19" s="198">
        <f t="shared" ref="AD19" si="9">E19+J19+O19+T19+Y19</f>
        <v>10733</v>
      </c>
    </row>
    <row r="20" spans="1:30" ht="40.9" customHeight="1" outlineLevel="1" x14ac:dyDescent="0.2">
      <c r="A20" s="193" t="s">
        <v>10</v>
      </c>
      <c r="B20" s="393" t="s">
        <v>1078</v>
      </c>
      <c r="C20" s="394"/>
      <c r="D20" s="394"/>
      <c r="E20" s="394"/>
      <c r="F20" s="394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5"/>
    </row>
    <row r="21" spans="1:30" ht="118.9" customHeight="1" outlineLevel="1" x14ac:dyDescent="0.2">
      <c r="A21" s="195" t="s">
        <v>11</v>
      </c>
      <c r="B21" s="196" t="s">
        <v>598</v>
      </c>
      <c r="C21" s="9" t="s">
        <v>107</v>
      </c>
      <c r="D21" s="197" t="s">
        <v>604</v>
      </c>
      <c r="E21" s="198">
        <f>SUM(F21:I21)</f>
        <v>51269</v>
      </c>
      <c r="F21" s="199">
        <f>46195+1408+1630+2036</f>
        <v>51269</v>
      </c>
      <c r="G21" s="199">
        <v>0</v>
      </c>
      <c r="H21" s="199">
        <v>0</v>
      </c>
      <c r="I21" s="199">
        <v>0</v>
      </c>
      <c r="J21" s="198">
        <f>SUM(K21:N21)</f>
        <v>13924</v>
      </c>
      <c r="K21" s="199">
        <f>11888+2036</f>
        <v>13924</v>
      </c>
      <c r="L21" s="199">
        <v>0</v>
      </c>
      <c r="M21" s="199">
        <v>0</v>
      </c>
      <c r="N21" s="199">
        <v>0</v>
      </c>
      <c r="O21" s="198">
        <f t="shared" ref="O21:O30" si="10">SUM(P21:S21)</f>
        <v>17647</v>
      </c>
      <c r="P21" s="199">
        <f>11888+2036+1353+2370</f>
        <v>17647</v>
      </c>
      <c r="Q21" s="199">
        <v>0</v>
      </c>
      <c r="R21" s="199">
        <v>0</v>
      </c>
      <c r="S21" s="199">
        <v>0</v>
      </c>
      <c r="T21" s="198">
        <f t="shared" ref="T21:T29" si="11">SUM(U21:X21)</f>
        <v>2500</v>
      </c>
      <c r="U21" s="199">
        <f>13924-11424</f>
        <v>2500</v>
      </c>
      <c r="V21" s="199">
        <v>0</v>
      </c>
      <c r="W21" s="199">
        <v>0</v>
      </c>
      <c r="X21" s="199">
        <v>0</v>
      </c>
      <c r="Y21" s="198">
        <f t="shared" ref="Y21:Y29" si="12">SUM(Z21:AC21)</f>
        <v>2500</v>
      </c>
      <c r="Z21" s="199">
        <f>29000+781-27281</f>
        <v>2500</v>
      </c>
      <c r="AA21" s="199">
        <v>0</v>
      </c>
      <c r="AB21" s="199">
        <v>0</v>
      </c>
      <c r="AC21" s="199">
        <v>0</v>
      </c>
      <c r="AD21" s="198">
        <f t="shared" ref="AD21:AD31" si="13">E21+J21+O21+T21+Y21</f>
        <v>87840</v>
      </c>
    </row>
    <row r="22" spans="1:30" ht="126" customHeight="1" outlineLevel="1" x14ac:dyDescent="0.2">
      <c r="A22" s="8" t="s">
        <v>12</v>
      </c>
      <c r="B22" s="196" t="s">
        <v>103</v>
      </c>
      <c r="C22" s="9" t="s">
        <v>95</v>
      </c>
      <c r="D22" s="197" t="s">
        <v>1629</v>
      </c>
      <c r="E22" s="198">
        <f>F22+G22+H22+I22</f>
        <v>0</v>
      </c>
      <c r="F22" s="199">
        <v>0</v>
      </c>
      <c r="G22" s="199">
        <v>0</v>
      </c>
      <c r="H22" s="199">
        <v>0</v>
      </c>
      <c r="I22" s="199">
        <v>0</v>
      </c>
      <c r="J22" s="198">
        <f>K22+L22</f>
        <v>0</v>
      </c>
      <c r="K22" s="199">
        <v>0</v>
      </c>
      <c r="L22" s="199">
        <v>0</v>
      </c>
      <c r="M22" s="199">
        <v>0</v>
      </c>
      <c r="N22" s="199">
        <v>0</v>
      </c>
      <c r="O22" s="198">
        <f t="shared" si="10"/>
        <v>256</v>
      </c>
      <c r="P22" s="199">
        <f>1417-578-583</f>
        <v>256</v>
      </c>
      <c r="Q22" s="199">
        <v>0</v>
      </c>
      <c r="R22" s="199">
        <v>0</v>
      </c>
      <c r="S22" s="199">
        <v>0</v>
      </c>
      <c r="T22" s="198">
        <f t="shared" si="11"/>
        <v>4886</v>
      </c>
      <c r="U22" s="199">
        <f>1417+3469</f>
        <v>4886</v>
      </c>
      <c r="V22" s="199">
        <v>0</v>
      </c>
      <c r="W22" s="199">
        <v>0</v>
      </c>
      <c r="X22" s="199">
        <v>0</v>
      </c>
      <c r="Y22" s="198">
        <f t="shared" si="12"/>
        <v>256</v>
      </c>
      <c r="Z22" s="199">
        <v>256</v>
      </c>
      <c r="AA22" s="199">
        <v>0</v>
      </c>
      <c r="AB22" s="199">
        <v>0</v>
      </c>
      <c r="AC22" s="199">
        <v>0</v>
      </c>
      <c r="AD22" s="198">
        <f t="shared" si="13"/>
        <v>5398</v>
      </c>
    </row>
    <row r="23" spans="1:30" ht="117.6" customHeight="1" outlineLevel="1" x14ac:dyDescent="0.2">
      <c r="A23" s="200" t="s">
        <v>27</v>
      </c>
      <c r="B23" s="196" t="s">
        <v>572</v>
      </c>
      <c r="C23" s="9" t="s">
        <v>95</v>
      </c>
      <c r="D23" s="197" t="s">
        <v>1628</v>
      </c>
      <c r="E23" s="198">
        <f>F23+G23+H23+I23</f>
        <v>5379</v>
      </c>
      <c r="F23" s="199">
        <v>5379</v>
      </c>
      <c r="G23" s="199">
        <v>0</v>
      </c>
      <c r="H23" s="199">
        <v>0</v>
      </c>
      <c r="I23" s="199">
        <v>0</v>
      </c>
      <c r="J23" s="203">
        <f>K23+L23+M23+N23</f>
        <v>8539</v>
      </c>
      <c r="K23" s="204">
        <f>5209+3483-153</f>
        <v>8539</v>
      </c>
      <c r="L23" s="199">
        <v>0</v>
      </c>
      <c r="M23" s="199">
        <v>0</v>
      </c>
      <c r="N23" s="199">
        <v>0</v>
      </c>
      <c r="O23" s="198">
        <f t="shared" si="10"/>
        <v>1333</v>
      </c>
      <c r="P23" s="199">
        <f>12265-10932</f>
        <v>1333</v>
      </c>
      <c r="Q23" s="199">
        <v>0</v>
      </c>
      <c r="R23" s="199">
        <v>0</v>
      </c>
      <c r="S23" s="199">
        <v>0</v>
      </c>
      <c r="T23" s="198">
        <f t="shared" si="11"/>
        <v>0</v>
      </c>
      <c r="U23" s="199">
        <f>12265-12265</f>
        <v>0</v>
      </c>
      <c r="V23" s="199">
        <v>0</v>
      </c>
      <c r="W23" s="199">
        <v>0</v>
      </c>
      <c r="X23" s="199">
        <v>0</v>
      </c>
      <c r="Y23" s="198">
        <f t="shared" si="12"/>
        <v>0</v>
      </c>
      <c r="Z23" s="199">
        <v>0</v>
      </c>
      <c r="AA23" s="199">
        <v>0</v>
      </c>
      <c r="AB23" s="199">
        <v>0</v>
      </c>
      <c r="AC23" s="199">
        <v>0</v>
      </c>
      <c r="AD23" s="198">
        <f t="shared" si="13"/>
        <v>15251</v>
      </c>
    </row>
    <row r="24" spans="1:30" ht="109.5" customHeight="1" outlineLevel="1" x14ac:dyDescent="0.2">
      <c r="A24" s="200" t="s">
        <v>1079</v>
      </c>
      <c r="B24" s="196" t="s">
        <v>603</v>
      </c>
      <c r="C24" s="9" t="s">
        <v>95</v>
      </c>
      <c r="D24" s="197" t="s">
        <v>974</v>
      </c>
      <c r="E24" s="198">
        <v>0</v>
      </c>
      <c r="F24" s="199">
        <v>0</v>
      </c>
      <c r="G24" s="199">
        <v>0</v>
      </c>
      <c r="H24" s="199">
        <v>0</v>
      </c>
      <c r="I24" s="199">
        <v>0</v>
      </c>
      <c r="J24" s="198">
        <f>K24+L24</f>
        <v>65</v>
      </c>
      <c r="K24" s="199">
        <v>65</v>
      </c>
      <c r="L24" s="199">
        <v>0</v>
      </c>
      <c r="M24" s="199">
        <v>0</v>
      </c>
      <c r="N24" s="199">
        <v>0</v>
      </c>
      <c r="O24" s="198">
        <f t="shared" si="10"/>
        <v>1076</v>
      </c>
      <c r="P24" s="199">
        <v>1076</v>
      </c>
      <c r="Q24" s="199">
        <v>0</v>
      </c>
      <c r="R24" s="199">
        <v>0</v>
      </c>
      <c r="S24" s="199">
        <v>0</v>
      </c>
      <c r="T24" s="198">
        <f t="shared" si="11"/>
        <v>1752</v>
      </c>
      <c r="U24" s="199">
        <v>1752</v>
      </c>
      <c r="V24" s="199">
        <v>0</v>
      </c>
      <c r="W24" s="199">
        <v>0</v>
      </c>
      <c r="X24" s="199">
        <v>0</v>
      </c>
      <c r="Y24" s="198">
        <f t="shared" si="12"/>
        <v>0</v>
      </c>
      <c r="Z24" s="199">
        <f>2170-2170</f>
        <v>0</v>
      </c>
      <c r="AA24" s="199">
        <v>0</v>
      </c>
      <c r="AB24" s="199">
        <v>0</v>
      </c>
      <c r="AC24" s="199">
        <v>0</v>
      </c>
      <c r="AD24" s="198">
        <f t="shared" si="13"/>
        <v>2893</v>
      </c>
    </row>
    <row r="25" spans="1:30" ht="82.9" customHeight="1" outlineLevel="1" x14ac:dyDescent="0.2">
      <c r="A25" s="200" t="s">
        <v>1080</v>
      </c>
      <c r="B25" s="196" t="s">
        <v>579</v>
      </c>
      <c r="C25" s="9" t="s">
        <v>95</v>
      </c>
      <c r="D25" s="197" t="s">
        <v>861</v>
      </c>
      <c r="E25" s="198">
        <f>F25+G25+H25+I25</f>
        <v>3478</v>
      </c>
      <c r="F25" s="199">
        <v>3478</v>
      </c>
      <c r="G25" s="199">
        <v>0</v>
      </c>
      <c r="H25" s="199">
        <v>0</v>
      </c>
      <c r="I25" s="199">
        <v>0</v>
      </c>
      <c r="J25" s="198">
        <f>K25+L25+M25+N25</f>
        <v>797</v>
      </c>
      <c r="K25" s="199">
        <f>4667-3870</f>
        <v>797</v>
      </c>
      <c r="L25" s="199">
        <v>0</v>
      </c>
      <c r="M25" s="199">
        <v>0</v>
      </c>
      <c r="N25" s="199">
        <v>0</v>
      </c>
      <c r="O25" s="198">
        <f t="shared" si="10"/>
        <v>0</v>
      </c>
      <c r="P25" s="199">
        <f>57-57</f>
        <v>0</v>
      </c>
      <c r="Q25" s="199">
        <v>0</v>
      </c>
      <c r="R25" s="199">
        <v>0</v>
      </c>
      <c r="S25" s="199">
        <v>0</v>
      </c>
      <c r="T25" s="198">
        <f t="shared" si="11"/>
        <v>0</v>
      </c>
      <c r="U25" s="199">
        <v>0</v>
      </c>
      <c r="V25" s="199">
        <v>0</v>
      </c>
      <c r="W25" s="199">
        <v>0</v>
      </c>
      <c r="X25" s="199">
        <v>0</v>
      </c>
      <c r="Y25" s="198">
        <f t="shared" si="12"/>
        <v>0</v>
      </c>
      <c r="Z25" s="199">
        <v>0</v>
      </c>
      <c r="AA25" s="199">
        <v>0</v>
      </c>
      <c r="AB25" s="199">
        <v>0</v>
      </c>
      <c r="AC25" s="199">
        <v>0</v>
      </c>
      <c r="AD25" s="198">
        <f t="shared" si="13"/>
        <v>4275</v>
      </c>
    </row>
    <row r="26" spans="1:30" ht="94.9" customHeight="1" outlineLevel="1" x14ac:dyDescent="0.2">
      <c r="A26" s="200" t="s">
        <v>1081</v>
      </c>
      <c r="B26" s="196" t="s">
        <v>600</v>
      </c>
      <c r="C26" s="9" t="s">
        <v>100</v>
      </c>
      <c r="D26" s="196" t="s">
        <v>91</v>
      </c>
      <c r="E26" s="198">
        <f>F26</f>
        <v>1700</v>
      </c>
      <c r="F26" s="199">
        <v>1700</v>
      </c>
      <c r="G26" s="199">
        <v>0</v>
      </c>
      <c r="H26" s="199">
        <v>0</v>
      </c>
      <c r="I26" s="199">
        <v>0</v>
      </c>
      <c r="J26" s="198">
        <f>K26</f>
        <v>2742</v>
      </c>
      <c r="K26" s="199">
        <f>2000+147+411+184</f>
        <v>2742</v>
      </c>
      <c r="L26" s="199">
        <v>0</v>
      </c>
      <c r="M26" s="199">
        <v>0</v>
      </c>
      <c r="N26" s="199">
        <v>0</v>
      </c>
      <c r="O26" s="198">
        <f t="shared" si="10"/>
        <v>2996</v>
      </c>
      <c r="P26" s="199">
        <f>2000+996</f>
        <v>2996</v>
      </c>
      <c r="Q26" s="199">
        <v>0</v>
      </c>
      <c r="R26" s="199">
        <v>0</v>
      </c>
      <c r="S26" s="199">
        <v>0</v>
      </c>
      <c r="T26" s="198">
        <f t="shared" si="11"/>
        <v>5529</v>
      </c>
      <c r="U26" s="199">
        <f>2000+3529</f>
        <v>5529</v>
      </c>
      <c r="V26" s="199">
        <v>0</v>
      </c>
      <c r="W26" s="199">
        <v>0</v>
      </c>
      <c r="X26" s="199">
        <v>0</v>
      </c>
      <c r="Y26" s="198">
        <f t="shared" si="12"/>
        <v>5529</v>
      </c>
      <c r="Z26" s="199">
        <f>4500+1029</f>
        <v>5529</v>
      </c>
      <c r="AA26" s="199">
        <v>0</v>
      </c>
      <c r="AB26" s="199">
        <v>0</v>
      </c>
      <c r="AC26" s="199">
        <v>0</v>
      </c>
      <c r="AD26" s="198">
        <f t="shared" si="13"/>
        <v>18496</v>
      </c>
    </row>
    <row r="27" spans="1:30" ht="100.9" customHeight="1" outlineLevel="1" x14ac:dyDescent="0.2">
      <c r="A27" s="200" t="s">
        <v>1082</v>
      </c>
      <c r="B27" s="196" t="s">
        <v>101</v>
      </c>
      <c r="C27" s="9" t="s">
        <v>100</v>
      </c>
      <c r="D27" s="196">
        <v>2025</v>
      </c>
      <c r="E27" s="198">
        <f>SUM(F27:I27)</f>
        <v>0</v>
      </c>
      <c r="F27" s="199">
        <v>0</v>
      </c>
      <c r="G27" s="199">
        <v>0</v>
      </c>
      <c r="H27" s="199">
        <v>0</v>
      </c>
      <c r="I27" s="199">
        <v>0</v>
      </c>
      <c r="J27" s="198">
        <f>SUM(K27:N27)</f>
        <v>0</v>
      </c>
      <c r="K27" s="199">
        <v>0</v>
      </c>
      <c r="L27" s="199">
        <v>0</v>
      </c>
      <c r="M27" s="199">
        <v>0</v>
      </c>
      <c r="N27" s="199">
        <v>0</v>
      </c>
      <c r="O27" s="198">
        <f t="shared" si="10"/>
        <v>0</v>
      </c>
      <c r="P27" s="199">
        <v>0</v>
      </c>
      <c r="Q27" s="199">
        <v>0</v>
      </c>
      <c r="R27" s="199">
        <v>0</v>
      </c>
      <c r="S27" s="199">
        <v>0</v>
      </c>
      <c r="T27" s="198">
        <f t="shared" si="11"/>
        <v>0</v>
      </c>
      <c r="U27" s="199">
        <v>0</v>
      </c>
      <c r="V27" s="199">
        <v>0</v>
      </c>
      <c r="W27" s="199">
        <v>0</v>
      </c>
      <c r="X27" s="199">
        <v>0</v>
      </c>
      <c r="Y27" s="198">
        <f t="shared" si="12"/>
        <v>0</v>
      </c>
      <c r="Z27" s="199">
        <f>893-893</f>
        <v>0</v>
      </c>
      <c r="AA27" s="199">
        <v>0</v>
      </c>
      <c r="AB27" s="199">
        <v>0</v>
      </c>
      <c r="AC27" s="199">
        <v>0</v>
      </c>
      <c r="AD27" s="198">
        <f t="shared" si="13"/>
        <v>0</v>
      </c>
    </row>
    <row r="28" spans="1:30" ht="112.9" customHeight="1" outlineLevel="1" x14ac:dyDescent="0.2">
      <c r="A28" s="200" t="s">
        <v>1083</v>
      </c>
      <c r="B28" s="196" t="s">
        <v>99</v>
      </c>
      <c r="C28" s="9" t="s">
        <v>98</v>
      </c>
      <c r="D28" s="202" t="s">
        <v>91</v>
      </c>
      <c r="E28" s="198">
        <f>SUM(F28:I28)</f>
        <v>3594</v>
      </c>
      <c r="F28" s="199">
        <v>3594</v>
      </c>
      <c r="G28" s="199">
        <v>0</v>
      </c>
      <c r="H28" s="199">
        <v>0</v>
      </c>
      <c r="I28" s="199">
        <v>0</v>
      </c>
      <c r="J28" s="198">
        <f>SUM(K28:N28)</f>
        <v>3788</v>
      </c>
      <c r="K28" s="199">
        <f>4176-388</f>
        <v>3788</v>
      </c>
      <c r="L28" s="199">
        <v>0</v>
      </c>
      <c r="M28" s="199">
        <v>0</v>
      </c>
      <c r="N28" s="199">
        <v>0</v>
      </c>
      <c r="O28" s="198">
        <f t="shared" si="10"/>
        <v>4176</v>
      </c>
      <c r="P28" s="199">
        <f>4575-399</f>
        <v>4176</v>
      </c>
      <c r="Q28" s="199">
        <v>0</v>
      </c>
      <c r="R28" s="199">
        <v>0</v>
      </c>
      <c r="S28" s="199">
        <v>0</v>
      </c>
      <c r="T28" s="198">
        <f t="shared" si="11"/>
        <v>4342</v>
      </c>
      <c r="U28" s="199">
        <f>4575-233</f>
        <v>4342</v>
      </c>
      <c r="V28" s="199">
        <v>0</v>
      </c>
      <c r="W28" s="199">
        <v>0</v>
      </c>
      <c r="X28" s="199">
        <v>0</v>
      </c>
      <c r="Y28" s="198">
        <f t="shared" si="12"/>
        <v>4342</v>
      </c>
      <c r="Z28" s="199">
        <f>4176+166</f>
        <v>4342</v>
      </c>
      <c r="AA28" s="199">
        <v>0</v>
      </c>
      <c r="AB28" s="199">
        <v>0</v>
      </c>
      <c r="AC28" s="199">
        <v>0</v>
      </c>
      <c r="AD28" s="198">
        <f t="shared" si="13"/>
        <v>20242</v>
      </c>
    </row>
    <row r="29" spans="1:30" ht="117.75" customHeight="1" outlineLevel="1" x14ac:dyDescent="0.2">
      <c r="A29" s="200" t="s">
        <v>1084</v>
      </c>
      <c r="B29" s="196" t="s">
        <v>1053</v>
      </c>
      <c r="C29" s="9" t="s">
        <v>95</v>
      </c>
      <c r="D29" s="196" t="s">
        <v>1631</v>
      </c>
      <c r="E29" s="198">
        <f>SUM(F29:I29)</f>
        <v>0</v>
      </c>
      <c r="F29" s="199">
        <v>0</v>
      </c>
      <c r="G29" s="199">
        <v>0</v>
      </c>
      <c r="H29" s="199">
        <v>0</v>
      </c>
      <c r="I29" s="199">
        <v>0</v>
      </c>
      <c r="J29" s="198">
        <f>SUM(K29:N29)</f>
        <v>716</v>
      </c>
      <c r="K29" s="199">
        <f>1557-841</f>
        <v>716</v>
      </c>
      <c r="L29" s="199">
        <v>0</v>
      </c>
      <c r="M29" s="199">
        <v>0</v>
      </c>
      <c r="N29" s="199">
        <v>0</v>
      </c>
      <c r="O29" s="198">
        <f t="shared" si="10"/>
        <v>684</v>
      </c>
      <c r="P29" s="199">
        <f>117+684-117</f>
        <v>684</v>
      </c>
      <c r="Q29" s="199">
        <v>0</v>
      </c>
      <c r="R29" s="199">
        <v>0</v>
      </c>
      <c r="S29" s="199">
        <v>0</v>
      </c>
      <c r="T29" s="198">
        <f t="shared" si="11"/>
        <v>716</v>
      </c>
      <c r="U29" s="199">
        <v>716</v>
      </c>
      <c r="V29" s="199">
        <v>0</v>
      </c>
      <c r="W29" s="199">
        <v>0</v>
      </c>
      <c r="X29" s="199">
        <v>0</v>
      </c>
      <c r="Y29" s="198">
        <f t="shared" si="12"/>
        <v>0</v>
      </c>
      <c r="Z29" s="199">
        <v>0</v>
      </c>
      <c r="AA29" s="199">
        <v>0</v>
      </c>
      <c r="AB29" s="199">
        <v>0</v>
      </c>
      <c r="AC29" s="199">
        <v>0</v>
      </c>
      <c r="AD29" s="198">
        <f t="shared" si="13"/>
        <v>2116</v>
      </c>
    </row>
    <row r="30" spans="1:30" ht="112.9" customHeight="1" outlineLevel="1" x14ac:dyDescent="0.2">
      <c r="A30" s="200" t="s">
        <v>1085</v>
      </c>
      <c r="B30" s="196" t="s">
        <v>990</v>
      </c>
      <c r="C30" s="9" t="s">
        <v>95</v>
      </c>
      <c r="D30" s="196">
        <v>2022</v>
      </c>
      <c r="E30" s="198">
        <f t="shared" ref="E30" si="14">F30+G30+H30+I30</f>
        <v>0</v>
      </c>
      <c r="F30" s="199">
        <v>0</v>
      </c>
      <c r="G30" s="199">
        <v>0</v>
      </c>
      <c r="H30" s="199">
        <v>0</v>
      </c>
      <c r="I30" s="199">
        <v>0</v>
      </c>
      <c r="J30" s="198">
        <f t="shared" ref="J30:J32" si="15">K30+L30+M30+N30</f>
        <v>314</v>
      </c>
      <c r="K30" s="199">
        <v>314</v>
      </c>
      <c r="L30" s="199">
        <v>0</v>
      </c>
      <c r="M30" s="199">
        <v>0</v>
      </c>
      <c r="N30" s="199">
        <v>0</v>
      </c>
      <c r="O30" s="198">
        <f t="shared" si="10"/>
        <v>314</v>
      </c>
      <c r="P30" s="199">
        <v>314</v>
      </c>
      <c r="Q30" s="199">
        <v>0</v>
      </c>
      <c r="R30" s="199">
        <v>0</v>
      </c>
      <c r="S30" s="199">
        <v>0</v>
      </c>
      <c r="T30" s="198">
        <f t="shared" ref="T30:T32" si="16">SUM(U30:X30)</f>
        <v>0</v>
      </c>
      <c r="U30" s="199">
        <v>0</v>
      </c>
      <c r="V30" s="199">
        <v>0</v>
      </c>
      <c r="W30" s="199">
        <v>0</v>
      </c>
      <c r="X30" s="199">
        <v>0</v>
      </c>
      <c r="Y30" s="198">
        <f t="shared" ref="Y30:Y32" si="17">SUM(Z30:AC30)</f>
        <v>0</v>
      </c>
      <c r="Z30" s="199">
        <v>0</v>
      </c>
      <c r="AA30" s="199">
        <v>0</v>
      </c>
      <c r="AB30" s="199">
        <v>0</v>
      </c>
      <c r="AC30" s="199">
        <v>0</v>
      </c>
      <c r="AD30" s="198">
        <f t="shared" si="13"/>
        <v>628</v>
      </c>
    </row>
    <row r="31" spans="1:30" ht="112.9" customHeight="1" outlineLevel="1" x14ac:dyDescent="0.2">
      <c r="A31" s="200" t="s">
        <v>1086</v>
      </c>
      <c r="B31" s="196" t="s">
        <v>991</v>
      </c>
      <c r="C31" s="9" t="s">
        <v>95</v>
      </c>
      <c r="D31" s="196">
        <v>2022</v>
      </c>
      <c r="E31" s="198">
        <f>SUM(F31:I31)</f>
        <v>0</v>
      </c>
      <c r="F31" s="199">
        <v>0</v>
      </c>
      <c r="G31" s="199">
        <v>0</v>
      </c>
      <c r="H31" s="199">
        <v>0</v>
      </c>
      <c r="I31" s="199">
        <v>0</v>
      </c>
      <c r="J31" s="198">
        <f t="shared" si="15"/>
        <v>2279</v>
      </c>
      <c r="K31" s="199">
        <v>2279</v>
      </c>
      <c r="L31" s="199">
        <v>0</v>
      </c>
      <c r="M31" s="199">
        <v>0</v>
      </c>
      <c r="N31" s="199">
        <v>0</v>
      </c>
      <c r="O31" s="198">
        <f t="shared" ref="O31" si="18">SUM(P31:S31)</f>
        <v>0</v>
      </c>
      <c r="P31" s="199">
        <v>0</v>
      </c>
      <c r="Q31" s="199">
        <v>0</v>
      </c>
      <c r="R31" s="199">
        <v>0</v>
      </c>
      <c r="S31" s="199">
        <v>0</v>
      </c>
      <c r="T31" s="198">
        <f t="shared" si="16"/>
        <v>0</v>
      </c>
      <c r="U31" s="199">
        <v>0</v>
      </c>
      <c r="V31" s="199">
        <v>0</v>
      </c>
      <c r="W31" s="199">
        <v>0</v>
      </c>
      <c r="X31" s="199">
        <v>0</v>
      </c>
      <c r="Y31" s="198">
        <f t="shared" si="17"/>
        <v>0</v>
      </c>
      <c r="Z31" s="199">
        <v>0</v>
      </c>
      <c r="AA31" s="199">
        <v>0</v>
      </c>
      <c r="AB31" s="199">
        <v>0</v>
      </c>
      <c r="AC31" s="199">
        <v>0</v>
      </c>
      <c r="AD31" s="198">
        <f t="shared" si="13"/>
        <v>2279</v>
      </c>
    </row>
    <row r="32" spans="1:30" ht="112.9" customHeight="1" outlineLevel="1" x14ac:dyDescent="0.2">
      <c r="A32" s="200" t="s">
        <v>1087</v>
      </c>
      <c r="B32" s="196" t="s">
        <v>1007</v>
      </c>
      <c r="C32" s="9" t="s">
        <v>95</v>
      </c>
      <c r="D32" s="196">
        <v>2022</v>
      </c>
      <c r="E32" s="198">
        <f>SUM(F32:I32)</f>
        <v>0</v>
      </c>
      <c r="F32" s="199">
        <v>0</v>
      </c>
      <c r="G32" s="199">
        <v>0</v>
      </c>
      <c r="H32" s="199">
        <v>0</v>
      </c>
      <c r="I32" s="199">
        <v>0</v>
      </c>
      <c r="J32" s="198">
        <f t="shared" si="15"/>
        <v>6496</v>
      </c>
      <c r="K32" s="199">
        <v>6496</v>
      </c>
      <c r="L32" s="199">
        <v>0</v>
      </c>
      <c r="M32" s="199">
        <v>0</v>
      </c>
      <c r="N32" s="199">
        <v>0</v>
      </c>
      <c r="O32" s="198">
        <f t="shared" ref="O32:O34" si="19">SUM(P32:S32)</f>
        <v>0</v>
      </c>
      <c r="P32" s="199">
        <v>0</v>
      </c>
      <c r="Q32" s="199">
        <v>0</v>
      </c>
      <c r="R32" s="199">
        <v>0</v>
      </c>
      <c r="S32" s="199">
        <v>0</v>
      </c>
      <c r="T32" s="198">
        <f t="shared" si="16"/>
        <v>0</v>
      </c>
      <c r="U32" s="199">
        <v>0</v>
      </c>
      <c r="V32" s="199">
        <v>0</v>
      </c>
      <c r="W32" s="199">
        <v>0</v>
      </c>
      <c r="X32" s="199">
        <v>0</v>
      </c>
      <c r="Y32" s="198">
        <f t="shared" si="17"/>
        <v>0</v>
      </c>
      <c r="Z32" s="199">
        <v>0</v>
      </c>
      <c r="AA32" s="199">
        <v>0</v>
      </c>
      <c r="AB32" s="199">
        <v>0</v>
      </c>
      <c r="AC32" s="199">
        <v>0</v>
      </c>
      <c r="AD32" s="198">
        <f t="shared" ref="AD32" si="20">E32+J32+O32+T32+Y32</f>
        <v>6496</v>
      </c>
    </row>
    <row r="33" spans="1:34" ht="46.9" customHeight="1" outlineLevel="1" x14ac:dyDescent="0.2">
      <c r="A33" s="193" t="s">
        <v>26</v>
      </c>
      <c r="B33" s="393" t="s">
        <v>1064</v>
      </c>
      <c r="C33" s="394"/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5"/>
    </row>
    <row r="34" spans="1:34" ht="94.9" customHeight="1" outlineLevel="1" x14ac:dyDescent="0.2">
      <c r="A34" s="200" t="s">
        <v>412</v>
      </c>
      <c r="B34" s="196" t="s">
        <v>96</v>
      </c>
      <c r="C34" s="9" t="s">
        <v>95</v>
      </c>
      <c r="D34" s="202" t="s">
        <v>91</v>
      </c>
      <c r="E34" s="205">
        <f>F34+G34+H34+I34</f>
        <v>27036</v>
      </c>
      <c r="F34" s="199">
        <v>27036</v>
      </c>
      <c r="G34" s="199">
        <v>0</v>
      </c>
      <c r="H34" s="199">
        <v>0</v>
      </c>
      <c r="I34" s="199">
        <v>0</v>
      </c>
      <c r="J34" s="198">
        <f>K34+L34+M34+N34</f>
        <v>35037</v>
      </c>
      <c r="K34" s="199">
        <f>34053+19+526+786-411-184+388-1-139</f>
        <v>35037</v>
      </c>
      <c r="L34" s="199">
        <v>0</v>
      </c>
      <c r="M34" s="199">
        <v>0</v>
      </c>
      <c r="N34" s="199">
        <v>0</v>
      </c>
      <c r="O34" s="198">
        <f t="shared" si="19"/>
        <v>45892</v>
      </c>
      <c r="P34" s="199">
        <f>32839+12411+642</f>
        <v>45892</v>
      </c>
      <c r="Q34" s="199">
        <v>0</v>
      </c>
      <c r="R34" s="199">
        <v>0</v>
      </c>
      <c r="S34" s="199">
        <v>0</v>
      </c>
      <c r="T34" s="198">
        <f t="shared" ref="T34" si="21">SUM(U34:X34)</f>
        <v>45368</v>
      </c>
      <c r="U34" s="199">
        <f>32839+12529</f>
        <v>45368</v>
      </c>
      <c r="V34" s="199">
        <v>0</v>
      </c>
      <c r="W34" s="199">
        <v>0</v>
      </c>
      <c r="X34" s="199">
        <v>0</v>
      </c>
      <c r="Y34" s="198">
        <f t="shared" ref="Y34" si="22">SUM(Z34:AC34)</f>
        <v>45368</v>
      </c>
      <c r="Z34" s="199">
        <f>26539+300+18529</f>
        <v>45368</v>
      </c>
      <c r="AA34" s="199">
        <v>0</v>
      </c>
      <c r="AB34" s="199">
        <v>0</v>
      </c>
      <c r="AC34" s="199">
        <v>0</v>
      </c>
      <c r="AD34" s="198">
        <f>E34+J34+O34+T34+Y34</f>
        <v>198701</v>
      </c>
    </row>
    <row r="35" spans="1:34" ht="46.9" customHeight="1" outlineLevel="1" x14ac:dyDescent="0.2">
      <c r="A35" s="390" t="s">
        <v>128</v>
      </c>
      <c r="B35" s="390"/>
      <c r="C35" s="390"/>
      <c r="D35" s="1"/>
      <c r="E35" s="198">
        <f t="shared" ref="E35:AD35" si="23">SUM(E13:E34)</f>
        <v>173012</v>
      </c>
      <c r="F35" s="198">
        <f t="shared" si="23"/>
        <v>173012</v>
      </c>
      <c r="G35" s="198">
        <f t="shared" si="23"/>
        <v>0</v>
      </c>
      <c r="H35" s="198">
        <f t="shared" si="23"/>
        <v>0</v>
      </c>
      <c r="I35" s="198">
        <f t="shared" si="23"/>
        <v>0</v>
      </c>
      <c r="J35" s="198">
        <f t="shared" si="23"/>
        <v>103854</v>
      </c>
      <c r="K35" s="198">
        <f>SUM(K13:K34)</f>
        <v>103854</v>
      </c>
      <c r="L35" s="198">
        <f t="shared" si="23"/>
        <v>0</v>
      </c>
      <c r="M35" s="198">
        <f t="shared" si="23"/>
        <v>0</v>
      </c>
      <c r="N35" s="198">
        <f t="shared" si="23"/>
        <v>0</v>
      </c>
      <c r="O35" s="198">
        <f t="shared" si="23"/>
        <v>96633</v>
      </c>
      <c r="P35" s="198">
        <f t="shared" si="23"/>
        <v>96633</v>
      </c>
      <c r="Q35" s="198">
        <f t="shared" si="23"/>
        <v>0</v>
      </c>
      <c r="R35" s="198">
        <f t="shared" si="23"/>
        <v>0</v>
      </c>
      <c r="S35" s="198">
        <f t="shared" si="23"/>
        <v>0</v>
      </c>
      <c r="T35" s="198">
        <f t="shared" si="23"/>
        <v>95963</v>
      </c>
      <c r="U35" s="198">
        <f t="shared" si="23"/>
        <v>95963</v>
      </c>
      <c r="V35" s="198">
        <f t="shared" si="23"/>
        <v>0</v>
      </c>
      <c r="W35" s="198">
        <f t="shared" si="23"/>
        <v>0</v>
      </c>
      <c r="X35" s="198">
        <f t="shared" si="23"/>
        <v>0</v>
      </c>
      <c r="Y35" s="198">
        <f t="shared" si="23"/>
        <v>100991</v>
      </c>
      <c r="Z35" s="198">
        <f t="shared" si="23"/>
        <v>100991</v>
      </c>
      <c r="AA35" s="198">
        <f t="shared" si="23"/>
        <v>0</v>
      </c>
      <c r="AB35" s="198">
        <f t="shared" si="23"/>
        <v>0</v>
      </c>
      <c r="AC35" s="198">
        <f t="shared" si="23"/>
        <v>0</v>
      </c>
      <c r="AD35" s="198">
        <f t="shared" si="23"/>
        <v>570453</v>
      </c>
      <c r="AE35" s="206">
        <f>F35+K35+P35+U35+Z35</f>
        <v>570453</v>
      </c>
      <c r="AF35" s="206">
        <f>G35+L35+Q35+V35+AA35</f>
        <v>0</v>
      </c>
      <c r="AG35" s="206">
        <f>H35+M35+R35+W35+AB35</f>
        <v>0</v>
      </c>
      <c r="AH35" s="206">
        <f>I35+N35+S35+X35+AC35</f>
        <v>0</v>
      </c>
    </row>
    <row r="36" spans="1:34" s="32" customFormat="1" ht="55.15" customHeight="1" x14ac:dyDescent="0.2">
      <c r="A36" s="194" t="s">
        <v>1068</v>
      </c>
      <c r="B36" s="405" t="s">
        <v>455</v>
      </c>
      <c r="C36" s="406"/>
      <c r="D36" s="406"/>
      <c r="E36" s="406"/>
      <c r="F36" s="406"/>
      <c r="G36" s="406"/>
      <c r="H36" s="406"/>
      <c r="I36" s="406"/>
      <c r="J36" s="406"/>
      <c r="K36" s="406"/>
      <c r="L36" s="406"/>
      <c r="M36" s="406"/>
      <c r="N36" s="406"/>
      <c r="O36" s="406"/>
      <c r="P36" s="406"/>
      <c r="Q36" s="406"/>
      <c r="R36" s="406"/>
      <c r="S36" s="406"/>
      <c r="T36" s="406"/>
      <c r="U36" s="406"/>
      <c r="V36" s="406"/>
      <c r="W36" s="406"/>
      <c r="X36" s="406"/>
      <c r="Y36" s="406"/>
      <c r="Z36" s="406"/>
      <c r="AA36" s="406"/>
      <c r="AB36" s="406"/>
      <c r="AC36" s="406"/>
      <c r="AD36" s="407"/>
      <c r="AE36"/>
      <c r="AF36"/>
      <c r="AG36"/>
      <c r="AH36"/>
    </row>
    <row r="37" spans="1:34" ht="42" customHeight="1" x14ac:dyDescent="0.2">
      <c r="A37" s="391" t="s">
        <v>565</v>
      </c>
      <c r="B37" s="391"/>
      <c r="C37" s="391"/>
      <c r="D37" s="391"/>
      <c r="E37" s="391"/>
      <c r="F37" s="391"/>
      <c r="G37" s="391"/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391"/>
      <c r="V37" s="391"/>
      <c r="W37" s="391"/>
      <c r="X37" s="391"/>
      <c r="Y37" s="391"/>
      <c r="Z37" s="391"/>
      <c r="AA37" s="391"/>
      <c r="AB37" s="391"/>
      <c r="AC37" s="391"/>
      <c r="AD37" s="391"/>
    </row>
    <row r="38" spans="1:34" s="207" customFormat="1" ht="43.15" customHeight="1" outlineLevel="1" x14ac:dyDescent="0.2">
      <c r="A38" s="392" t="s">
        <v>454</v>
      </c>
      <c r="B38" s="392"/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2"/>
      <c r="T38" s="392"/>
      <c r="U38" s="392"/>
      <c r="V38" s="392"/>
      <c r="W38" s="392"/>
      <c r="X38" s="392"/>
      <c r="Y38" s="392"/>
      <c r="Z38" s="392"/>
      <c r="AA38" s="392"/>
      <c r="AB38" s="392"/>
      <c r="AC38" s="392"/>
      <c r="AD38" s="392"/>
      <c r="AE38"/>
      <c r="AF38"/>
      <c r="AG38"/>
      <c r="AH38"/>
    </row>
    <row r="39" spans="1:34" s="207" customFormat="1" ht="54" customHeight="1" outlineLevel="1" x14ac:dyDescent="0.2">
      <c r="A39" s="194" t="s">
        <v>2</v>
      </c>
      <c r="B39" s="405" t="s">
        <v>1067</v>
      </c>
      <c r="C39" s="406"/>
      <c r="D39" s="406"/>
      <c r="E39" s="406"/>
      <c r="F39" s="406"/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406"/>
      <c r="T39" s="406"/>
      <c r="U39" s="406"/>
      <c r="V39" s="406"/>
      <c r="W39" s="406"/>
      <c r="X39" s="406"/>
      <c r="Y39" s="406"/>
      <c r="Z39" s="406"/>
      <c r="AA39" s="406"/>
      <c r="AB39" s="406"/>
      <c r="AC39" s="406"/>
      <c r="AD39" s="407"/>
      <c r="AE39"/>
      <c r="AF39"/>
      <c r="AG39"/>
      <c r="AH39"/>
    </row>
    <row r="40" spans="1:34" ht="179.25" customHeight="1" outlineLevel="1" x14ac:dyDescent="0.2">
      <c r="A40" s="200" t="s">
        <v>9</v>
      </c>
      <c r="B40" s="196" t="s">
        <v>693</v>
      </c>
      <c r="C40" s="9" t="s">
        <v>854</v>
      </c>
      <c r="D40" s="196" t="s">
        <v>91</v>
      </c>
      <c r="E40" s="198">
        <f t="shared" ref="E40:E48" si="24">F40+G40+H40+I40</f>
        <v>321465</v>
      </c>
      <c r="F40" s="2">
        <f>ROUND('2.переченьМРАД'!$I$50,0)</f>
        <v>12402</v>
      </c>
      <c r="G40" s="2">
        <f>ROUND('2.переченьМРАД'!$H$50,0)</f>
        <v>182270</v>
      </c>
      <c r="H40" s="2">
        <f>ROUND('2.переченьМРАД'!G50,0)</f>
        <v>126793</v>
      </c>
      <c r="I40" s="208">
        <v>0</v>
      </c>
      <c r="J40" s="198">
        <f>K40+L40+M40+N40</f>
        <v>8332</v>
      </c>
      <c r="K40" s="2">
        <f>'2.переченьМРАД'!$N$50</f>
        <v>8332</v>
      </c>
      <c r="L40" s="2">
        <f>'2.переченьМРАД'!$M$50</f>
        <v>0</v>
      </c>
      <c r="M40" s="2">
        <f>'2.переченьМРАД'!$L$50</f>
        <v>0</v>
      </c>
      <c r="N40" s="208">
        <v>0</v>
      </c>
      <c r="O40" s="198">
        <f t="shared" ref="O40:O53" si="25">SUM(P40:S40)</f>
        <v>65231</v>
      </c>
      <c r="P40" s="2">
        <f>'2.переченьМРАД'!$S$50</f>
        <v>18183</v>
      </c>
      <c r="Q40" s="2">
        <f>'2.переченьМРАД'!$R$50</f>
        <v>47048</v>
      </c>
      <c r="R40" s="2">
        <v>0</v>
      </c>
      <c r="S40" s="208">
        <v>0</v>
      </c>
      <c r="T40" s="198">
        <f t="shared" ref="T40:T53" si="26">SUM(U40:X40)</f>
        <v>13519</v>
      </c>
      <c r="U40" s="199">
        <f>ROUND('2.переченьМРАД'!$X$50,0)</f>
        <v>13519</v>
      </c>
      <c r="V40" s="199">
        <f>ROUND('2.переченьМРАД'!$W$50,0)</f>
        <v>0</v>
      </c>
      <c r="W40" s="199">
        <v>0</v>
      </c>
      <c r="X40" s="199">
        <v>0</v>
      </c>
      <c r="Y40" s="198">
        <f t="shared" ref="Y40:Y51" si="27">SUM(Z40:AC40)</f>
        <v>0</v>
      </c>
      <c r="Z40" s="199">
        <f>'2.переченьМРАД'!$AC$50</f>
        <v>0</v>
      </c>
      <c r="AA40" s="199">
        <f>'2.переченьМРАД'!$AB$50</f>
        <v>0</v>
      </c>
      <c r="AB40" s="199">
        <v>0</v>
      </c>
      <c r="AC40" s="199">
        <v>0</v>
      </c>
      <c r="AD40" s="198">
        <f>E40+J40+O40+T40+Y40</f>
        <v>408547</v>
      </c>
    </row>
    <row r="41" spans="1:34" ht="178.5" customHeight="1" outlineLevel="1" x14ac:dyDescent="0.2">
      <c r="A41" s="200" t="s">
        <v>78</v>
      </c>
      <c r="B41" s="196" t="s">
        <v>129</v>
      </c>
      <c r="C41" s="9" t="s">
        <v>854</v>
      </c>
      <c r="D41" s="196" t="s">
        <v>1630</v>
      </c>
      <c r="E41" s="198">
        <f t="shared" si="24"/>
        <v>66560</v>
      </c>
      <c r="F41" s="2">
        <f>'2.переченьМРАД'!$I$68</f>
        <v>4500</v>
      </c>
      <c r="G41" s="2">
        <f>'2.переченьМРАД'!$H$68</f>
        <v>62060</v>
      </c>
      <c r="H41" s="2">
        <f>'2.переченьМРАД'!G51</f>
        <v>0</v>
      </c>
      <c r="I41" s="208">
        <v>0</v>
      </c>
      <c r="J41" s="198">
        <f>K41+L41+M41+N41</f>
        <v>2196</v>
      </c>
      <c r="K41" s="2">
        <f>'2.переченьМРАД'!$N$68</f>
        <v>2196</v>
      </c>
      <c r="L41" s="2">
        <f>'2.переченьМРАД'!$M$68</f>
        <v>0</v>
      </c>
      <c r="M41" s="2">
        <v>0</v>
      </c>
      <c r="N41" s="208">
        <v>0</v>
      </c>
      <c r="O41" s="198">
        <f t="shared" si="25"/>
        <v>14428</v>
      </c>
      <c r="P41" s="2">
        <f>'2.переченьМРАД'!$S$68</f>
        <v>14428</v>
      </c>
      <c r="Q41" s="2">
        <f>'2.переченьМРАД'!$R$68</f>
        <v>0</v>
      </c>
      <c r="R41" s="2">
        <v>0</v>
      </c>
      <c r="S41" s="208">
        <v>0</v>
      </c>
      <c r="T41" s="198">
        <f t="shared" si="26"/>
        <v>0</v>
      </c>
      <c r="U41" s="199">
        <f>ROUND('2.переченьМРАД'!$X$68,0)</f>
        <v>0</v>
      </c>
      <c r="V41" s="199">
        <f>ROUND('2.переченьМРАД'!$W$68,0)</f>
        <v>0</v>
      </c>
      <c r="W41" s="199">
        <v>0</v>
      </c>
      <c r="X41" s="199">
        <v>0</v>
      </c>
      <c r="Y41" s="198">
        <f t="shared" si="27"/>
        <v>0</v>
      </c>
      <c r="Z41" s="199">
        <f>'2.переченьМРАД'!$AC$68</f>
        <v>0</v>
      </c>
      <c r="AA41" s="199">
        <f>'2.переченьМРАД'!$AB$68</f>
        <v>0</v>
      </c>
      <c r="AB41" s="199">
        <v>0</v>
      </c>
      <c r="AC41" s="199">
        <v>0</v>
      </c>
      <c r="AD41" s="198">
        <f t="shared" ref="AD41:AD50" si="28">E41+J41+O41+T41+Y41</f>
        <v>83184</v>
      </c>
    </row>
    <row r="42" spans="1:34" ht="307.5" customHeight="1" outlineLevel="1" x14ac:dyDescent="0.2">
      <c r="A42" s="385" t="s">
        <v>411</v>
      </c>
      <c r="B42" s="408" t="s">
        <v>973</v>
      </c>
      <c r="C42" s="410" t="s">
        <v>854</v>
      </c>
      <c r="D42" s="196" t="s">
        <v>91</v>
      </c>
      <c r="E42" s="198">
        <f t="shared" si="24"/>
        <v>44356</v>
      </c>
      <c r="F42" s="2">
        <f>'2.переченьМРАД'!$I$95</f>
        <v>28021</v>
      </c>
      <c r="G42" s="2">
        <f>'2.переченьМРАД'!$H$95</f>
        <v>16335</v>
      </c>
      <c r="H42" s="2">
        <f>'2.переченьМРАД'!G52</f>
        <v>0</v>
      </c>
      <c r="I42" s="208">
        <v>0</v>
      </c>
      <c r="J42" s="198">
        <f>K42+L42+M42+N42</f>
        <v>16962</v>
      </c>
      <c r="K42" s="2">
        <f>'2.переченьМРАД'!$N$95</f>
        <v>16962</v>
      </c>
      <c r="L42" s="2">
        <f>'2.переченьМРАД'!$M$95</f>
        <v>0</v>
      </c>
      <c r="M42" s="2">
        <v>0</v>
      </c>
      <c r="N42" s="208">
        <v>0</v>
      </c>
      <c r="O42" s="198">
        <f t="shared" si="25"/>
        <v>13442</v>
      </c>
      <c r="P42" s="2">
        <f>'2.переченьМРАД'!$S$95</f>
        <v>13442</v>
      </c>
      <c r="Q42" s="2">
        <f>'2.переченьМРАД'!$R$95</f>
        <v>0</v>
      </c>
      <c r="R42" s="2">
        <v>0</v>
      </c>
      <c r="S42" s="208">
        <v>0</v>
      </c>
      <c r="T42" s="198">
        <f t="shared" si="26"/>
        <v>16472</v>
      </c>
      <c r="U42" s="199">
        <f>'2.переченьМРАД'!$X$95</f>
        <v>16472</v>
      </c>
      <c r="V42" s="199">
        <f>'2.переченьМРАД'!$W$95</f>
        <v>0</v>
      </c>
      <c r="W42" s="199">
        <v>0</v>
      </c>
      <c r="X42" s="199">
        <v>0</v>
      </c>
      <c r="Y42" s="198">
        <f t="shared" si="27"/>
        <v>0</v>
      </c>
      <c r="Z42" s="199">
        <f>'2.переченьМРАД'!$AC$95</f>
        <v>0</v>
      </c>
      <c r="AA42" s="199">
        <f>'2.переченьМРАД'!$AB$95</f>
        <v>0</v>
      </c>
      <c r="AB42" s="199">
        <v>0</v>
      </c>
      <c r="AC42" s="199">
        <v>0</v>
      </c>
      <c r="AD42" s="198">
        <f>E42+J42+O42+T42+Y42</f>
        <v>91232</v>
      </c>
    </row>
    <row r="43" spans="1:34" ht="132.75" customHeight="1" outlineLevel="1" x14ac:dyDescent="0.2">
      <c r="A43" s="385"/>
      <c r="B43" s="409"/>
      <c r="C43" s="411"/>
      <c r="D43" s="196" t="s">
        <v>1690</v>
      </c>
      <c r="E43" s="198">
        <f t="shared" si="24"/>
        <v>988</v>
      </c>
      <c r="F43" s="2">
        <v>988</v>
      </c>
      <c r="G43" s="2">
        <v>0</v>
      </c>
      <c r="H43" s="2">
        <v>0</v>
      </c>
      <c r="I43" s="208">
        <v>0</v>
      </c>
      <c r="J43" s="198">
        <f t="shared" ref="J43" si="29">K43+L43+M43+N43</f>
        <v>1584</v>
      </c>
      <c r="K43" s="2">
        <v>1584</v>
      </c>
      <c r="L43" s="2">
        <v>0</v>
      </c>
      <c r="M43" s="2">
        <v>0</v>
      </c>
      <c r="N43" s="208">
        <v>0</v>
      </c>
      <c r="O43" s="198">
        <f t="shared" si="25"/>
        <v>0</v>
      </c>
      <c r="P43" s="2">
        <v>0</v>
      </c>
      <c r="Q43" s="2">
        <f>'2.переченьМРАД'!$R$95</f>
        <v>0</v>
      </c>
      <c r="R43" s="2">
        <v>0</v>
      </c>
      <c r="S43" s="208">
        <v>0</v>
      </c>
      <c r="T43" s="198">
        <f t="shared" si="26"/>
        <v>0</v>
      </c>
      <c r="U43" s="199">
        <v>0</v>
      </c>
      <c r="V43" s="199">
        <f>'2.переченьМРАД'!$W$95</f>
        <v>0</v>
      </c>
      <c r="W43" s="199">
        <v>0</v>
      </c>
      <c r="X43" s="199">
        <v>0</v>
      </c>
      <c r="Y43" s="198">
        <f t="shared" si="27"/>
        <v>0</v>
      </c>
      <c r="Z43" s="199">
        <v>0</v>
      </c>
      <c r="AA43" s="199">
        <f>'2.переченьМРАД'!$AB$95</f>
        <v>0</v>
      </c>
      <c r="AB43" s="199">
        <v>0</v>
      </c>
      <c r="AC43" s="199">
        <v>0</v>
      </c>
      <c r="AD43" s="198">
        <f t="shared" ref="AD43" si="30">E43+J43+O43+T43+Y43</f>
        <v>2572</v>
      </c>
    </row>
    <row r="44" spans="1:34" ht="179.25" customHeight="1" outlineLevel="1" x14ac:dyDescent="0.2">
      <c r="A44" s="385" t="s">
        <v>1069</v>
      </c>
      <c r="B44" s="196" t="s">
        <v>799</v>
      </c>
      <c r="C44" s="387" t="s">
        <v>92</v>
      </c>
      <c r="D44" s="196" t="s">
        <v>91</v>
      </c>
      <c r="E44" s="198">
        <f t="shared" si="24"/>
        <v>64125</v>
      </c>
      <c r="F44" s="2">
        <f>SUM('2.переченьМРАД'!$I$122,0)</f>
        <v>4013</v>
      </c>
      <c r="G44" s="2">
        <f>SUM('2.переченьМРАД'!$H$122,0)</f>
        <v>60112</v>
      </c>
      <c r="H44" s="2">
        <f>'2.переченьМРАД'!G53</f>
        <v>0</v>
      </c>
      <c r="I44" s="208">
        <v>0</v>
      </c>
      <c r="J44" s="198">
        <f t="shared" ref="J44:J50" si="31">K44+L44+M44+N44</f>
        <v>241974</v>
      </c>
      <c r="K44" s="2">
        <f>ROUND('2.переченьМРАД'!$N$122,0)</f>
        <v>27315</v>
      </c>
      <c r="L44" s="2">
        <f>'2.переченьМРАД'!$M$122</f>
        <v>214659</v>
      </c>
      <c r="M44" s="2">
        <v>0</v>
      </c>
      <c r="N44" s="208">
        <v>0</v>
      </c>
      <c r="O44" s="198">
        <f t="shared" si="25"/>
        <v>185725</v>
      </c>
      <c r="P44" s="2">
        <f>'2.переченьМРАД'!$S$122</f>
        <v>12725</v>
      </c>
      <c r="Q44" s="2">
        <f>'2.переченьМРАД'!$R$122</f>
        <v>173000</v>
      </c>
      <c r="R44" s="2">
        <v>0</v>
      </c>
      <c r="S44" s="208">
        <v>0</v>
      </c>
      <c r="T44" s="198">
        <f t="shared" si="26"/>
        <v>0</v>
      </c>
      <c r="U44" s="199">
        <f>ROUND('2.переченьМРАД'!$X$122,0)</f>
        <v>0</v>
      </c>
      <c r="V44" s="199">
        <f>'2.переченьМРАД'!$W$122</f>
        <v>0</v>
      </c>
      <c r="W44" s="199">
        <v>0</v>
      </c>
      <c r="X44" s="199">
        <v>0</v>
      </c>
      <c r="Y44" s="198">
        <f t="shared" si="27"/>
        <v>0</v>
      </c>
      <c r="Z44" s="199">
        <f>'2.переченьМРАД'!$AC$122</f>
        <v>0</v>
      </c>
      <c r="AA44" s="199">
        <f>ROUND('2.переченьМРАД'!$AB$122,0)</f>
        <v>0</v>
      </c>
      <c r="AB44" s="199">
        <v>0</v>
      </c>
      <c r="AC44" s="199">
        <v>0</v>
      </c>
      <c r="AD44" s="198">
        <f t="shared" si="28"/>
        <v>491824</v>
      </c>
    </row>
    <row r="45" spans="1:34" ht="146.44999999999999" customHeight="1" outlineLevel="1" x14ac:dyDescent="0.2">
      <c r="A45" s="385"/>
      <c r="B45" s="196" t="s">
        <v>857</v>
      </c>
      <c r="C45" s="387"/>
      <c r="D45" s="196">
        <v>2025</v>
      </c>
      <c r="E45" s="198">
        <f t="shared" si="24"/>
        <v>0</v>
      </c>
      <c r="F45" s="2">
        <f>SUM('2.переченьМРАД'!I113:I121)</f>
        <v>0</v>
      </c>
      <c r="G45" s="2">
        <f>SUM('2.переченьМРАД'!H113:H121)</f>
        <v>0</v>
      </c>
      <c r="H45" s="2">
        <f>'2.переченьМРАД'!G122</f>
        <v>0</v>
      </c>
      <c r="I45" s="208">
        <v>0</v>
      </c>
      <c r="J45" s="198">
        <f t="shared" si="31"/>
        <v>0</v>
      </c>
      <c r="K45" s="2">
        <f>SUM('2.переченьМРАД'!N119:N121)</f>
        <v>0</v>
      </c>
      <c r="L45" s="2">
        <f>SUM('2.переченьМРАД'!M119:M121)</f>
        <v>0</v>
      </c>
      <c r="M45" s="2">
        <f>'2.переченьМРАД'!L122</f>
        <v>0</v>
      </c>
      <c r="N45" s="208">
        <v>0</v>
      </c>
      <c r="O45" s="198">
        <f t="shared" si="25"/>
        <v>0</v>
      </c>
      <c r="P45" s="2">
        <f>SUM('2.переченьМРАД'!S119:S121)</f>
        <v>0</v>
      </c>
      <c r="Q45" s="2">
        <f>SUM('2.переченьМРАД'!R119:R121)</f>
        <v>0</v>
      </c>
      <c r="R45" s="2">
        <f>'[1]3.переченьМРАД'!Q96</f>
        <v>0</v>
      </c>
      <c r="S45" s="208">
        <v>0</v>
      </c>
      <c r="T45" s="198">
        <f t="shared" si="26"/>
        <v>0</v>
      </c>
      <c r="U45" s="199">
        <f>SUM('2.переченьМРАД'!X113:X121)</f>
        <v>0</v>
      </c>
      <c r="V45" s="199">
        <f>SUM('2.переченьМРАД'!W113:W121)</f>
        <v>0</v>
      </c>
      <c r="W45" s="199">
        <f>'[1]3.переченьМРАД'!V96</f>
        <v>0</v>
      </c>
      <c r="X45" s="199">
        <v>0</v>
      </c>
      <c r="Y45" s="198">
        <f t="shared" si="27"/>
        <v>0</v>
      </c>
      <c r="Z45" s="199">
        <f>SUM('2.переченьМРАД'!AC109:AC121)</f>
        <v>0</v>
      </c>
      <c r="AA45" s="199">
        <f>SUM('2.переченьМРАД'!AB109:AB121)</f>
        <v>0</v>
      </c>
      <c r="AB45" s="199">
        <f>'[1]3.переченьМРАД'!AA96</f>
        <v>0</v>
      </c>
      <c r="AC45" s="199">
        <v>0</v>
      </c>
      <c r="AD45" s="198">
        <f t="shared" si="28"/>
        <v>0</v>
      </c>
    </row>
    <row r="46" spans="1:34" ht="135.75" customHeight="1" outlineLevel="1" x14ac:dyDescent="0.2">
      <c r="A46" s="385" t="s">
        <v>1070</v>
      </c>
      <c r="B46" s="196" t="s">
        <v>130</v>
      </c>
      <c r="C46" s="387" t="s">
        <v>92</v>
      </c>
      <c r="D46" s="196" t="s">
        <v>91</v>
      </c>
      <c r="E46" s="198">
        <f>F46+G46+H46+I46</f>
        <v>787419</v>
      </c>
      <c r="F46" s="2">
        <f>ROUND('2.переченьМРАД'!$I$295,0)</f>
        <v>42088</v>
      </c>
      <c r="G46" s="2">
        <f>ROUND('2.переченьМРАД'!$H$295,0)</f>
        <v>745331</v>
      </c>
      <c r="H46" s="2">
        <f>'2.переченьМРАД'!G54</f>
        <v>0</v>
      </c>
      <c r="I46" s="208">
        <v>0</v>
      </c>
      <c r="J46" s="198">
        <f>K46+L46+M46+N46</f>
        <v>934352</v>
      </c>
      <c r="K46" s="2">
        <f>ROUND('2.переченьМРАД'!$N$295,0)</f>
        <v>58150</v>
      </c>
      <c r="L46" s="2">
        <f>ROUND('2.переченьМРАД'!$M$295,0)</f>
        <v>876202</v>
      </c>
      <c r="M46" s="2">
        <v>0</v>
      </c>
      <c r="N46" s="208">
        <v>0</v>
      </c>
      <c r="O46" s="198">
        <f t="shared" si="25"/>
        <v>1134890</v>
      </c>
      <c r="P46" s="2">
        <f>ROUND('2.переченьМРАД'!$S$295,0)</f>
        <v>100890</v>
      </c>
      <c r="Q46" s="2">
        <f>ROUND('2.переченьМРАД'!$R$295,0)</f>
        <v>1034000</v>
      </c>
      <c r="R46" s="2">
        <v>0</v>
      </c>
      <c r="S46" s="208">
        <v>0</v>
      </c>
      <c r="T46" s="198">
        <f t="shared" si="26"/>
        <v>756929</v>
      </c>
      <c r="U46" s="199">
        <f>ROUND('2.переченьМРАД'!$X$295,0)</f>
        <v>56929</v>
      </c>
      <c r="V46" s="199">
        <f>ROUND('2.переченьМРАД'!$W$295,0)</f>
        <v>700000</v>
      </c>
      <c r="W46" s="199">
        <v>0</v>
      </c>
      <c r="X46" s="199">
        <v>0</v>
      </c>
      <c r="Y46" s="198">
        <f t="shared" si="27"/>
        <v>770317</v>
      </c>
      <c r="Z46" s="199">
        <f>ROUND('2.переченьМРАД'!$AC$295,0)</f>
        <v>70317</v>
      </c>
      <c r="AA46" s="199">
        <f>ROUND('2.переченьМРАД'!$AB$295,0)</f>
        <v>700000</v>
      </c>
      <c r="AB46" s="199">
        <v>0</v>
      </c>
      <c r="AC46" s="199">
        <v>0</v>
      </c>
      <c r="AD46" s="198">
        <f>E46+J46+O46+T46+Y46</f>
        <v>4383907</v>
      </c>
    </row>
    <row r="47" spans="1:34" ht="149.25" customHeight="1" outlineLevel="1" x14ac:dyDescent="0.2">
      <c r="A47" s="385"/>
      <c r="B47" s="196" t="s">
        <v>857</v>
      </c>
      <c r="C47" s="387"/>
      <c r="D47" s="196" t="s">
        <v>861</v>
      </c>
      <c r="E47" s="198">
        <f t="shared" si="24"/>
        <v>682680</v>
      </c>
      <c r="F47" s="2">
        <f>SUM('2.переченьМРАД'!I250:I294)</f>
        <v>32769</v>
      </c>
      <c r="G47" s="2">
        <f>SUM('2.переченьМРАД'!H250:H294)</f>
        <v>649911</v>
      </c>
      <c r="H47" s="2">
        <f>SUM('[1]3.переченьМРАД'!G215:G227)</f>
        <v>0</v>
      </c>
      <c r="I47" s="208">
        <v>0</v>
      </c>
      <c r="J47" s="198">
        <f t="shared" si="31"/>
        <v>930249</v>
      </c>
      <c r="K47" s="2">
        <f>SUM('2.переченьМРАД'!N250:N294)</f>
        <v>54047</v>
      </c>
      <c r="L47" s="2">
        <f>SUM('2.переченьМРАД'!M250:M294)</f>
        <v>876202</v>
      </c>
      <c r="M47" s="2">
        <f>SUM('[1]3.переченьМРАД'!L215:L227)</f>
        <v>0</v>
      </c>
      <c r="N47" s="208">
        <v>0</v>
      </c>
      <c r="O47" s="198">
        <f t="shared" si="25"/>
        <v>743100</v>
      </c>
      <c r="P47" s="2">
        <f>SUM('2.переченьМРАД'!S250:S294)</f>
        <v>43100</v>
      </c>
      <c r="Q47" s="2">
        <f>SUM('2.переченьМРАД'!R250:R294)</f>
        <v>700000</v>
      </c>
      <c r="R47" s="2">
        <f>SUM('[1]3.переченьМРАД'!Q215:Q227)</f>
        <v>0</v>
      </c>
      <c r="S47" s="208">
        <v>0</v>
      </c>
      <c r="T47" s="198">
        <f t="shared" si="26"/>
        <v>743100</v>
      </c>
      <c r="U47" s="199">
        <f>SUM('2.переченьМРАД'!X250:X294)</f>
        <v>43100</v>
      </c>
      <c r="V47" s="199">
        <f>SUM('2.переченьМРАД'!W250:W294)</f>
        <v>700000</v>
      </c>
      <c r="W47" s="199">
        <f>SUM('2.переченьМРАД'!V250:V294)</f>
        <v>0</v>
      </c>
      <c r="X47" s="199">
        <v>0</v>
      </c>
      <c r="Y47" s="198">
        <f t="shared" si="27"/>
        <v>743100</v>
      </c>
      <c r="Z47" s="199">
        <f>SUM('2.переченьМРАД'!AC250:AC294)</f>
        <v>43100</v>
      </c>
      <c r="AA47" s="199">
        <f>SUM('2.переченьМРАД'!AB250:AB294)</f>
        <v>700000</v>
      </c>
      <c r="AB47" s="199">
        <f>SUM('[1]3.переченьМРАД'!AA215:AA227)</f>
        <v>0</v>
      </c>
      <c r="AC47" s="199">
        <v>0</v>
      </c>
      <c r="AD47" s="198">
        <f t="shared" si="28"/>
        <v>3842229</v>
      </c>
    </row>
    <row r="48" spans="1:34" ht="156.75" customHeight="1" outlineLevel="1" x14ac:dyDescent="0.2">
      <c r="A48" s="200" t="s">
        <v>1071</v>
      </c>
      <c r="B48" s="196" t="s">
        <v>449</v>
      </c>
      <c r="C48" s="9" t="s">
        <v>102</v>
      </c>
      <c r="D48" s="196" t="s">
        <v>91</v>
      </c>
      <c r="E48" s="198">
        <f t="shared" si="24"/>
        <v>142702</v>
      </c>
      <c r="F48" s="2">
        <f>'2.переченьМРАД'!$I$299</f>
        <v>7702</v>
      </c>
      <c r="G48" s="2">
        <f>'2.переченьМРАД'!$H$299</f>
        <v>135000</v>
      </c>
      <c r="H48" s="2">
        <f>'2.переченьМРАД'!G56</f>
        <v>0</v>
      </c>
      <c r="I48" s="208">
        <v>0</v>
      </c>
      <c r="J48" s="198">
        <f t="shared" si="31"/>
        <v>132502</v>
      </c>
      <c r="K48" s="2">
        <f>'2.переченьМРАД'!$N$299</f>
        <v>132502</v>
      </c>
      <c r="L48" s="2">
        <f>'2.переченьМРАД'!$M$299</f>
        <v>0</v>
      </c>
      <c r="M48" s="2">
        <v>0</v>
      </c>
      <c r="N48" s="208">
        <v>0</v>
      </c>
      <c r="O48" s="198">
        <f t="shared" si="25"/>
        <v>47696</v>
      </c>
      <c r="P48" s="2">
        <f>'2.переченьМРАД'!$S$299</f>
        <v>47696</v>
      </c>
      <c r="Q48" s="2">
        <f>'2.переченьМРАД'!$R$299</f>
        <v>0</v>
      </c>
      <c r="R48" s="2">
        <v>0</v>
      </c>
      <c r="S48" s="208">
        <v>0</v>
      </c>
      <c r="T48" s="198">
        <f t="shared" si="26"/>
        <v>7696</v>
      </c>
      <c r="U48" s="199">
        <f>ROUND('2.переченьМРАД'!$X$299,0)</f>
        <v>7696</v>
      </c>
      <c r="V48" s="199">
        <f>ROUND('2.переченьМРАД'!$W$299,0)</f>
        <v>0</v>
      </c>
      <c r="W48" s="199">
        <v>0</v>
      </c>
      <c r="X48" s="199">
        <v>0</v>
      </c>
      <c r="Y48" s="198">
        <f t="shared" si="27"/>
        <v>7696</v>
      </c>
      <c r="Z48" s="199">
        <f>ROUND('2.переченьМРАД'!$AC$299,0)</f>
        <v>7696</v>
      </c>
      <c r="AA48" s="199">
        <f>ROUND('2.переченьМРАД'!$AB$299,0)</f>
        <v>0</v>
      </c>
      <c r="AB48" s="199">
        <v>0</v>
      </c>
      <c r="AC48" s="199">
        <v>0</v>
      </c>
      <c r="AD48" s="198">
        <f t="shared" si="28"/>
        <v>338292</v>
      </c>
    </row>
    <row r="49" spans="1:34" s="32" customFormat="1" ht="343.5" customHeight="1" outlineLevel="1" x14ac:dyDescent="0.2">
      <c r="A49" s="200" t="s">
        <v>1072</v>
      </c>
      <c r="B49" s="196" t="s">
        <v>456</v>
      </c>
      <c r="C49" s="9" t="s">
        <v>102</v>
      </c>
      <c r="D49" s="196" t="s">
        <v>91</v>
      </c>
      <c r="E49" s="198">
        <f>F49+G49+H49+I49</f>
        <v>2746</v>
      </c>
      <c r="F49" s="2">
        <v>2746</v>
      </c>
      <c r="G49" s="2">
        <f>'2.переченьМРАД'!$H$551</f>
        <v>0</v>
      </c>
      <c r="H49" s="2">
        <f>'2.переченьМРАД'!G551</f>
        <v>0</v>
      </c>
      <c r="I49" s="208">
        <v>0</v>
      </c>
      <c r="J49" s="198">
        <f t="shared" si="31"/>
        <v>1380</v>
      </c>
      <c r="K49" s="2">
        <f>'2.переченьМРАД'!N551</f>
        <v>1380</v>
      </c>
      <c r="L49" s="2">
        <f>'[2]2.переченьМРАД'!$M$510</f>
        <v>0</v>
      </c>
      <c r="M49" s="2">
        <v>0</v>
      </c>
      <c r="N49" s="208">
        <v>0</v>
      </c>
      <c r="O49" s="198">
        <f t="shared" si="25"/>
        <v>2257</v>
      </c>
      <c r="P49" s="2">
        <f>'2.переченьМРАД'!S551</f>
        <v>2257</v>
      </c>
      <c r="Q49" s="2">
        <f>'[2]2.переченьМРАД'!$R$510</f>
        <v>0</v>
      </c>
      <c r="R49" s="2">
        <v>0</v>
      </c>
      <c r="S49" s="208">
        <v>0</v>
      </c>
      <c r="T49" s="198">
        <f t="shared" si="26"/>
        <v>2061</v>
      </c>
      <c r="U49" s="199">
        <f>'2.переченьМРАД'!X551</f>
        <v>2061</v>
      </c>
      <c r="V49" s="199">
        <f>'2.переченьМРАД'!$W$551</f>
        <v>0</v>
      </c>
      <c r="W49" s="199">
        <v>0</v>
      </c>
      <c r="X49" s="199">
        <v>0</v>
      </c>
      <c r="Y49" s="198">
        <f t="shared" si="27"/>
        <v>0</v>
      </c>
      <c r="Z49" s="199">
        <f>ROUND('2.переченьМРАД'!$AC$551,0)</f>
        <v>0</v>
      </c>
      <c r="AA49" s="199">
        <f>'2.переченьМРАД'!$AB$551</f>
        <v>0</v>
      </c>
      <c r="AB49" s="199">
        <v>0</v>
      </c>
      <c r="AC49" s="199">
        <v>0</v>
      </c>
      <c r="AD49" s="198">
        <f>E49+J49+O49+T49+Y49</f>
        <v>8444</v>
      </c>
      <c r="AE49" s="209">
        <f>F53-'[3]3.меропр.'!F44</f>
        <v>31017.000719999996</v>
      </c>
      <c r="AF49" s="209">
        <f>G53-'[3]3.меропр.'!G44</f>
        <v>649107.99927999999</v>
      </c>
      <c r="AG49" s="209">
        <f>H53-'[3]3.меропр.'!H44</f>
        <v>126793</v>
      </c>
      <c r="AH49" s="210">
        <f>I53-'[3]3.меропр.'!I44</f>
        <v>0</v>
      </c>
    </row>
    <row r="50" spans="1:34" s="32" customFormat="1" ht="115.9" customHeight="1" outlineLevel="1" x14ac:dyDescent="0.2">
      <c r="A50" s="196" t="s">
        <v>1073</v>
      </c>
      <c r="B50" s="196" t="s">
        <v>714</v>
      </c>
      <c r="C50" s="9" t="s">
        <v>102</v>
      </c>
      <c r="D50" s="196" t="s">
        <v>860</v>
      </c>
      <c r="E50" s="198">
        <f>F50+G50+H50+I50</f>
        <v>155462</v>
      </c>
      <c r="F50" s="2">
        <f>'2.переченьМРАД'!I553</f>
        <v>7462</v>
      </c>
      <c r="G50" s="2">
        <f>'2.переченьМРАД'!H553</f>
        <v>148000</v>
      </c>
      <c r="H50" s="2">
        <f>'2.переченьМРАД'!G553</f>
        <v>0</v>
      </c>
      <c r="I50" s="208">
        <v>0</v>
      </c>
      <c r="J50" s="198">
        <f t="shared" si="31"/>
        <v>212314</v>
      </c>
      <c r="K50" s="2">
        <f>'2.переченьМРАД'!N554</f>
        <v>12314</v>
      </c>
      <c r="L50" s="2">
        <f>'2.переченьМРАД'!M554</f>
        <v>200000</v>
      </c>
      <c r="M50" s="2">
        <f>'2.переченьМРАД'!L553</f>
        <v>0</v>
      </c>
      <c r="N50" s="208">
        <v>0</v>
      </c>
      <c r="O50" s="198">
        <f t="shared" si="25"/>
        <v>212314</v>
      </c>
      <c r="P50" s="2">
        <f>'2.переченьМРАД'!S553</f>
        <v>12314</v>
      </c>
      <c r="Q50" s="2">
        <f>'2.переченьМРАД'!R553</f>
        <v>200000</v>
      </c>
      <c r="R50" s="2">
        <f>'2.переченьМРАД'!Q553</f>
        <v>0</v>
      </c>
      <c r="S50" s="208">
        <v>0</v>
      </c>
      <c r="T50" s="198">
        <f t="shared" si="26"/>
        <v>0</v>
      </c>
      <c r="U50" s="199">
        <f>'2.переченьМРАД'!X553</f>
        <v>0</v>
      </c>
      <c r="V50" s="199">
        <f>'2.переченьМРАД'!W553</f>
        <v>0</v>
      </c>
      <c r="W50" s="199">
        <f>'2.переченьМРАД'!V553</f>
        <v>0</v>
      </c>
      <c r="X50" s="199">
        <v>0</v>
      </c>
      <c r="Y50" s="198">
        <f t="shared" si="27"/>
        <v>0</v>
      </c>
      <c r="Z50" s="199">
        <f>'2.переченьМРАД'!AC553</f>
        <v>0</v>
      </c>
      <c r="AA50" s="199">
        <f>'2.переченьМРАД'!AB553</f>
        <v>0</v>
      </c>
      <c r="AB50" s="199">
        <f>'2.переченьМРАД'!AA553</f>
        <v>0</v>
      </c>
      <c r="AC50" s="199">
        <v>0</v>
      </c>
      <c r="AD50" s="198">
        <f t="shared" si="28"/>
        <v>580090</v>
      </c>
      <c r="AE50" s="209"/>
      <c r="AF50" s="209"/>
      <c r="AG50" s="209"/>
      <c r="AH50" s="210"/>
    </row>
    <row r="51" spans="1:34" s="213" customFormat="1" ht="51" customHeight="1" outlineLevel="1" x14ac:dyDescent="0.25">
      <c r="A51" s="359" t="s">
        <v>956</v>
      </c>
      <c r="B51" s="359"/>
      <c r="C51" s="359"/>
      <c r="D51" s="34"/>
      <c r="E51" s="198">
        <f>F51+G51+H51+I51</f>
        <v>1584835</v>
      </c>
      <c r="F51" s="3">
        <f>F53-F52</f>
        <v>108934</v>
      </c>
      <c r="G51" s="3">
        <f>G53-G52</f>
        <v>1349108</v>
      </c>
      <c r="H51" s="3">
        <f>H53-H52</f>
        <v>126793</v>
      </c>
      <c r="I51" s="3">
        <f t="shared" ref="I51" si="32">I53-I43</f>
        <v>0</v>
      </c>
      <c r="J51" s="198">
        <f>K51+L51+M51+N51</f>
        <v>1550012</v>
      </c>
      <c r="K51" s="3">
        <f>K53-K52</f>
        <v>259151</v>
      </c>
      <c r="L51" s="3">
        <f t="shared" ref="L51:N51" si="33">L53-L52</f>
        <v>1290861</v>
      </c>
      <c r="M51" s="3">
        <f t="shared" si="33"/>
        <v>0</v>
      </c>
      <c r="N51" s="3">
        <f t="shared" si="33"/>
        <v>0</v>
      </c>
      <c r="O51" s="3">
        <f t="shared" si="25"/>
        <v>1675983</v>
      </c>
      <c r="P51" s="3">
        <f>P53-P52</f>
        <v>221935</v>
      </c>
      <c r="Q51" s="3">
        <f t="shared" ref="Q51:S51" si="34">Q53-Q52</f>
        <v>1454048</v>
      </c>
      <c r="R51" s="3">
        <f t="shared" si="34"/>
        <v>0</v>
      </c>
      <c r="S51" s="3">
        <f t="shared" si="34"/>
        <v>0</v>
      </c>
      <c r="T51" s="198">
        <f t="shared" si="26"/>
        <v>796677</v>
      </c>
      <c r="U51" s="198">
        <f>U53-U52</f>
        <v>96677</v>
      </c>
      <c r="V51" s="198">
        <f t="shared" ref="V51:X51" si="35">V53-V52</f>
        <v>700000</v>
      </c>
      <c r="W51" s="198">
        <f t="shared" si="35"/>
        <v>0</v>
      </c>
      <c r="X51" s="198">
        <f t="shared" si="35"/>
        <v>0</v>
      </c>
      <c r="Y51" s="198">
        <f t="shared" si="27"/>
        <v>778013</v>
      </c>
      <c r="Z51" s="198">
        <f>Z53-Z52</f>
        <v>78013</v>
      </c>
      <c r="AA51" s="198">
        <f t="shared" ref="AA51:AC51" si="36">AA53-AA52</f>
        <v>700000</v>
      </c>
      <c r="AB51" s="198">
        <f t="shared" si="36"/>
        <v>0</v>
      </c>
      <c r="AC51" s="198">
        <f t="shared" si="36"/>
        <v>0</v>
      </c>
      <c r="AD51" s="198">
        <f>E51+J51+O51+T51+Y51</f>
        <v>6385520</v>
      </c>
      <c r="AE51" s="211"/>
      <c r="AF51" s="211"/>
      <c r="AG51" s="211"/>
      <c r="AH51" s="212"/>
    </row>
    <row r="52" spans="1:34" s="213" customFormat="1" ht="40.5" customHeight="1" outlineLevel="1" x14ac:dyDescent="0.25">
      <c r="A52" s="359" t="s">
        <v>957</v>
      </c>
      <c r="B52" s="359"/>
      <c r="C52" s="359"/>
      <c r="D52" s="34"/>
      <c r="E52" s="198">
        <f>F52+G52+H52+I52</f>
        <v>988</v>
      </c>
      <c r="F52" s="3">
        <f>F43</f>
        <v>988</v>
      </c>
      <c r="G52" s="3">
        <f t="shared" ref="G52:I52" si="37">G43</f>
        <v>0</v>
      </c>
      <c r="H52" s="3">
        <f t="shared" si="37"/>
        <v>0</v>
      </c>
      <c r="I52" s="3">
        <f t="shared" si="37"/>
        <v>0</v>
      </c>
      <c r="J52" s="198">
        <f>K52+L52+M52+N52</f>
        <v>1584</v>
      </c>
      <c r="K52" s="3">
        <f>K43</f>
        <v>1584</v>
      </c>
      <c r="L52" s="3">
        <f t="shared" ref="L52:N52" si="38">L43</f>
        <v>0</v>
      </c>
      <c r="M52" s="3">
        <f t="shared" si="38"/>
        <v>0</v>
      </c>
      <c r="N52" s="214">
        <f t="shared" si="38"/>
        <v>0</v>
      </c>
      <c r="O52" s="198">
        <f t="shared" si="25"/>
        <v>0</v>
      </c>
      <c r="P52" s="3">
        <f>P43</f>
        <v>0</v>
      </c>
      <c r="Q52" s="3">
        <f t="shared" ref="Q52:S52" si="39">Q43</f>
        <v>0</v>
      </c>
      <c r="R52" s="3">
        <f t="shared" si="39"/>
        <v>0</v>
      </c>
      <c r="S52" s="214">
        <f t="shared" si="39"/>
        <v>0</v>
      </c>
      <c r="T52" s="198">
        <f t="shared" si="26"/>
        <v>0</v>
      </c>
      <c r="U52" s="198">
        <f>U43</f>
        <v>0</v>
      </c>
      <c r="V52" s="198">
        <f t="shared" ref="V52:X52" si="40">V43</f>
        <v>0</v>
      </c>
      <c r="W52" s="198">
        <f t="shared" si="40"/>
        <v>0</v>
      </c>
      <c r="X52" s="198">
        <f t="shared" si="40"/>
        <v>0</v>
      </c>
      <c r="Y52" s="198">
        <f>Z52+AA52+AB52+AC52</f>
        <v>0</v>
      </c>
      <c r="Z52" s="198">
        <f>Z43</f>
        <v>0</v>
      </c>
      <c r="AA52" s="198">
        <f t="shared" ref="AA52:AC52" si="41">AA43</f>
        <v>0</v>
      </c>
      <c r="AB52" s="198">
        <f t="shared" si="41"/>
        <v>0</v>
      </c>
      <c r="AC52" s="198">
        <f t="shared" si="41"/>
        <v>0</v>
      </c>
      <c r="AD52" s="198">
        <f>E52+J52+O52+T52+Y52</f>
        <v>2572</v>
      </c>
      <c r="AE52" s="211"/>
      <c r="AF52" s="211"/>
      <c r="AG52" s="211"/>
      <c r="AH52" s="212"/>
    </row>
    <row r="53" spans="1:34" ht="42" customHeight="1" x14ac:dyDescent="0.2">
      <c r="A53" s="359" t="s">
        <v>955</v>
      </c>
      <c r="B53" s="359"/>
      <c r="C53" s="359"/>
      <c r="D53" s="8"/>
      <c r="E53" s="198">
        <f t="shared" ref="E53:AD53" si="42">SUM(E40:E50)-E47-E45</f>
        <v>1585823</v>
      </c>
      <c r="F53" s="198">
        <f>SUM(F40:F50)-F47-F45</f>
        <v>109922</v>
      </c>
      <c r="G53" s="198">
        <f>SUM(G40:G50)-G47-G45</f>
        <v>1349108</v>
      </c>
      <c r="H53" s="198">
        <f>SUM(H40:H50)-H47-H45</f>
        <v>126793</v>
      </c>
      <c r="I53" s="198">
        <f t="shared" si="42"/>
        <v>0</v>
      </c>
      <c r="J53" s="198">
        <f t="shared" si="42"/>
        <v>1551596</v>
      </c>
      <c r="K53" s="198">
        <f t="shared" si="42"/>
        <v>260735</v>
      </c>
      <c r="L53" s="198">
        <f t="shared" si="42"/>
        <v>1290861</v>
      </c>
      <c r="M53" s="198">
        <f t="shared" si="42"/>
        <v>0</v>
      </c>
      <c r="N53" s="198">
        <f t="shared" si="42"/>
        <v>0</v>
      </c>
      <c r="O53" s="198">
        <f t="shared" si="25"/>
        <v>1675983</v>
      </c>
      <c r="P53" s="198">
        <f t="shared" si="42"/>
        <v>221935</v>
      </c>
      <c r="Q53" s="198">
        <f t="shared" si="42"/>
        <v>1454048</v>
      </c>
      <c r="R53" s="198">
        <f t="shared" si="42"/>
        <v>0</v>
      </c>
      <c r="S53" s="198">
        <f t="shared" si="42"/>
        <v>0</v>
      </c>
      <c r="T53" s="198">
        <f t="shared" si="26"/>
        <v>796677</v>
      </c>
      <c r="U53" s="198">
        <f t="shared" si="42"/>
        <v>96677</v>
      </c>
      <c r="V53" s="198">
        <f t="shared" si="42"/>
        <v>700000</v>
      </c>
      <c r="W53" s="198">
        <f t="shared" si="42"/>
        <v>0</v>
      </c>
      <c r="X53" s="198">
        <f t="shared" si="42"/>
        <v>0</v>
      </c>
      <c r="Y53" s="198">
        <f t="shared" si="42"/>
        <v>778013</v>
      </c>
      <c r="Z53" s="198">
        <f t="shared" si="42"/>
        <v>78013</v>
      </c>
      <c r="AA53" s="198">
        <f t="shared" si="42"/>
        <v>700000</v>
      </c>
      <c r="AB53" s="198">
        <f t="shared" si="42"/>
        <v>0</v>
      </c>
      <c r="AC53" s="198">
        <f t="shared" si="42"/>
        <v>0</v>
      </c>
      <c r="AD53" s="198">
        <f t="shared" si="42"/>
        <v>6388092</v>
      </c>
      <c r="AE53" s="206">
        <f>F53+K53+P53+U53+Z53</f>
        <v>767282</v>
      </c>
      <c r="AF53" s="206">
        <f>G53+L53+Q53+V53+AA53</f>
        <v>5494017</v>
      </c>
      <c r="AG53" s="206">
        <f>H53+M53+R53+W53+AB53</f>
        <v>126793</v>
      </c>
      <c r="AH53" s="206">
        <f>I53+N53+S53+X53+AC53</f>
        <v>0</v>
      </c>
    </row>
    <row r="54" spans="1:34" ht="42" customHeight="1" x14ac:dyDescent="0.2">
      <c r="A54" s="194" t="s">
        <v>1088</v>
      </c>
      <c r="B54" s="405" t="s">
        <v>451</v>
      </c>
      <c r="C54" s="406"/>
      <c r="D54" s="406"/>
      <c r="E54" s="406"/>
      <c r="F54" s="406"/>
      <c r="G54" s="406"/>
      <c r="H54" s="406"/>
      <c r="I54" s="406"/>
      <c r="J54" s="406"/>
      <c r="K54" s="406"/>
      <c r="L54" s="406"/>
      <c r="M54" s="406"/>
      <c r="N54" s="406"/>
      <c r="O54" s="406"/>
      <c r="P54" s="406"/>
      <c r="Q54" s="406"/>
      <c r="R54" s="406"/>
      <c r="S54" s="406"/>
      <c r="T54" s="406"/>
      <c r="U54" s="406"/>
      <c r="V54" s="406"/>
      <c r="W54" s="406"/>
      <c r="X54" s="406"/>
      <c r="Y54" s="406"/>
      <c r="Z54" s="406"/>
      <c r="AA54" s="406"/>
      <c r="AB54" s="406"/>
      <c r="AC54" s="406"/>
      <c r="AD54" s="406"/>
      <c r="AE54" s="215"/>
      <c r="AF54" s="215"/>
      <c r="AG54" s="215"/>
      <c r="AH54" s="215"/>
    </row>
    <row r="55" spans="1:34" ht="37.9" customHeight="1" x14ac:dyDescent="0.2">
      <c r="A55" s="391" t="s">
        <v>1032</v>
      </c>
      <c r="B55" s="391"/>
      <c r="C55" s="391"/>
      <c r="D55" s="391"/>
      <c r="E55" s="391"/>
      <c r="F55" s="391"/>
      <c r="G55" s="391"/>
      <c r="H55" s="391"/>
      <c r="I55" s="391"/>
      <c r="J55" s="391"/>
      <c r="K55" s="391"/>
      <c r="L55" s="391"/>
      <c r="M55" s="391"/>
      <c r="N55" s="391"/>
      <c r="O55" s="391"/>
      <c r="P55" s="391"/>
      <c r="Q55" s="391"/>
      <c r="R55" s="391"/>
      <c r="S55" s="391"/>
      <c r="T55" s="391"/>
      <c r="U55" s="391"/>
      <c r="V55" s="391"/>
      <c r="W55" s="391"/>
      <c r="X55" s="391"/>
      <c r="Y55" s="391"/>
      <c r="Z55" s="391"/>
      <c r="AA55" s="391"/>
      <c r="AB55" s="391"/>
      <c r="AC55" s="391"/>
      <c r="AD55" s="391"/>
    </row>
    <row r="56" spans="1:34" ht="36" customHeight="1" x14ac:dyDescent="0.2">
      <c r="A56" s="398" t="s">
        <v>450</v>
      </c>
      <c r="B56" s="398"/>
      <c r="C56" s="398"/>
      <c r="D56" s="398"/>
      <c r="E56" s="398"/>
      <c r="F56" s="398"/>
      <c r="G56" s="398"/>
      <c r="H56" s="398"/>
      <c r="I56" s="398"/>
      <c r="J56" s="398"/>
      <c r="K56" s="398"/>
      <c r="L56" s="398"/>
      <c r="M56" s="398"/>
      <c r="N56" s="398"/>
      <c r="O56" s="398"/>
      <c r="P56" s="398"/>
      <c r="Q56" s="398"/>
      <c r="R56" s="398"/>
      <c r="S56" s="398"/>
      <c r="T56" s="398"/>
      <c r="U56" s="398"/>
      <c r="V56" s="398"/>
      <c r="W56" s="398"/>
      <c r="X56" s="398"/>
      <c r="Y56" s="398"/>
      <c r="Z56" s="398"/>
      <c r="AA56" s="398"/>
      <c r="AB56" s="398"/>
      <c r="AC56" s="398"/>
      <c r="AD56" s="398"/>
    </row>
    <row r="57" spans="1:34" ht="36.6" customHeight="1" outlineLevel="1" x14ac:dyDescent="0.2">
      <c r="A57" s="216" t="s">
        <v>82</v>
      </c>
      <c r="B57" s="393" t="s">
        <v>1089</v>
      </c>
      <c r="C57" s="394"/>
      <c r="D57" s="394"/>
      <c r="E57" s="394"/>
      <c r="F57" s="394"/>
      <c r="G57" s="394"/>
      <c r="H57" s="394"/>
      <c r="I57" s="394"/>
      <c r="J57" s="394"/>
      <c r="K57" s="394"/>
      <c r="L57" s="394"/>
      <c r="M57" s="394"/>
      <c r="N57" s="394"/>
      <c r="O57" s="394"/>
      <c r="P57" s="394"/>
      <c r="Q57" s="394"/>
      <c r="R57" s="394"/>
      <c r="S57" s="394"/>
      <c r="T57" s="394"/>
      <c r="U57" s="394"/>
      <c r="V57" s="394"/>
      <c r="W57" s="394"/>
      <c r="X57" s="394"/>
      <c r="Y57" s="394"/>
      <c r="Z57" s="394"/>
      <c r="AA57" s="394"/>
      <c r="AB57" s="394"/>
      <c r="AC57" s="394"/>
      <c r="AD57" s="394"/>
      <c r="AE57" s="217"/>
      <c r="AF57" s="217"/>
      <c r="AG57" s="217"/>
      <c r="AH57" s="217"/>
    </row>
    <row r="58" spans="1:34" ht="207.75" customHeight="1" outlineLevel="1" x14ac:dyDescent="0.2">
      <c r="A58" s="200" t="s">
        <v>1059</v>
      </c>
      <c r="B58" s="8" t="s">
        <v>1055</v>
      </c>
      <c r="C58" s="9" t="s">
        <v>97</v>
      </c>
      <c r="D58" s="196" t="s">
        <v>91</v>
      </c>
      <c r="E58" s="198">
        <f>F58+G58+H58+I58</f>
        <v>242392</v>
      </c>
      <c r="F58" s="199">
        <f>390702-125000-25030+1720</f>
        <v>242392</v>
      </c>
      <c r="G58" s="199">
        <v>0</v>
      </c>
      <c r="H58" s="199">
        <v>0</v>
      </c>
      <c r="I58" s="199">
        <v>0</v>
      </c>
      <c r="J58" s="198">
        <f>K58+L58+M58+N58</f>
        <v>221307</v>
      </c>
      <c r="K58" s="199">
        <v>221307</v>
      </c>
      <c r="L58" s="199">
        <v>0</v>
      </c>
      <c r="M58" s="199">
        <v>0</v>
      </c>
      <c r="N58" s="199">
        <v>0</v>
      </c>
      <c r="O58" s="198">
        <f t="shared" ref="O58:O64" si="43">SUM(P58:S58)</f>
        <v>217328</v>
      </c>
      <c r="P58" s="199">
        <f>424611+1857+3174-212314</f>
        <v>217328</v>
      </c>
      <c r="Q58" s="199">
        <v>0</v>
      </c>
      <c r="R58" s="199">
        <v>0</v>
      </c>
      <c r="S58" s="199">
        <v>0</v>
      </c>
      <c r="T58" s="198">
        <f t="shared" ref="T58:T59" si="44">SUM(U58:X58)</f>
        <v>446637</v>
      </c>
      <c r="U58" s="199">
        <f>426468+20169</f>
        <v>446637</v>
      </c>
      <c r="V58" s="199">
        <v>0</v>
      </c>
      <c r="W58" s="199">
        <v>0</v>
      </c>
      <c r="X58" s="199">
        <v>0</v>
      </c>
      <c r="Y58" s="198">
        <f t="shared" ref="Y58:Y59" si="45">SUM(Z58:AC58)</f>
        <v>446637</v>
      </c>
      <c r="Z58" s="199">
        <f>422583+24054</f>
        <v>446637</v>
      </c>
      <c r="AA58" s="199">
        <v>0</v>
      </c>
      <c r="AB58" s="199">
        <v>0</v>
      </c>
      <c r="AC58" s="199">
        <v>0</v>
      </c>
      <c r="AD58" s="198">
        <f t="shared" ref="AD58:AH59" si="46">E58+J58+O58+T58+Y58</f>
        <v>1574301</v>
      </c>
      <c r="AE58" s="206">
        <f t="shared" si="46"/>
        <v>1574301</v>
      </c>
      <c r="AF58" s="206">
        <f t="shared" si="46"/>
        <v>0</v>
      </c>
      <c r="AG58" s="206">
        <f t="shared" si="46"/>
        <v>0</v>
      </c>
      <c r="AH58" s="206">
        <f t="shared" si="46"/>
        <v>0</v>
      </c>
    </row>
    <row r="59" spans="1:34" ht="95.25" customHeight="1" outlineLevel="1" x14ac:dyDescent="0.2">
      <c r="A59" s="200" t="s">
        <v>1090</v>
      </c>
      <c r="B59" s="8" t="s">
        <v>131</v>
      </c>
      <c r="C59" s="9" t="s">
        <v>97</v>
      </c>
      <c r="D59" s="196" t="s">
        <v>91</v>
      </c>
      <c r="E59" s="198">
        <v>846</v>
      </c>
      <c r="F59" s="199">
        <v>846</v>
      </c>
      <c r="G59" s="199">
        <v>0</v>
      </c>
      <c r="H59" s="199">
        <v>0</v>
      </c>
      <c r="I59" s="199">
        <v>0</v>
      </c>
      <c r="J59" s="198">
        <f>K59+L59+M59+N59</f>
        <v>846</v>
      </c>
      <c r="K59" s="199">
        <v>846</v>
      </c>
      <c r="L59" s="199">
        <v>0</v>
      </c>
      <c r="M59" s="199">
        <v>0</v>
      </c>
      <c r="N59" s="199">
        <v>0</v>
      </c>
      <c r="O59" s="198">
        <f t="shared" si="43"/>
        <v>846</v>
      </c>
      <c r="P59" s="199">
        <v>846</v>
      </c>
      <c r="Q59" s="199">
        <v>0</v>
      </c>
      <c r="R59" s="199">
        <v>0</v>
      </c>
      <c r="S59" s="199">
        <v>0</v>
      </c>
      <c r="T59" s="198">
        <f t="shared" si="44"/>
        <v>846</v>
      </c>
      <c r="U59" s="199">
        <v>846</v>
      </c>
      <c r="V59" s="199">
        <v>0</v>
      </c>
      <c r="W59" s="199">
        <v>0</v>
      </c>
      <c r="X59" s="199">
        <v>0</v>
      </c>
      <c r="Y59" s="198">
        <f t="shared" si="45"/>
        <v>846</v>
      </c>
      <c r="Z59" s="199">
        <v>846</v>
      </c>
      <c r="AA59" s="199">
        <v>0</v>
      </c>
      <c r="AB59" s="199">
        <v>0</v>
      </c>
      <c r="AC59" s="199">
        <v>0</v>
      </c>
      <c r="AD59" s="198">
        <f t="shared" si="46"/>
        <v>4230</v>
      </c>
      <c r="AE59" s="206">
        <f t="shared" si="46"/>
        <v>4230</v>
      </c>
      <c r="AF59" s="206">
        <f t="shared" si="46"/>
        <v>0</v>
      </c>
      <c r="AG59" s="206">
        <f t="shared" si="46"/>
        <v>0</v>
      </c>
      <c r="AH59" s="206">
        <f t="shared" si="46"/>
        <v>0</v>
      </c>
    </row>
    <row r="60" spans="1:34" ht="36.6" customHeight="1" outlineLevel="1" x14ac:dyDescent="0.2">
      <c r="A60" s="216" t="s">
        <v>83</v>
      </c>
      <c r="B60" s="393" t="s">
        <v>1091</v>
      </c>
      <c r="C60" s="394"/>
      <c r="D60" s="394"/>
      <c r="E60" s="394"/>
      <c r="F60" s="394"/>
      <c r="G60" s="394"/>
      <c r="H60" s="394"/>
      <c r="I60" s="394"/>
      <c r="J60" s="394"/>
      <c r="K60" s="394"/>
      <c r="L60" s="394"/>
      <c r="M60" s="394"/>
      <c r="N60" s="394"/>
      <c r="O60" s="394"/>
      <c r="P60" s="394"/>
      <c r="Q60" s="394"/>
      <c r="R60" s="394"/>
      <c r="S60" s="394"/>
      <c r="T60" s="394"/>
      <c r="U60" s="394"/>
      <c r="V60" s="394"/>
      <c r="W60" s="394"/>
      <c r="X60" s="394"/>
      <c r="Y60" s="394"/>
      <c r="Z60" s="394"/>
      <c r="AA60" s="394"/>
      <c r="AB60" s="394"/>
      <c r="AC60" s="394"/>
      <c r="AD60" s="395"/>
      <c r="AE60" s="218"/>
      <c r="AF60" s="71"/>
      <c r="AG60" s="71"/>
      <c r="AH60" s="71"/>
    </row>
    <row r="61" spans="1:34" ht="96.6" customHeight="1" outlineLevel="1" x14ac:dyDescent="0.2">
      <c r="A61" s="200" t="s">
        <v>1060</v>
      </c>
      <c r="B61" s="8" t="s">
        <v>132</v>
      </c>
      <c r="C61" s="9" t="s">
        <v>97</v>
      </c>
      <c r="D61" s="196" t="s">
        <v>91</v>
      </c>
      <c r="E61" s="198">
        <f>F61+G61+H61+I61</f>
        <v>29931</v>
      </c>
      <c r="F61" s="199">
        <f>30000-69</f>
        <v>29931</v>
      </c>
      <c r="G61" s="199">
        <v>0</v>
      </c>
      <c r="H61" s="199">
        <v>0</v>
      </c>
      <c r="I61" s="199">
        <v>0</v>
      </c>
      <c r="J61" s="198">
        <f>K61+L61+M61+N61</f>
        <v>30000</v>
      </c>
      <c r="K61" s="199">
        <v>30000</v>
      </c>
      <c r="L61" s="199">
        <v>0</v>
      </c>
      <c r="M61" s="199">
        <v>0</v>
      </c>
      <c r="N61" s="199">
        <v>0</v>
      </c>
      <c r="O61" s="198">
        <f t="shared" si="43"/>
        <v>30000</v>
      </c>
      <c r="P61" s="199">
        <v>30000</v>
      </c>
      <c r="Q61" s="199">
        <v>0</v>
      </c>
      <c r="R61" s="199">
        <v>0</v>
      </c>
      <c r="S61" s="199">
        <v>0</v>
      </c>
      <c r="T61" s="198">
        <f t="shared" ref="T61:T64" si="47">SUM(U61:X61)</f>
        <v>31200</v>
      </c>
      <c r="U61" s="199">
        <v>31200</v>
      </c>
      <c r="V61" s="199">
        <v>0</v>
      </c>
      <c r="W61" s="199">
        <v>0</v>
      </c>
      <c r="X61" s="199">
        <v>0</v>
      </c>
      <c r="Y61" s="198">
        <f t="shared" ref="Y61:Y64" si="48">SUM(Z61:AC61)</f>
        <v>31200</v>
      </c>
      <c r="Z61" s="199">
        <v>31200</v>
      </c>
      <c r="AA61" s="199">
        <v>0</v>
      </c>
      <c r="AB61" s="199">
        <v>0</v>
      </c>
      <c r="AC61" s="199">
        <v>0</v>
      </c>
      <c r="AD61" s="198">
        <f>E61+J61+O61+T61+Y61</f>
        <v>152331</v>
      </c>
      <c r="AE61" s="206">
        <f>F61+K61+P61+U61+Z61</f>
        <v>152331</v>
      </c>
      <c r="AF61" s="206">
        <f>G61+L61+Q61+V61+AA61</f>
        <v>0</v>
      </c>
      <c r="AG61" s="206">
        <f>H61+M61+R61+W61+AB61</f>
        <v>0</v>
      </c>
      <c r="AH61" s="206">
        <f>I61+N61+S61+X61+AC61</f>
        <v>0</v>
      </c>
    </row>
    <row r="62" spans="1:34" ht="132.75" customHeight="1" outlineLevel="1" x14ac:dyDescent="0.2">
      <c r="A62" s="200" t="s">
        <v>1092</v>
      </c>
      <c r="B62" s="8" t="s">
        <v>946</v>
      </c>
      <c r="C62" s="9" t="s">
        <v>97</v>
      </c>
      <c r="D62" s="196" t="s">
        <v>91</v>
      </c>
      <c r="E62" s="198">
        <f>F62+G62+H62+I62</f>
        <v>8312</v>
      </c>
      <c r="F62" s="199">
        <v>8312</v>
      </c>
      <c r="G62" s="199">
        <v>0</v>
      </c>
      <c r="H62" s="199">
        <v>0</v>
      </c>
      <c r="I62" s="199">
        <v>0</v>
      </c>
      <c r="J62" s="198">
        <f>K62+L62+M62+N62</f>
        <v>8031</v>
      </c>
      <c r="K62" s="199">
        <f>831+7200</f>
        <v>8031</v>
      </c>
      <c r="L62" s="199">
        <v>0</v>
      </c>
      <c r="M62" s="199">
        <v>0</v>
      </c>
      <c r="N62" s="199">
        <v>0</v>
      </c>
      <c r="O62" s="198">
        <f t="shared" si="43"/>
        <v>1219</v>
      </c>
      <c r="P62" s="199">
        <v>1219</v>
      </c>
      <c r="Q62" s="199">
        <v>0</v>
      </c>
      <c r="R62" s="199">
        <v>0</v>
      </c>
      <c r="S62" s="199">
        <v>0</v>
      </c>
      <c r="T62" s="198">
        <f t="shared" si="47"/>
        <v>2526</v>
      </c>
      <c r="U62" s="199">
        <v>2526</v>
      </c>
      <c r="V62" s="199">
        <v>0</v>
      </c>
      <c r="W62" s="199">
        <v>0</v>
      </c>
      <c r="X62" s="199">
        <v>0</v>
      </c>
      <c r="Y62" s="198">
        <f t="shared" si="48"/>
        <v>7802</v>
      </c>
      <c r="Z62" s="199">
        <v>7802</v>
      </c>
      <c r="AA62" s="199">
        <v>0</v>
      </c>
      <c r="AB62" s="199">
        <v>0</v>
      </c>
      <c r="AC62" s="199">
        <v>0</v>
      </c>
      <c r="AD62" s="198">
        <f>E62+J62+O62+T62+Y62</f>
        <v>27890</v>
      </c>
      <c r="AE62" s="206"/>
      <c r="AF62" s="206"/>
      <c r="AG62" s="206"/>
      <c r="AH62" s="206"/>
    </row>
    <row r="63" spans="1:34" ht="240" customHeight="1" outlineLevel="1" x14ac:dyDescent="0.2">
      <c r="A63" s="200" t="s">
        <v>1093</v>
      </c>
      <c r="B63" s="8" t="s">
        <v>795</v>
      </c>
      <c r="C63" s="9" t="s">
        <v>97</v>
      </c>
      <c r="D63" s="196">
        <v>2021</v>
      </c>
      <c r="E63" s="198">
        <f>F63+G63+H63+I63</f>
        <v>111</v>
      </c>
      <c r="F63" s="199">
        <f>625-257-257</f>
        <v>111</v>
      </c>
      <c r="G63" s="199">
        <v>0</v>
      </c>
      <c r="H63" s="199">
        <v>0</v>
      </c>
      <c r="I63" s="199">
        <v>0</v>
      </c>
      <c r="J63" s="198">
        <f>K63+L63+M63+N63</f>
        <v>0</v>
      </c>
      <c r="K63" s="199">
        <v>0</v>
      </c>
      <c r="L63" s="199">
        <v>0</v>
      </c>
      <c r="M63" s="199">
        <v>0</v>
      </c>
      <c r="N63" s="199">
        <v>0</v>
      </c>
      <c r="O63" s="198">
        <f t="shared" si="43"/>
        <v>0</v>
      </c>
      <c r="P63" s="199">
        <v>0</v>
      </c>
      <c r="Q63" s="199">
        <v>0</v>
      </c>
      <c r="R63" s="199">
        <v>0</v>
      </c>
      <c r="S63" s="199">
        <v>0</v>
      </c>
      <c r="T63" s="198">
        <f t="shared" si="47"/>
        <v>0</v>
      </c>
      <c r="U63" s="199">
        <v>0</v>
      </c>
      <c r="V63" s="199">
        <v>0</v>
      </c>
      <c r="W63" s="199">
        <v>0</v>
      </c>
      <c r="X63" s="199">
        <v>0</v>
      </c>
      <c r="Y63" s="198">
        <f t="shared" si="48"/>
        <v>0</v>
      </c>
      <c r="Z63" s="199">
        <v>0</v>
      </c>
      <c r="AA63" s="199">
        <v>0</v>
      </c>
      <c r="AB63" s="199">
        <v>0</v>
      </c>
      <c r="AC63" s="199">
        <v>0</v>
      </c>
      <c r="AD63" s="198">
        <f>E63+J63+O63+T63+Y63</f>
        <v>111</v>
      </c>
      <c r="AE63" s="206"/>
      <c r="AF63" s="206"/>
      <c r="AG63" s="206"/>
      <c r="AH63" s="206"/>
    </row>
    <row r="64" spans="1:34" ht="112.15" customHeight="1" outlineLevel="1" x14ac:dyDescent="0.2">
      <c r="A64" s="200" t="s">
        <v>1094</v>
      </c>
      <c r="B64" s="8" t="s">
        <v>827</v>
      </c>
      <c r="C64" s="9" t="s">
        <v>97</v>
      </c>
      <c r="D64" s="196">
        <v>2021</v>
      </c>
      <c r="E64" s="198">
        <f>F64+G64+H64+I64</f>
        <v>269</v>
      </c>
      <c r="F64" s="199">
        <v>269</v>
      </c>
      <c r="G64" s="199">
        <v>0</v>
      </c>
      <c r="H64" s="199">
        <v>0</v>
      </c>
      <c r="I64" s="199">
        <v>0</v>
      </c>
      <c r="J64" s="198">
        <f>K64+L64+M64+N64</f>
        <v>0</v>
      </c>
      <c r="K64" s="199">
        <v>0</v>
      </c>
      <c r="L64" s="199">
        <v>0</v>
      </c>
      <c r="M64" s="199">
        <v>0</v>
      </c>
      <c r="N64" s="199">
        <v>0</v>
      </c>
      <c r="O64" s="198">
        <f t="shared" si="43"/>
        <v>0</v>
      </c>
      <c r="P64" s="199">
        <v>0</v>
      </c>
      <c r="Q64" s="199">
        <v>0</v>
      </c>
      <c r="R64" s="199">
        <v>0</v>
      </c>
      <c r="S64" s="199">
        <v>0</v>
      </c>
      <c r="T64" s="198">
        <f t="shared" si="47"/>
        <v>0</v>
      </c>
      <c r="U64" s="199">
        <v>0</v>
      </c>
      <c r="V64" s="199">
        <v>0</v>
      </c>
      <c r="W64" s="199">
        <v>0</v>
      </c>
      <c r="X64" s="199">
        <v>0</v>
      </c>
      <c r="Y64" s="198">
        <f t="shared" si="48"/>
        <v>0</v>
      </c>
      <c r="Z64" s="199">
        <v>0</v>
      </c>
      <c r="AA64" s="199">
        <v>0</v>
      </c>
      <c r="AB64" s="199">
        <v>0</v>
      </c>
      <c r="AC64" s="199">
        <v>0</v>
      </c>
      <c r="AD64" s="198">
        <f>E64+J64+O64+T64+Y64</f>
        <v>269</v>
      </c>
      <c r="AE64" s="206"/>
      <c r="AF64" s="206"/>
      <c r="AG64" s="206"/>
      <c r="AH64" s="206"/>
    </row>
    <row r="65" spans="1:34" ht="39" customHeight="1" outlineLevel="1" x14ac:dyDescent="0.2">
      <c r="A65" s="386" t="s">
        <v>133</v>
      </c>
      <c r="B65" s="386"/>
      <c r="C65" s="386"/>
      <c r="D65" s="219"/>
      <c r="E65" s="198">
        <f>SUM(E58:E64)</f>
        <v>281861</v>
      </c>
      <c r="F65" s="198">
        <f t="shared" ref="F65:AD65" si="49">SUM(F58:F64)</f>
        <v>281861</v>
      </c>
      <c r="G65" s="198">
        <f t="shared" si="49"/>
        <v>0</v>
      </c>
      <c r="H65" s="198">
        <f t="shared" si="49"/>
        <v>0</v>
      </c>
      <c r="I65" s="198">
        <f t="shared" si="49"/>
        <v>0</v>
      </c>
      <c r="J65" s="198">
        <f>SUM(J58:J64)</f>
        <v>260184</v>
      </c>
      <c r="K65" s="198">
        <f>SUM(K58:K64)</f>
        <v>260184</v>
      </c>
      <c r="L65" s="198">
        <f t="shared" si="49"/>
        <v>0</v>
      </c>
      <c r="M65" s="198">
        <f t="shared" si="49"/>
        <v>0</v>
      </c>
      <c r="N65" s="198">
        <f t="shared" si="49"/>
        <v>0</v>
      </c>
      <c r="O65" s="198">
        <f t="shared" si="49"/>
        <v>249393</v>
      </c>
      <c r="P65" s="198">
        <f t="shared" si="49"/>
        <v>249393</v>
      </c>
      <c r="Q65" s="198">
        <f t="shared" si="49"/>
        <v>0</v>
      </c>
      <c r="R65" s="198">
        <f t="shared" si="49"/>
        <v>0</v>
      </c>
      <c r="S65" s="198">
        <f t="shared" si="49"/>
        <v>0</v>
      </c>
      <c r="T65" s="198">
        <f t="shared" si="49"/>
        <v>481209</v>
      </c>
      <c r="U65" s="198">
        <f t="shared" si="49"/>
        <v>481209</v>
      </c>
      <c r="V65" s="198">
        <f t="shared" si="49"/>
        <v>0</v>
      </c>
      <c r="W65" s="198">
        <f t="shared" si="49"/>
        <v>0</v>
      </c>
      <c r="X65" s="198">
        <f t="shared" si="49"/>
        <v>0</v>
      </c>
      <c r="Y65" s="198">
        <f t="shared" si="49"/>
        <v>486485</v>
      </c>
      <c r="Z65" s="198">
        <f t="shared" si="49"/>
        <v>486485</v>
      </c>
      <c r="AA65" s="198">
        <f t="shared" si="49"/>
        <v>0</v>
      </c>
      <c r="AB65" s="198">
        <f t="shared" si="49"/>
        <v>0</v>
      </c>
      <c r="AC65" s="198">
        <f t="shared" si="49"/>
        <v>0</v>
      </c>
      <c r="AD65" s="198">
        <f t="shared" si="49"/>
        <v>1759132</v>
      </c>
      <c r="AE65" s="206">
        <f>F65+K65+P65+U65+Z65</f>
        <v>1759132</v>
      </c>
      <c r="AF65" s="206">
        <f>G65+L65+Q65+V65+AA65</f>
        <v>0</v>
      </c>
      <c r="AG65" s="206">
        <f>H65+M65+R65+W65+AB65</f>
        <v>0</v>
      </c>
      <c r="AH65" s="206">
        <f>I65+N65+S65+X65+AC65</f>
        <v>0</v>
      </c>
    </row>
    <row r="66" spans="1:34" ht="39" customHeight="1" outlineLevel="1" x14ac:dyDescent="0.2">
      <c r="A66" s="194" t="s">
        <v>1095</v>
      </c>
      <c r="B66" s="405" t="s">
        <v>363</v>
      </c>
      <c r="C66" s="406"/>
      <c r="D66" s="406"/>
      <c r="E66" s="406"/>
      <c r="F66" s="406"/>
      <c r="G66" s="406"/>
      <c r="H66" s="406"/>
      <c r="I66" s="406"/>
      <c r="J66" s="406"/>
      <c r="K66" s="406"/>
      <c r="L66" s="406"/>
      <c r="M66" s="406"/>
      <c r="N66" s="406"/>
      <c r="O66" s="406"/>
      <c r="P66" s="406"/>
      <c r="Q66" s="406"/>
      <c r="R66" s="406"/>
      <c r="S66" s="406"/>
      <c r="T66" s="406"/>
      <c r="U66" s="406"/>
      <c r="V66" s="406"/>
      <c r="W66" s="406"/>
      <c r="X66" s="406"/>
      <c r="Y66" s="406"/>
      <c r="Z66" s="406"/>
      <c r="AA66" s="406"/>
      <c r="AB66" s="406"/>
      <c r="AC66" s="406"/>
      <c r="AD66" s="407"/>
      <c r="AE66" s="32"/>
      <c r="AF66" s="32"/>
      <c r="AG66" s="32"/>
      <c r="AH66" s="32"/>
    </row>
    <row r="67" spans="1:34" s="32" customFormat="1" ht="38.450000000000003" customHeight="1" outlineLevel="1" x14ac:dyDescent="0.2">
      <c r="A67" s="391" t="s">
        <v>415</v>
      </c>
      <c r="B67" s="391"/>
      <c r="C67" s="391"/>
      <c r="D67" s="391"/>
      <c r="E67" s="391"/>
      <c r="F67" s="391"/>
      <c r="G67" s="391"/>
      <c r="H67" s="391"/>
      <c r="I67" s="391"/>
      <c r="J67" s="391"/>
      <c r="K67" s="391"/>
      <c r="L67" s="391"/>
      <c r="M67" s="391"/>
      <c r="N67" s="391"/>
      <c r="O67" s="391"/>
      <c r="P67" s="391"/>
      <c r="Q67" s="391"/>
      <c r="R67" s="391"/>
      <c r="S67" s="391"/>
      <c r="T67" s="391"/>
      <c r="U67" s="391"/>
      <c r="V67" s="391"/>
      <c r="W67" s="391"/>
      <c r="X67" s="391"/>
      <c r="Y67" s="391"/>
      <c r="Z67" s="391"/>
      <c r="AA67" s="391"/>
      <c r="AB67" s="391"/>
      <c r="AC67" s="391"/>
      <c r="AD67" s="391"/>
      <c r="AE67"/>
      <c r="AF67"/>
      <c r="AG67"/>
      <c r="AH67"/>
    </row>
    <row r="68" spans="1:34" ht="34.15" customHeight="1" x14ac:dyDescent="0.2">
      <c r="A68" s="398" t="s">
        <v>94</v>
      </c>
      <c r="B68" s="398"/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398"/>
      <c r="AA68" s="398"/>
      <c r="AB68" s="398"/>
      <c r="AC68" s="398"/>
      <c r="AD68" s="398"/>
      <c r="AE68" s="207"/>
      <c r="AF68" s="207"/>
      <c r="AG68" s="207"/>
      <c r="AH68" s="207"/>
    </row>
    <row r="69" spans="1:34" ht="42" customHeight="1" x14ac:dyDescent="0.2">
      <c r="A69" s="193" t="s">
        <v>74</v>
      </c>
      <c r="B69" s="393" t="s">
        <v>1096</v>
      </c>
      <c r="C69" s="394"/>
      <c r="D69" s="394"/>
      <c r="E69" s="394"/>
      <c r="F69" s="394"/>
      <c r="G69" s="394"/>
      <c r="H69" s="394"/>
      <c r="I69" s="394"/>
      <c r="J69" s="394"/>
      <c r="K69" s="394"/>
      <c r="L69" s="394"/>
      <c r="M69" s="394"/>
      <c r="N69" s="394"/>
      <c r="O69" s="394"/>
      <c r="P69" s="394"/>
      <c r="Q69" s="394"/>
      <c r="R69" s="394"/>
      <c r="S69" s="394"/>
      <c r="T69" s="394"/>
      <c r="U69" s="394"/>
      <c r="V69" s="394"/>
      <c r="W69" s="394"/>
      <c r="X69" s="394"/>
      <c r="Y69" s="394"/>
      <c r="Z69" s="394"/>
      <c r="AA69" s="394"/>
      <c r="AB69" s="394"/>
      <c r="AC69" s="394"/>
      <c r="AD69" s="395"/>
      <c r="AE69" s="207"/>
      <c r="AF69" s="207"/>
      <c r="AG69" s="207"/>
      <c r="AH69" s="207"/>
    </row>
    <row r="70" spans="1:34" ht="96" customHeight="1" x14ac:dyDescent="0.2">
      <c r="A70" s="200" t="s">
        <v>1061</v>
      </c>
      <c r="B70" s="196" t="s">
        <v>93</v>
      </c>
      <c r="C70" s="9" t="s">
        <v>92</v>
      </c>
      <c r="D70" s="196" t="s">
        <v>91</v>
      </c>
      <c r="E70" s="198">
        <f>F70+G70+H70+I70</f>
        <v>112</v>
      </c>
      <c r="F70" s="199">
        <v>0</v>
      </c>
      <c r="G70" s="199">
        <v>0</v>
      </c>
      <c r="H70" s="199">
        <v>0</v>
      </c>
      <c r="I70" s="199">
        <v>112</v>
      </c>
      <c r="J70" s="198">
        <f>K70+L70+M70+N70</f>
        <v>112</v>
      </c>
      <c r="K70" s="199">
        <v>0</v>
      </c>
      <c r="L70" s="199">
        <v>0</v>
      </c>
      <c r="M70" s="199">
        <v>0</v>
      </c>
      <c r="N70" s="199">
        <v>112</v>
      </c>
      <c r="O70" s="198">
        <f t="shared" ref="O70" si="50">SUM(P70:S70)</f>
        <v>112</v>
      </c>
      <c r="P70" s="199">
        <v>0</v>
      </c>
      <c r="Q70" s="199">
        <v>0</v>
      </c>
      <c r="R70" s="199">
        <v>0</v>
      </c>
      <c r="S70" s="199">
        <v>112</v>
      </c>
      <c r="T70" s="198">
        <f t="shared" ref="T70" si="51">SUM(U70:X70)</f>
        <v>112</v>
      </c>
      <c r="U70" s="199">
        <v>0</v>
      </c>
      <c r="V70" s="199">
        <v>0</v>
      </c>
      <c r="W70" s="199">
        <v>0</v>
      </c>
      <c r="X70" s="199">
        <v>112</v>
      </c>
      <c r="Y70" s="198">
        <f t="shared" ref="Y70" si="52">SUM(Z70:AC70)</f>
        <v>112</v>
      </c>
      <c r="Z70" s="199">
        <v>0</v>
      </c>
      <c r="AA70" s="199">
        <v>0</v>
      </c>
      <c r="AB70" s="199">
        <v>0</v>
      </c>
      <c r="AC70" s="199">
        <v>112</v>
      </c>
      <c r="AD70" s="198">
        <f>E70+J70+O70+T70+Y70</f>
        <v>560</v>
      </c>
    </row>
    <row r="71" spans="1:34" ht="38.25" customHeight="1" x14ac:dyDescent="0.2">
      <c r="A71" s="194" t="s">
        <v>3</v>
      </c>
      <c r="B71" s="405" t="s">
        <v>1097</v>
      </c>
      <c r="C71" s="406"/>
      <c r="D71" s="406"/>
      <c r="E71" s="406"/>
      <c r="F71" s="406"/>
      <c r="G71" s="406"/>
      <c r="H71" s="406"/>
      <c r="I71" s="406"/>
      <c r="J71" s="406"/>
      <c r="K71" s="406"/>
      <c r="L71" s="406"/>
      <c r="M71" s="406"/>
      <c r="N71" s="406"/>
      <c r="O71" s="406"/>
      <c r="P71" s="406"/>
      <c r="Q71" s="406"/>
      <c r="R71" s="406"/>
      <c r="S71" s="406"/>
      <c r="T71" s="406"/>
      <c r="U71" s="406"/>
      <c r="V71" s="406"/>
      <c r="W71" s="406"/>
      <c r="X71" s="406"/>
      <c r="Y71" s="406"/>
      <c r="Z71" s="406"/>
      <c r="AA71" s="406"/>
      <c r="AB71" s="406"/>
      <c r="AC71" s="406"/>
      <c r="AD71" s="407"/>
    </row>
    <row r="72" spans="1:34" s="71" customFormat="1" ht="171" customHeight="1" x14ac:dyDescent="0.2">
      <c r="A72" s="200" t="s">
        <v>1062</v>
      </c>
      <c r="B72" s="220" t="s">
        <v>818</v>
      </c>
      <c r="C72" s="221" t="s">
        <v>92</v>
      </c>
      <c r="D72" s="222" t="s">
        <v>91</v>
      </c>
      <c r="E72" s="223">
        <f>F72+G72+H72+I72</f>
        <v>17888</v>
      </c>
      <c r="F72" s="224">
        <v>17888</v>
      </c>
      <c r="G72" s="224">
        <v>0</v>
      </c>
      <c r="H72" s="224">
        <v>0</v>
      </c>
      <c r="I72" s="224">
        <v>0</v>
      </c>
      <c r="J72" s="223">
        <f>K72+L72+M72+N72</f>
        <v>15100</v>
      </c>
      <c r="K72" s="224">
        <f>11647+3453</f>
        <v>15100</v>
      </c>
      <c r="L72" s="224">
        <v>0</v>
      </c>
      <c r="M72" s="224">
        <v>0</v>
      </c>
      <c r="N72" s="224">
        <v>0</v>
      </c>
      <c r="O72" s="223">
        <f t="shared" ref="O72:O75" si="53">SUM(P72:S72)</f>
        <v>15105</v>
      </c>
      <c r="P72" s="224">
        <v>15105</v>
      </c>
      <c r="Q72" s="224">
        <v>0</v>
      </c>
      <c r="R72" s="224">
        <v>0</v>
      </c>
      <c r="S72" s="224">
        <v>0</v>
      </c>
      <c r="T72" s="223">
        <f t="shared" ref="T72:T75" si="54">SUM(U72:X72)</f>
        <v>15105</v>
      </c>
      <c r="U72" s="224">
        <v>15105</v>
      </c>
      <c r="V72" s="224">
        <v>0</v>
      </c>
      <c r="W72" s="224">
        <v>0</v>
      </c>
      <c r="X72" s="224">
        <v>0</v>
      </c>
      <c r="Y72" s="223">
        <f t="shared" ref="Y72:Y75" si="55">SUM(Z72:AC72)</f>
        <v>15105</v>
      </c>
      <c r="Z72" s="224">
        <v>15105</v>
      </c>
      <c r="AA72" s="224">
        <v>0</v>
      </c>
      <c r="AB72" s="224">
        <v>0</v>
      </c>
      <c r="AC72" s="224">
        <v>0</v>
      </c>
      <c r="AD72" s="223">
        <f>E72+J72+O72+T72+Y72</f>
        <v>78303</v>
      </c>
      <c r="AE72"/>
      <c r="AF72"/>
      <c r="AG72"/>
      <c r="AH72"/>
    </row>
    <row r="73" spans="1:34" s="71" customFormat="1" ht="399.75" customHeight="1" x14ac:dyDescent="0.2">
      <c r="A73" s="200" t="s">
        <v>1098</v>
      </c>
      <c r="B73" s="220" t="s">
        <v>817</v>
      </c>
      <c r="C73" s="221" t="s">
        <v>92</v>
      </c>
      <c r="D73" s="222" t="s">
        <v>860</v>
      </c>
      <c r="E73" s="223">
        <f>F73+G73+H73+I73</f>
        <v>29008</v>
      </c>
      <c r="F73" s="224">
        <v>290</v>
      </c>
      <c r="G73" s="224">
        <v>28718</v>
      </c>
      <c r="H73" s="224">
        <v>0</v>
      </c>
      <c r="I73" s="224">
        <v>0</v>
      </c>
      <c r="J73" s="225">
        <f>K73+L73+M73+N73</f>
        <v>68767</v>
      </c>
      <c r="K73" s="226">
        <f>435+253</f>
        <v>688</v>
      </c>
      <c r="L73" s="226">
        <f>43081+24998</f>
        <v>68079</v>
      </c>
      <c r="M73" s="224">
        <v>0</v>
      </c>
      <c r="N73" s="224">
        <v>0</v>
      </c>
      <c r="O73" s="223">
        <f t="shared" si="53"/>
        <v>0</v>
      </c>
      <c r="P73" s="224">
        <v>0</v>
      </c>
      <c r="Q73" s="224">
        <v>0</v>
      </c>
      <c r="R73" s="224">
        <v>0</v>
      </c>
      <c r="S73" s="224">
        <v>0</v>
      </c>
      <c r="T73" s="223">
        <f t="shared" si="54"/>
        <v>0</v>
      </c>
      <c r="U73" s="224">
        <v>0</v>
      </c>
      <c r="V73" s="224">
        <v>0</v>
      </c>
      <c r="W73" s="224">
        <v>0</v>
      </c>
      <c r="X73" s="224">
        <v>0</v>
      </c>
      <c r="Y73" s="223">
        <f t="shared" si="55"/>
        <v>0</v>
      </c>
      <c r="Z73" s="224">
        <v>0</v>
      </c>
      <c r="AA73" s="224">
        <v>0</v>
      </c>
      <c r="AB73" s="224">
        <v>0</v>
      </c>
      <c r="AC73" s="224">
        <v>0</v>
      </c>
      <c r="AD73" s="223">
        <f>E73+J73+O73+T73+Y73</f>
        <v>97775</v>
      </c>
      <c r="AE73"/>
      <c r="AF73"/>
      <c r="AG73"/>
      <c r="AH73"/>
    </row>
    <row r="74" spans="1:34" s="71" customFormat="1" ht="86.45" customHeight="1" x14ac:dyDescent="0.2">
      <c r="A74" s="200" t="s">
        <v>1099</v>
      </c>
      <c r="B74" s="227" t="s">
        <v>707</v>
      </c>
      <c r="C74" s="9" t="s">
        <v>92</v>
      </c>
      <c r="D74" s="196"/>
      <c r="E74" s="198">
        <v>0</v>
      </c>
      <c r="F74" s="199">
        <v>0</v>
      </c>
      <c r="G74" s="199">
        <v>0</v>
      </c>
      <c r="H74" s="199">
        <v>0</v>
      </c>
      <c r="I74" s="199">
        <v>0</v>
      </c>
      <c r="J74" s="198">
        <v>0</v>
      </c>
      <c r="K74" s="199">
        <v>0</v>
      </c>
      <c r="L74" s="199">
        <v>0</v>
      </c>
      <c r="M74" s="199">
        <v>0</v>
      </c>
      <c r="N74" s="199">
        <v>0</v>
      </c>
      <c r="O74" s="198">
        <f t="shared" si="53"/>
        <v>0</v>
      </c>
      <c r="P74" s="199">
        <v>0</v>
      </c>
      <c r="Q74" s="199">
        <v>0</v>
      </c>
      <c r="R74" s="199">
        <v>0</v>
      </c>
      <c r="S74" s="199">
        <v>0</v>
      </c>
      <c r="T74" s="198">
        <f t="shared" si="54"/>
        <v>0</v>
      </c>
      <c r="U74" s="199">
        <v>0</v>
      </c>
      <c r="V74" s="199">
        <v>0</v>
      </c>
      <c r="W74" s="199">
        <v>0</v>
      </c>
      <c r="X74" s="199">
        <v>0</v>
      </c>
      <c r="Y74" s="198">
        <f t="shared" si="55"/>
        <v>0</v>
      </c>
      <c r="Z74" s="199">
        <f>26509-100-26409</f>
        <v>0</v>
      </c>
      <c r="AA74" s="199">
        <v>0</v>
      </c>
      <c r="AB74" s="199">
        <v>0</v>
      </c>
      <c r="AC74" s="199">
        <v>0</v>
      </c>
      <c r="AD74" s="198">
        <f>E74+J74+O74+T74+Y74</f>
        <v>0</v>
      </c>
      <c r="AE74"/>
      <c r="AF74"/>
      <c r="AG74"/>
      <c r="AH74"/>
    </row>
    <row r="75" spans="1:34" s="71" customFormat="1" ht="136.9" customHeight="1" x14ac:dyDescent="0.2">
      <c r="A75" s="200" t="s">
        <v>1100</v>
      </c>
      <c r="B75" s="227" t="s">
        <v>414</v>
      </c>
      <c r="C75" s="196" t="s">
        <v>92</v>
      </c>
      <c r="D75" s="196" t="s">
        <v>91</v>
      </c>
      <c r="E75" s="198">
        <f>F75+G75+H75+I75</f>
        <v>214462</v>
      </c>
      <c r="F75" s="199">
        <f>214652+100-290</f>
        <v>214462</v>
      </c>
      <c r="G75" s="199">
        <v>0</v>
      </c>
      <c r="H75" s="199">
        <v>0</v>
      </c>
      <c r="I75" s="199">
        <v>0</v>
      </c>
      <c r="J75" s="198">
        <f>K75+L75+M75+N75</f>
        <v>258636</v>
      </c>
      <c r="K75" s="199">
        <f>214752+384</f>
        <v>215136</v>
      </c>
      <c r="L75" s="199">
        <v>43500</v>
      </c>
      <c r="M75" s="199">
        <v>0</v>
      </c>
      <c r="N75" s="199">
        <v>0</v>
      </c>
      <c r="O75" s="198">
        <f t="shared" si="53"/>
        <v>298928</v>
      </c>
      <c r="P75" s="199">
        <f>214752+40676</f>
        <v>255428</v>
      </c>
      <c r="Q75" s="199">
        <v>43500</v>
      </c>
      <c r="R75" s="199">
        <v>0</v>
      </c>
      <c r="S75" s="199">
        <v>0</v>
      </c>
      <c r="T75" s="198">
        <f t="shared" si="54"/>
        <v>309122</v>
      </c>
      <c r="U75" s="199">
        <f>214752+50870</f>
        <v>265622</v>
      </c>
      <c r="V75" s="199">
        <v>43500</v>
      </c>
      <c r="W75" s="199">
        <v>0</v>
      </c>
      <c r="X75" s="199">
        <v>0</v>
      </c>
      <c r="Y75" s="198">
        <f t="shared" si="55"/>
        <v>309122</v>
      </c>
      <c r="Z75" s="199">
        <f>214652+100+50870</f>
        <v>265622</v>
      </c>
      <c r="AA75" s="199">
        <v>43500</v>
      </c>
      <c r="AB75" s="199">
        <v>0</v>
      </c>
      <c r="AC75" s="199">
        <v>0</v>
      </c>
      <c r="AD75" s="198">
        <f>E75+J75+O75+T75+Y75</f>
        <v>1390270</v>
      </c>
      <c r="AE75"/>
      <c r="AF75"/>
      <c r="AG75"/>
      <c r="AH75"/>
    </row>
    <row r="76" spans="1:34" s="71" customFormat="1" ht="321.75" customHeight="1" x14ac:dyDescent="0.2">
      <c r="A76" s="200" t="s">
        <v>1637</v>
      </c>
      <c r="B76" s="228" t="s">
        <v>1639</v>
      </c>
      <c r="C76" s="196" t="s">
        <v>92</v>
      </c>
      <c r="D76" s="196" t="s">
        <v>424</v>
      </c>
      <c r="E76" s="198">
        <f t="shared" ref="E76" si="56">SUM(F76:I76)</f>
        <v>0</v>
      </c>
      <c r="F76" s="199">
        <v>0</v>
      </c>
      <c r="G76" s="199">
        <v>0</v>
      </c>
      <c r="H76" s="199">
        <v>0</v>
      </c>
      <c r="I76" s="199">
        <v>0</v>
      </c>
      <c r="J76" s="198">
        <f t="shared" ref="J76" si="57">SUM(K76:N76)</f>
        <v>0</v>
      </c>
      <c r="K76" s="199">
        <v>0</v>
      </c>
      <c r="L76" s="199">
        <v>0</v>
      </c>
      <c r="M76" s="199">
        <v>0</v>
      </c>
      <c r="N76" s="199">
        <v>0</v>
      </c>
      <c r="O76" s="198">
        <f t="shared" ref="O76" si="58">SUM(P76:S76)</f>
        <v>3854</v>
      </c>
      <c r="P76" s="199">
        <v>3854</v>
      </c>
      <c r="Q76" s="199">
        <v>0</v>
      </c>
      <c r="R76" s="199">
        <v>0</v>
      </c>
      <c r="S76" s="199">
        <v>0</v>
      </c>
      <c r="T76" s="198">
        <f t="shared" ref="T76" si="59">SUM(U76:X76)</f>
        <v>3854</v>
      </c>
      <c r="U76" s="199">
        <v>3854</v>
      </c>
      <c r="V76" s="199">
        <v>0</v>
      </c>
      <c r="W76" s="199">
        <v>0</v>
      </c>
      <c r="X76" s="199">
        <v>0</v>
      </c>
      <c r="Y76" s="198">
        <f t="shared" ref="Y76" si="60">SUM(Z76:AC76)</f>
        <v>3854</v>
      </c>
      <c r="Z76" s="199">
        <v>3854</v>
      </c>
      <c r="AA76" s="199">
        <v>0</v>
      </c>
      <c r="AB76" s="199">
        <v>0</v>
      </c>
      <c r="AC76" s="199">
        <v>0</v>
      </c>
      <c r="AD76" s="198">
        <f>E76+J76+O76+T76+Y76</f>
        <v>11562</v>
      </c>
      <c r="AE76"/>
      <c r="AF76"/>
      <c r="AG76"/>
      <c r="AH76"/>
    </row>
    <row r="77" spans="1:34" s="230" customFormat="1" ht="39" customHeight="1" x14ac:dyDescent="0.2">
      <c r="A77" s="194" t="s">
        <v>75</v>
      </c>
      <c r="B77" s="406" t="s">
        <v>1101</v>
      </c>
      <c r="C77" s="406"/>
      <c r="D77" s="406"/>
      <c r="E77" s="406"/>
      <c r="F77" s="406"/>
      <c r="G77" s="406"/>
      <c r="H77" s="406"/>
      <c r="I77" s="406"/>
      <c r="J77" s="406"/>
      <c r="K77" s="406"/>
      <c r="L77" s="406"/>
      <c r="M77" s="406"/>
      <c r="N77" s="406"/>
      <c r="O77" s="406"/>
      <c r="P77" s="406"/>
      <c r="Q77" s="406"/>
      <c r="R77" s="406"/>
      <c r="S77" s="406"/>
      <c r="T77" s="406"/>
      <c r="U77" s="406"/>
      <c r="V77" s="406"/>
      <c r="W77" s="406"/>
      <c r="X77" s="406"/>
      <c r="Y77" s="406"/>
      <c r="Z77" s="406"/>
      <c r="AA77" s="406"/>
      <c r="AB77" s="406"/>
      <c r="AC77" s="406"/>
      <c r="AD77" s="407"/>
      <c r="AE77" s="229"/>
      <c r="AF77" s="229"/>
      <c r="AG77" s="229"/>
      <c r="AH77" s="229"/>
    </row>
    <row r="78" spans="1:34" s="71" customFormat="1" ht="44.45" customHeight="1" x14ac:dyDescent="0.2">
      <c r="A78" s="385" t="s">
        <v>1063</v>
      </c>
      <c r="B78" s="388" t="s">
        <v>1049</v>
      </c>
      <c r="C78" s="387" t="s">
        <v>92</v>
      </c>
      <c r="D78" s="345" t="s">
        <v>91</v>
      </c>
      <c r="E78" s="399">
        <f>F78+G78+H78+I78</f>
        <v>76067</v>
      </c>
      <c r="F78" s="396">
        <v>761</v>
      </c>
      <c r="G78" s="396">
        <f>75306</f>
        <v>75306</v>
      </c>
      <c r="H78" s="396">
        <v>0</v>
      </c>
      <c r="I78" s="396">
        <v>0</v>
      </c>
      <c r="J78" s="399">
        <f>K78+L78+M78+N78</f>
        <v>76067</v>
      </c>
      <c r="K78" s="396">
        <v>761</v>
      </c>
      <c r="L78" s="396">
        <v>75306</v>
      </c>
      <c r="M78" s="396">
        <v>0</v>
      </c>
      <c r="N78" s="396">
        <v>0</v>
      </c>
      <c r="O78" s="399">
        <f t="shared" ref="O78:O84" si="61">SUM(P78:S78)</f>
        <v>75512</v>
      </c>
      <c r="P78" s="396">
        <f>761-5</f>
        <v>756</v>
      </c>
      <c r="Q78" s="396">
        <v>74756</v>
      </c>
      <c r="R78" s="396">
        <v>0</v>
      </c>
      <c r="S78" s="396">
        <v>0</v>
      </c>
      <c r="T78" s="399">
        <f t="shared" ref="T78:T81" si="62">SUM(U78:X78)</f>
        <v>75512</v>
      </c>
      <c r="U78" s="396">
        <f>761-5</f>
        <v>756</v>
      </c>
      <c r="V78" s="396">
        <v>74756</v>
      </c>
      <c r="W78" s="396">
        <v>0</v>
      </c>
      <c r="X78" s="396">
        <v>0</v>
      </c>
      <c r="Y78" s="399">
        <f t="shared" ref="Y78:Y80" si="63">SUM(Z78:AC78)</f>
        <v>62927</v>
      </c>
      <c r="Z78" s="396">
        <v>630</v>
      </c>
      <c r="AA78" s="396">
        <v>62297</v>
      </c>
      <c r="AB78" s="396">
        <v>0</v>
      </c>
      <c r="AC78" s="396">
        <v>0</v>
      </c>
      <c r="AD78" s="399">
        <f>E78+J78+O78+T78+Y78</f>
        <v>366085</v>
      </c>
      <c r="AE78"/>
      <c r="AF78"/>
      <c r="AG78"/>
      <c r="AH78"/>
    </row>
    <row r="79" spans="1:34" s="71" customFormat="1" ht="285" customHeight="1" x14ac:dyDescent="0.2">
      <c r="A79" s="385"/>
      <c r="B79" s="388"/>
      <c r="C79" s="387"/>
      <c r="D79" s="345"/>
      <c r="E79" s="399"/>
      <c r="F79" s="396"/>
      <c r="G79" s="396"/>
      <c r="H79" s="396"/>
      <c r="I79" s="396"/>
      <c r="J79" s="399"/>
      <c r="K79" s="396"/>
      <c r="L79" s="396"/>
      <c r="M79" s="396"/>
      <c r="N79" s="396"/>
      <c r="O79" s="399">
        <f t="shared" si="61"/>
        <v>0</v>
      </c>
      <c r="P79" s="396"/>
      <c r="Q79" s="396"/>
      <c r="R79" s="396"/>
      <c r="S79" s="396"/>
      <c r="T79" s="399">
        <f t="shared" si="62"/>
        <v>0</v>
      </c>
      <c r="U79" s="396"/>
      <c r="V79" s="396"/>
      <c r="W79" s="396"/>
      <c r="X79" s="396"/>
      <c r="Y79" s="399">
        <f t="shared" si="63"/>
        <v>0</v>
      </c>
      <c r="Z79" s="396"/>
      <c r="AA79" s="396"/>
      <c r="AB79" s="396"/>
      <c r="AC79" s="396"/>
      <c r="AD79" s="399"/>
      <c r="AE79" s="206">
        <f>F78+K78+P78+U78+Z78</f>
        <v>3664</v>
      </c>
      <c r="AF79" s="206">
        <f>G79+L79+Q79+V78+AA78</f>
        <v>137053</v>
      </c>
      <c r="AG79" s="206">
        <f>H79+M79+R79+W79+AB79</f>
        <v>0</v>
      </c>
      <c r="AH79" s="206">
        <f>I79+N79+S79+X79+AC79</f>
        <v>0</v>
      </c>
    </row>
    <row r="80" spans="1:34" s="71" customFormat="1" ht="285" customHeight="1" x14ac:dyDescent="0.2">
      <c r="A80" s="200" t="s">
        <v>1624</v>
      </c>
      <c r="B80" s="227" t="s">
        <v>1625</v>
      </c>
      <c r="C80" s="9" t="s">
        <v>92</v>
      </c>
      <c r="D80" s="196" t="s">
        <v>424</v>
      </c>
      <c r="E80" s="198">
        <f>F80+G80+H80+I80</f>
        <v>0</v>
      </c>
      <c r="F80" s="199">
        <v>0</v>
      </c>
      <c r="G80" s="199">
        <v>0</v>
      </c>
      <c r="H80" s="199">
        <v>0</v>
      </c>
      <c r="I80" s="199">
        <v>0</v>
      </c>
      <c r="J80" s="198">
        <f>K80+L80+M80+N80</f>
        <v>143197</v>
      </c>
      <c r="K80" s="199">
        <v>0</v>
      </c>
      <c r="L80" s="199">
        <v>143197</v>
      </c>
      <c r="M80" s="199">
        <v>0</v>
      </c>
      <c r="N80" s="199">
        <v>0</v>
      </c>
      <c r="O80" s="198">
        <f t="shared" si="61"/>
        <v>28398</v>
      </c>
      <c r="P80" s="199">
        <v>28398</v>
      </c>
      <c r="Q80" s="199">
        <v>0</v>
      </c>
      <c r="R80" s="199">
        <v>0</v>
      </c>
      <c r="S80" s="199">
        <v>0</v>
      </c>
      <c r="T80" s="198">
        <f t="shared" si="62"/>
        <v>48682</v>
      </c>
      <c r="U80" s="199">
        <v>48682</v>
      </c>
      <c r="V80" s="199">
        <v>0</v>
      </c>
      <c r="W80" s="199">
        <v>0</v>
      </c>
      <c r="X80" s="199">
        <v>0</v>
      </c>
      <c r="Y80" s="198">
        <f t="shared" si="63"/>
        <v>48682</v>
      </c>
      <c r="Z80" s="199">
        <v>48682</v>
      </c>
      <c r="AA80" s="199">
        <v>0</v>
      </c>
      <c r="AB80" s="199">
        <v>0</v>
      </c>
      <c r="AC80" s="199">
        <v>0</v>
      </c>
      <c r="AD80" s="198">
        <f>J80+O80+T80+Y80</f>
        <v>268959</v>
      </c>
      <c r="AE80" s="206"/>
      <c r="AF80" s="206"/>
      <c r="AG80" s="206"/>
      <c r="AH80" s="206"/>
    </row>
    <row r="81" spans="1:34" s="23" customFormat="1" ht="42" customHeight="1" x14ac:dyDescent="0.25">
      <c r="A81" s="386" t="s">
        <v>90</v>
      </c>
      <c r="B81" s="386"/>
      <c r="C81" s="386"/>
      <c r="D81" s="231"/>
      <c r="E81" s="198">
        <f>SUM(E70:E79)</f>
        <v>337537</v>
      </c>
      <c r="F81" s="198">
        <f>SUM(F70:F79)</f>
        <v>233401</v>
      </c>
      <c r="G81" s="198">
        <f>SUM(G70:G79)</f>
        <v>104024</v>
      </c>
      <c r="H81" s="198">
        <f>SUM(H70:H79)</f>
        <v>0</v>
      </c>
      <c r="I81" s="198">
        <f>SUM(I70:I80)</f>
        <v>112</v>
      </c>
      <c r="J81" s="198">
        <f>SUM(J70:J80)</f>
        <v>561879</v>
      </c>
      <c r="K81" s="198">
        <f>SUM(K70:K80)</f>
        <v>231685</v>
      </c>
      <c r="L81" s="198">
        <f>SUM(L70:L80)</f>
        <v>330082</v>
      </c>
      <c r="M81" s="198">
        <f>SUM(M70:M79)</f>
        <v>0</v>
      </c>
      <c r="N81" s="198">
        <f>SUM(N70:N79)</f>
        <v>112</v>
      </c>
      <c r="O81" s="198">
        <f t="shared" si="61"/>
        <v>421909</v>
      </c>
      <c r="P81" s="198">
        <f>SUM(P70:P80)</f>
        <v>303541</v>
      </c>
      <c r="Q81" s="198">
        <f>SUM(Q70:Q80)</f>
        <v>118256</v>
      </c>
      <c r="R81" s="198">
        <f>SUM(R70:R80)</f>
        <v>0</v>
      </c>
      <c r="S81" s="198">
        <f>SUM(S70:S80)</f>
        <v>112</v>
      </c>
      <c r="T81" s="198">
        <f t="shared" si="62"/>
        <v>452387</v>
      </c>
      <c r="U81" s="198">
        <f>SUM(U70:U80)</f>
        <v>334019</v>
      </c>
      <c r="V81" s="198">
        <f>SUM(V70:V80)</f>
        <v>118256</v>
      </c>
      <c r="W81" s="198">
        <f>SUM(W70:W80)</f>
        <v>0</v>
      </c>
      <c r="X81" s="198">
        <f>SUM(X70:X80)</f>
        <v>112</v>
      </c>
      <c r="Y81" s="198">
        <f t="shared" ref="Y81:Y84" si="64">SUM(Z81:AC81)</f>
        <v>439802</v>
      </c>
      <c r="Z81" s="198">
        <f>SUM(Z70:Z80)</f>
        <v>333893</v>
      </c>
      <c r="AA81" s="198">
        <f>SUM(AA70:AA80)</f>
        <v>105797</v>
      </c>
      <c r="AB81" s="198">
        <f>SUM(AB70:AB80)</f>
        <v>0</v>
      </c>
      <c r="AC81" s="198">
        <f>SUM(AC70:AC80)</f>
        <v>112</v>
      </c>
      <c r="AD81" s="198">
        <f>SUM(AD70:AD80)</f>
        <v>2213514</v>
      </c>
      <c r="AE81" s="206">
        <f>F81+K81+P81+U81+Z81</f>
        <v>1436539</v>
      </c>
      <c r="AF81" s="206">
        <f>G81+L81+Q81+V81+AA81</f>
        <v>776415</v>
      </c>
      <c r="AG81" s="206">
        <f>H81+M81+R81+W81+AB81</f>
        <v>0</v>
      </c>
      <c r="AH81" s="206">
        <f>I81+N81+S81+X81+AC81</f>
        <v>560</v>
      </c>
    </row>
    <row r="82" spans="1:34" s="23" customFormat="1" ht="42" customHeight="1" x14ac:dyDescent="0.25">
      <c r="A82" s="359" t="s">
        <v>958</v>
      </c>
      <c r="B82" s="359"/>
      <c r="C82" s="359"/>
      <c r="D82" s="231"/>
      <c r="E82" s="198">
        <f>E84-E83</f>
        <v>2377245</v>
      </c>
      <c r="F82" s="198">
        <f t="shared" ref="F82:AC82" si="65">F84-F83</f>
        <v>797208</v>
      </c>
      <c r="G82" s="198">
        <f t="shared" si="65"/>
        <v>1453132</v>
      </c>
      <c r="H82" s="198">
        <f t="shared" si="65"/>
        <v>126793</v>
      </c>
      <c r="I82" s="198">
        <f t="shared" si="65"/>
        <v>112</v>
      </c>
      <c r="J82" s="198">
        <f>J84-J83</f>
        <v>2475929</v>
      </c>
      <c r="K82" s="198">
        <f>K84-K83</f>
        <v>854874</v>
      </c>
      <c r="L82" s="198">
        <f t="shared" si="65"/>
        <v>1620943</v>
      </c>
      <c r="M82" s="198">
        <f t="shared" si="65"/>
        <v>0</v>
      </c>
      <c r="N82" s="198">
        <f t="shared" si="65"/>
        <v>112</v>
      </c>
      <c r="O82" s="198">
        <f t="shared" si="61"/>
        <v>2443918</v>
      </c>
      <c r="P82" s="198">
        <f t="shared" si="65"/>
        <v>871502</v>
      </c>
      <c r="Q82" s="198">
        <f t="shared" si="65"/>
        <v>1572304</v>
      </c>
      <c r="R82" s="198">
        <f t="shared" si="65"/>
        <v>0</v>
      </c>
      <c r="S82" s="198">
        <f t="shared" si="65"/>
        <v>112</v>
      </c>
      <c r="T82" s="198">
        <f t="shared" ref="T82:T84" si="66">SUM(U82:X82)</f>
        <v>1826236</v>
      </c>
      <c r="U82" s="198">
        <f t="shared" si="65"/>
        <v>1007868</v>
      </c>
      <c r="V82" s="198">
        <f t="shared" si="65"/>
        <v>818256</v>
      </c>
      <c r="W82" s="198">
        <f t="shared" si="65"/>
        <v>0</v>
      </c>
      <c r="X82" s="198">
        <f t="shared" si="65"/>
        <v>112</v>
      </c>
      <c r="Y82" s="198">
        <f t="shared" si="64"/>
        <v>1805291</v>
      </c>
      <c r="Z82" s="198">
        <f t="shared" si="65"/>
        <v>999382</v>
      </c>
      <c r="AA82" s="198">
        <f>AA84-AA83</f>
        <v>805797</v>
      </c>
      <c r="AB82" s="198">
        <f t="shared" si="65"/>
        <v>0</v>
      </c>
      <c r="AC82" s="198">
        <f t="shared" si="65"/>
        <v>112</v>
      </c>
      <c r="AD82" s="198">
        <f>E82+J82+O82+T82+Y82</f>
        <v>10928619</v>
      </c>
      <c r="AE82" s="206"/>
      <c r="AF82" s="206"/>
      <c r="AG82" s="206"/>
      <c r="AH82" s="206"/>
    </row>
    <row r="83" spans="1:34" s="23" customFormat="1" ht="35.25" customHeight="1" x14ac:dyDescent="0.25">
      <c r="A83" s="386" t="s">
        <v>957</v>
      </c>
      <c r="B83" s="386"/>
      <c r="C83" s="386"/>
      <c r="D83" s="231"/>
      <c r="E83" s="198">
        <f>F83+G83+H83+I83</f>
        <v>988</v>
      </c>
      <c r="F83" s="198">
        <f>F43</f>
        <v>988</v>
      </c>
      <c r="G83" s="198">
        <f>G43</f>
        <v>0</v>
      </c>
      <c r="H83" s="198">
        <f>H43</f>
        <v>0</v>
      </c>
      <c r="I83" s="198">
        <f>I43</f>
        <v>0</v>
      </c>
      <c r="J83" s="198">
        <f>K83+L83+M83+N83</f>
        <v>1584</v>
      </c>
      <c r="K83" s="198">
        <f>K43</f>
        <v>1584</v>
      </c>
      <c r="L83" s="198">
        <f>L43</f>
        <v>0</v>
      </c>
      <c r="M83" s="198">
        <f>M43</f>
        <v>0</v>
      </c>
      <c r="N83" s="198">
        <f>N43</f>
        <v>0</v>
      </c>
      <c r="O83" s="198">
        <f t="shared" si="61"/>
        <v>0</v>
      </c>
      <c r="P83" s="198">
        <f>P43</f>
        <v>0</v>
      </c>
      <c r="Q83" s="198">
        <f>Q43</f>
        <v>0</v>
      </c>
      <c r="R83" s="198">
        <f>R43</f>
        <v>0</v>
      </c>
      <c r="S83" s="198">
        <f>S43</f>
        <v>0</v>
      </c>
      <c r="T83" s="198">
        <f t="shared" si="66"/>
        <v>0</v>
      </c>
      <c r="U83" s="198">
        <f>U43</f>
        <v>0</v>
      </c>
      <c r="V83" s="198">
        <f>V43</f>
        <v>0</v>
      </c>
      <c r="W83" s="198">
        <f>W43</f>
        <v>0</v>
      </c>
      <c r="X83" s="198">
        <f>X43</f>
        <v>0</v>
      </c>
      <c r="Y83" s="198">
        <f t="shared" si="64"/>
        <v>0</v>
      </c>
      <c r="Z83" s="198">
        <f>Z43</f>
        <v>0</v>
      </c>
      <c r="AA83" s="198">
        <f>AA43</f>
        <v>0</v>
      </c>
      <c r="AB83" s="198">
        <f>AB43</f>
        <v>0</v>
      </c>
      <c r="AC83" s="198">
        <f>AC43</f>
        <v>0</v>
      </c>
      <c r="AD83" s="198">
        <f>E83+J83+O83+T83+Y83</f>
        <v>2572</v>
      </c>
      <c r="AE83" s="206"/>
      <c r="AF83" s="206"/>
      <c r="AG83" s="206"/>
      <c r="AH83" s="206"/>
    </row>
    <row r="84" spans="1:34" s="232" customFormat="1" ht="42" customHeight="1" x14ac:dyDescent="0.25">
      <c r="A84" s="359" t="s">
        <v>959</v>
      </c>
      <c r="B84" s="359"/>
      <c r="C84" s="359"/>
      <c r="D84" s="219"/>
      <c r="E84" s="198">
        <f t="shared" ref="E84:N84" si="67">E35+E81+E53+E65</f>
        <v>2378233</v>
      </c>
      <c r="F84" s="198">
        <f t="shared" si="67"/>
        <v>798196</v>
      </c>
      <c r="G84" s="198">
        <f t="shared" si="67"/>
        <v>1453132</v>
      </c>
      <c r="H84" s="198">
        <f t="shared" si="67"/>
        <v>126793</v>
      </c>
      <c r="I84" s="198">
        <f t="shared" si="67"/>
        <v>112</v>
      </c>
      <c r="J84" s="198">
        <f t="shared" si="67"/>
        <v>2477513</v>
      </c>
      <c r="K84" s="198">
        <f t="shared" si="67"/>
        <v>856458</v>
      </c>
      <c r="L84" s="198">
        <f t="shared" si="67"/>
        <v>1620943</v>
      </c>
      <c r="M84" s="198">
        <f t="shared" si="67"/>
        <v>0</v>
      </c>
      <c r="N84" s="198">
        <f t="shared" si="67"/>
        <v>112</v>
      </c>
      <c r="O84" s="198">
        <f t="shared" si="61"/>
        <v>2443918</v>
      </c>
      <c r="P84" s="198">
        <f>P35+P81+P53+P65</f>
        <v>871502</v>
      </c>
      <c r="Q84" s="198">
        <f>Q35+Q81+Q53+Q65</f>
        <v>1572304</v>
      </c>
      <c r="R84" s="198">
        <f>R35+R81+R53+R65</f>
        <v>0</v>
      </c>
      <c r="S84" s="198">
        <f>S35+S81+S53+S65</f>
        <v>112</v>
      </c>
      <c r="T84" s="198">
        <f t="shared" si="66"/>
        <v>1826236</v>
      </c>
      <c r="U84" s="198">
        <f>U35+U81+U53+U65</f>
        <v>1007868</v>
      </c>
      <c r="V84" s="198">
        <f>V35+V81+V53+V65</f>
        <v>818256</v>
      </c>
      <c r="W84" s="198">
        <f>W35+W81+W53+W65</f>
        <v>0</v>
      </c>
      <c r="X84" s="198">
        <f>X35+X81+X53+X65</f>
        <v>112</v>
      </c>
      <c r="Y84" s="198">
        <f t="shared" si="64"/>
        <v>1805291</v>
      </c>
      <c r="Z84" s="198">
        <f t="shared" ref="Z84:AH84" si="68">Z35+Z81+Z53+Z65</f>
        <v>999382</v>
      </c>
      <c r="AA84" s="198">
        <f t="shared" si="68"/>
        <v>805797</v>
      </c>
      <c r="AB84" s="198">
        <f t="shared" si="68"/>
        <v>0</v>
      </c>
      <c r="AC84" s="198">
        <f t="shared" si="68"/>
        <v>112</v>
      </c>
      <c r="AD84" s="198">
        <f t="shared" si="68"/>
        <v>10931191</v>
      </c>
      <c r="AE84" s="206">
        <f t="shared" si="68"/>
        <v>4533406</v>
      </c>
      <c r="AF84" s="206">
        <f t="shared" si="68"/>
        <v>6270432</v>
      </c>
      <c r="AG84" s="206">
        <f t="shared" si="68"/>
        <v>126793</v>
      </c>
      <c r="AH84" s="206">
        <f t="shared" si="68"/>
        <v>560</v>
      </c>
    </row>
    <row r="85" spans="1:34" ht="42" customHeight="1" x14ac:dyDescent="0.2">
      <c r="E85" s="234"/>
      <c r="M85" s="235"/>
      <c r="N85" s="235"/>
      <c r="O85" s="236"/>
      <c r="P85" s="235"/>
      <c r="Q85" s="235"/>
    </row>
    <row r="86" spans="1:34" ht="42" customHeight="1" x14ac:dyDescent="0.2">
      <c r="C86" s="384" t="s">
        <v>812</v>
      </c>
      <c r="E86" s="237">
        <v>172475</v>
      </c>
      <c r="F86" s="198">
        <v>172475</v>
      </c>
      <c r="G86" s="198">
        <v>0</v>
      </c>
      <c r="H86" s="198">
        <v>0</v>
      </c>
      <c r="I86" s="198">
        <v>0</v>
      </c>
      <c r="J86" s="198">
        <v>98858</v>
      </c>
      <c r="K86" s="198">
        <v>98858</v>
      </c>
      <c r="L86" s="198">
        <v>0</v>
      </c>
      <c r="M86" s="198">
        <v>0</v>
      </c>
      <c r="N86" s="198">
        <v>0</v>
      </c>
      <c r="O86" s="198">
        <v>98858</v>
      </c>
      <c r="P86" s="198">
        <v>98858</v>
      </c>
      <c r="Q86" s="198">
        <v>0</v>
      </c>
      <c r="R86" s="198">
        <v>0</v>
      </c>
      <c r="S86" s="198">
        <v>0</v>
      </c>
      <c r="T86" s="198">
        <v>68359</v>
      </c>
      <c r="U86" s="198">
        <v>68359</v>
      </c>
      <c r="V86" s="198">
        <v>0</v>
      </c>
      <c r="W86" s="198">
        <v>0</v>
      </c>
      <c r="X86" s="198">
        <v>0</v>
      </c>
      <c r="Y86" s="198">
        <v>68359</v>
      </c>
      <c r="Z86" s="198">
        <v>68359</v>
      </c>
      <c r="AA86" s="198">
        <v>0</v>
      </c>
      <c r="AB86" s="198">
        <v>0</v>
      </c>
      <c r="AC86" s="198">
        <v>0</v>
      </c>
      <c r="AD86" s="198">
        <v>506909</v>
      </c>
      <c r="AE86" s="238">
        <f t="shared" ref="AE86:AE93" si="69">F86+K86+P86+U86+Z86</f>
        <v>506909</v>
      </c>
      <c r="AF86" s="238">
        <f t="shared" ref="AF86:AF93" si="70">G86+L86+Q86+V86+AA86</f>
        <v>0</v>
      </c>
      <c r="AG86" s="238">
        <f t="shared" ref="AG86:AG93" si="71">H86+M86+R86+W86+AB86</f>
        <v>0</v>
      </c>
      <c r="AH86" s="239">
        <f t="shared" ref="AH86:AH93" si="72">I86+N86+S86+X86+AC86</f>
        <v>0</v>
      </c>
    </row>
    <row r="87" spans="1:34" ht="42" customHeight="1" x14ac:dyDescent="0.2">
      <c r="C87" s="384"/>
      <c r="E87" s="198">
        <f t="shared" ref="E87:AD87" si="73">E35-E86</f>
        <v>537</v>
      </c>
      <c r="F87" s="198">
        <f t="shared" si="73"/>
        <v>537</v>
      </c>
      <c r="G87" s="198">
        <f t="shared" si="73"/>
        <v>0</v>
      </c>
      <c r="H87" s="198">
        <f t="shared" si="73"/>
        <v>0</v>
      </c>
      <c r="I87" s="198">
        <f t="shared" si="73"/>
        <v>0</v>
      </c>
      <c r="J87" s="198">
        <f t="shared" si="73"/>
        <v>4996</v>
      </c>
      <c r="K87" s="198">
        <f t="shared" si="73"/>
        <v>4996</v>
      </c>
      <c r="L87" s="198">
        <f t="shared" si="73"/>
        <v>0</v>
      </c>
      <c r="M87" s="198">
        <f t="shared" si="73"/>
        <v>0</v>
      </c>
      <c r="N87" s="198">
        <f t="shared" si="73"/>
        <v>0</v>
      </c>
      <c r="O87" s="198">
        <f t="shared" si="73"/>
        <v>-2225</v>
      </c>
      <c r="P87" s="198">
        <f t="shared" si="73"/>
        <v>-2225</v>
      </c>
      <c r="Q87" s="198">
        <f t="shared" si="73"/>
        <v>0</v>
      </c>
      <c r="R87" s="198">
        <f t="shared" si="73"/>
        <v>0</v>
      </c>
      <c r="S87" s="198">
        <f t="shared" si="73"/>
        <v>0</v>
      </c>
      <c r="T87" s="198">
        <f t="shared" si="73"/>
        <v>27604</v>
      </c>
      <c r="U87" s="198">
        <f t="shared" si="73"/>
        <v>27604</v>
      </c>
      <c r="V87" s="198">
        <f t="shared" si="73"/>
        <v>0</v>
      </c>
      <c r="W87" s="198">
        <f t="shared" si="73"/>
        <v>0</v>
      </c>
      <c r="X87" s="198">
        <f t="shared" si="73"/>
        <v>0</v>
      </c>
      <c r="Y87" s="198">
        <f t="shared" si="73"/>
        <v>32632</v>
      </c>
      <c r="Z87" s="198">
        <f t="shared" si="73"/>
        <v>32632</v>
      </c>
      <c r="AA87" s="198">
        <f t="shared" si="73"/>
        <v>0</v>
      </c>
      <c r="AB87" s="198">
        <f t="shared" si="73"/>
        <v>0</v>
      </c>
      <c r="AC87" s="198">
        <f t="shared" si="73"/>
        <v>0</v>
      </c>
      <c r="AD87" s="198">
        <f t="shared" si="73"/>
        <v>63544</v>
      </c>
      <c r="AE87" s="238">
        <f t="shared" si="69"/>
        <v>63544</v>
      </c>
      <c r="AF87" s="238">
        <f t="shared" si="70"/>
        <v>0</v>
      </c>
      <c r="AG87" s="238">
        <f t="shared" si="71"/>
        <v>0</v>
      </c>
      <c r="AH87" s="239">
        <f t="shared" si="72"/>
        <v>0</v>
      </c>
    </row>
    <row r="88" spans="1:34" ht="42" customHeight="1" x14ac:dyDescent="0.2">
      <c r="C88" s="384" t="s">
        <v>813</v>
      </c>
      <c r="E88" s="198">
        <v>1479778</v>
      </c>
      <c r="F88" s="198">
        <v>103538</v>
      </c>
      <c r="G88" s="198">
        <v>1249447</v>
      </c>
      <c r="H88" s="198">
        <v>126793</v>
      </c>
      <c r="I88" s="198">
        <v>0</v>
      </c>
      <c r="J88" s="198">
        <v>886241</v>
      </c>
      <c r="K88" s="198">
        <v>133580</v>
      </c>
      <c r="L88" s="198">
        <v>714418</v>
      </c>
      <c r="M88" s="198">
        <v>38243</v>
      </c>
      <c r="N88" s="198">
        <v>0</v>
      </c>
      <c r="O88" s="198">
        <v>832699</v>
      </c>
      <c r="P88" s="198">
        <v>132699</v>
      </c>
      <c r="Q88" s="198">
        <v>700000</v>
      </c>
      <c r="R88" s="198">
        <v>0</v>
      </c>
      <c r="S88" s="198">
        <v>0</v>
      </c>
      <c r="T88" s="198">
        <v>3082707</v>
      </c>
      <c r="U88" s="198">
        <v>345627</v>
      </c>
      <c r="V88" s="198">
        <v>2737080</v>
      </c>
      <c r="W88" s="198">
        <v>0</v>
      </c>
      <c r="X88" s="198">
        <v>0</v>
      </c>
      <c r="Y88" s="198">
        <v>2507975</v>
      </c>
      <c r="Z88" s="198">
        <v>188906</v>
      </c>
      <c r="AA88" s="198">
        <v>2319069</v>
      </c>
      <c r="AB88" s="198">
        <v>0</v>
      </c>
      <c r="AC88" s="198">
        <v>0</v>
      </c>
      <c r="AD88" s="198">
        <v>8789400</v>
      </c>
      <c r="AE88" s="238">
        <f t="shared" si="69"/>
        <v>904350</v>
      </c>
      <c r="AF88" s="238">
        <f t="shared" si="70"/>
        <v>7720014</v>
      </c>
      <c r="AG88" s="238">
        <f t="shared" si="71"/>
        <v>165036</v>
      </c>
      <c r="AH88" s="239">
        <f t="shared" si="72"/>
        <v>0</v>
      </c>
    </row>
    <row r="89" spans="1:34" ht="42" customHeight="1" x14ac:dyDescent="0.2">
      <c r="C89" s="384"/>
      <c r="E89" s="198">
        <f t="shared" ref="E89:AD89" si="74">E53-E88</f>
        <v>106045</v>
      </c>
      <c r="F89" s="198">
        <f t="shared" si="74"/>
        <v>6384</v>
      </c>
      <c r="G89" s="198">
        <f t="shared" si="74"/>
        <v>99661</v>
      </c>
      <c r="H89" s="198">
        <f t="shared" si="74"/>
        <v>0</v>
      </c>
      <c r="I89" s="198">
        <f t="shared" si="74"/>
        <v>0</v>
      </c>
      <c r="J89" s="198">
        <f t="shared" si="74"/>
        <v>665355</v>
      </c>
      <c r="K89" s="198">
        <f t="shared" si="74"/>
        <v>127155</v>
      </c>
      <c r="L89" s="198">
        <f t="shared" si="74"/>
        <v>576443</v>
      </c>
      <c r="M89" s="198">
        <f t="shared" si="74"/>
        <v>-38243</v>
      </c>
      <c r="N89" s="198">
        <f t="shared" si="74"/>
        <v>0</v>
      </c>
      <c r="O89" s="198">
        <f t="shared" si="74"/>
        <v>843284</v>
      </c>
      <c r="P89" s="198">
        <f t="shared" si="74"/>
        <v>89236</v>
      </c>
      <c r="Q89" s="198">
        <f t="shared" si="74"/>
        <v>754048</v>
      </c>
      <c r="R89" s="198">
        <f t="shared" si="74"/>
        <v>0</v>
      </c>
      <c r="S89" s="198">
        <f t="shared" si="74"/>
        <v>0</v>
      </c>
      <c r="T89" s="198">
        <f t="shared" si="74"/>
        <v>-2286030</v>
      </c>
      <c r="U89" s="198">
        <f t="shared" si="74"/>
        <v>-248950</v>
      </c>
      <c r="V89" s="198">
        <f t="shared" si="74"/>
        <v>-2037080</v>
      </c>
      <c r="W89" s="198">
        <f t="shared" si="74"/>
        <v>0</v>
      </c>
      <c r="X89" s="198">
        <f t="shared" si="74"/>
        <v>0</v>
      </c>
      <c r="Y89" s="198">
        <f t="shared" si="74"/>
        <v>-1729962</v>
      </c>
      <c r="Z89" s="198">
        <f t="shared" si="74"/>
        <v>-110893</v>
      </c>
      <c r="AA89" s="198">
        <f t="shared" si="74"/>
        <v>-1619069</v>
      </c>
      <c r="AB89" s="198">
        <f t="shared" si="74"/>
        <v>0</v>
      </c>
      <c r="AC89" s="198">
        <f t="shared" si="74"/>
        <v>0</v>
      </c>
      <c r="AD89" s="198">
        <f t="shared" si="74"/>
        <v>-2401308</v>
      </c>
      <c r="AE89" s="238">
        <f t="shared" si="69"/>
        <v>-137068</v>
      </c>
      <c r="AF89" s="238">
        <f t="shared" si="70"/>
        <v>-2225997</v>
      </c>
      <c r="AG89" s="238">
        <f t="shared" si="71"/>
        <v>-38243</v>
      </c>
      <c r="AH89" s="239">
        <f t="shared" si="72"/>
        <v>0</v>
      </c>
    </row>
    <row r="90" spans="1:34" ht="42" customHeight="1" x14ac:dyDescent="0.2">
      <c r="C90" s="240" t="s">
        <v>814</v>
      </c>
      <c r="E90" s="198">
        <v>305611</v>
      </c>
      <c r="F90" s="198">
        <v>305611</v>
      </c>
      <c r="G90" s="198">
        <v>0</v>
      </c>
      <c r="H90" s="198">
        <v>0</v>
      </c>
      <c r="I90" s="198">
        <v>0</v>
      </c>
      <c r="J90" s="198">
        <v>421548</v>
      </c>
      <c r="K90" s="198">
        <v>421548</v>
      </c>
      <c r="L90" s="198">
        <v>0</v>
      </c>
      <c r="M90" s="198">
        <v>0</v>
      </c>
      <c r="N90" s="198">
        <v>0</v>
      </c>
      <c r="O90" s="198">
        <v>421548</v>
      </c>
      <c r="P90" s="198">
        <v>421548</v>
      </c>
      <c r="Q90" s="198">
        <v>0</v>
      </c>
      <c r="R90" s="198">
        <v>0</v>
      </c>
      <c r="S90" s="198">
        <v>0</v>
      </c>
      <c r="T90" s="198">
        <v>438410</v>
      </c>
      <c r="U90" s="198">
        <v>438410</v>
      </c>
      <c r="V90" s="198">
        <v>0</v>
      </c>
      <c r="W90" s="198">
        <v>0</v>
      </c>
      <c r="X90" s="198">
        <v>0</v>
      </c>
      <c r="Y90" s="198">
        <v>455946</v>
      </c>
      <c r="Z90" s="198">
        <v>455946</v>
      </c>
      <c r="AA90" s="198">
        <v>0</v>
      </c>
      <c r="AB90" s="198">
        <v>0</v>
      </c>
      <c r="AC90" s="198">
        <v>0</v>
      </c>
      <c r="AD90" s="198">
        <v>2043063</v>
      </c>
      <c r="AE90" s="238">
        <f t="shared" si="69"/>
        <v>2043063</v>
      </c>
      <c r="AF90" s="238">
        <f t="shared" si="70"/>
        <v>0</v>
      </c>
      <c r="AG90" s="238">
        <f t="shared" si="71"/>
        <v>0</v>
      </c>
      <c r="AH90" s="239">
        <f t="shared" si="72"/>
        <v>0</v>
      </c>
    </row>
    <row r="91" spans="1:34" ht="42" customHeight="1" x14ac:dyDescent="0.2">
      <c r="C91" s="240"/>
      <c r="E91" s="198">
        <f t="shared" ref="E91:AD91" si="75">E65-E90</f>
        <v>-23750</v>
      </c>
      <c r="F91" s="198">
        <f t="shared" si="75"/>
        <v>-23750</v>
      </c>
      <c r="G91" s="198">
        <f t="shared" si="75"/>
        <v>0</v>
      </c>
      <c r="H91" s="198">
        <f t="shared" si="75"/>
        <v>0</v>
      </c>
      <c r="I91" s="198">
        <f t="shared" si="75"/>
        <v>0</v>
      </c>
      <c r="J91" s="198">
        <f t="shared" si="75"/>
        <v>-161364</v>
      </c>
      <c r="K91" s="198">
        <f t="shared" si="75"/>
        <v>-161364</v>
      </c>
      <c r="L91" s="198">
        <f t="shared" si="75"/>
        <v>0</v>
      </c>
      <c r="M91" s="198">
        <f t="shared" si="75"/>
        <v>0</v>
      </c>
      <c r="N91" s="198">
        <f t="shared" si="75"/>
        <v>0</v>
      </c>
      <c r="O91" s="198">
        <f t="shared" si="75"/>
        <v>-172155</v>
      </c>
      <c r="P91" s="198">
        <f t="shared" si="75"/>
        <v>-172155</v>
      </c>
      <c r="Q91" s="198">
        <f t="shared" si="75"/>
        <v>0</v>
      </c>
      <c r="R91" s="198">
        <f t="shared" si="75"/>
        <v>0</v>
      </c>
      <c r="S91" s="198">
        <f t="shared" si="75"/>
        <v>0</v>
      </c>
      <c r="T91" s="198">
        <f t="shared" si="75"/>
        <v>42799</v>
      </c>
      <c r="U91" s="198">
        <f t="shared" si="75"/>
        <v>42799</v>
      </c>
      <c r="V91" s="198">
        <f t="shared" si="75"/>
        <v>0</v>
      </c>
      <c r="W91" s="198">
        <f t="shared" si="75"/>
        <v>0</v>
      </c>
      <c r="X91" s="198">
        <f t="shared" si="75"/>
        <v>0</v>
      </c>
      <c r="Y91" s="198">
        <f t="shared" si="75"/>
        <v>30539</v>
      </c>
      <c r="Z91" s="198">
        <f t="shared" si="75"/>
        <v>30539</v>
      </c>
      <c r="AA91" s="198">
        <f t="shared" si="75"/>
        <v>0</v>
      </c>
      <c r="AB91" s="198">
        <f t="shared" si="75"/>
        <v>0</v>
      </c>
      <c r="AC91" s="198">
        <f t="shared" si="75"/>
        <v>0</v>
      </c>
      <c r="AD91" s="198">
        <f t="shared" si="75"/>
        <v>-283931</v>
      </c>
      <c r="AE91" s="238">
        <f t="shared" si="69"/>
        <v>-283931</v>
      </c>
      <c r="AF91" s="238">
        <f t="shared" si="70"/>
        <v>0</v>
      </c>
      <c r="AG91" s="238">
        <f t="shared" si="71"/>
        <v>0</v>
      </c>
      <c r="AH91" s="239">
        <f t="shared" si="72"/>
        <v>0</v>
      </c>
    </row>
    <row r="92" spans="1:34" ht="42" customHeight="1" x14ac:dyDescent="0.2">
      <c r="C92" s="240" t="s">
        <v>815</v>
      </c>
      <c r="E92" s="198">
        <v>316674</v>
      </c>
      <c r="F92" s="198">
        <v>241256</v>
      </c>
      <c r="G92" s="198">
        <v>75306</v>
      </c>
      <c r="H92" s="198">
        <v>0</v>
      </c>
      <c r="I92" s="198">
        <v>112</v>
      </c>
      <c r="J92" s="198">
        <v>317340</v>
      </c>
      <c r="K92" s="198">
        <v>241922</v>
      </c>
      <c r="L92" s="198">
        <v>75306</v>
      </c>
      <c r="M92" s="198">
        <v>0</v>
      </c>
      <c r="N92" s="198">
        <v>112</v>
      </c>
      <c r="O92" s="198">
        <v>317340</v>
      </c>
      <c r="P92" s="198">
        <v>241922</v>
      </c>
      <c r="Q92" s="198">
        <v>75306</v>
      </c>
      <c r="R92" s="198">
        <v>0</v>
      </c>
      <c r="S92" s="198">
        <v>112</v>
      </c>
      <c r="T92" s="198">
        <v>316784</v>
      </c>
      <c r="U92" s="198">
        <v>241916</v>
      </c>
      <c r="V92" s="198">
        <v>74756</v>
      </c>
      <c r="W92" s="198">
        <v>0</v>
      </c>
      <c r="X92" s="198">
        <v>112</v>
      </c>
      <c r="Y92" s="198">
        <v>304259</v>
      </c>
      <c r="Z92" s="198">
        <v>241791</v>
      </c>
      <c r="AA92" s="198">
        <v>62356</v>
      </c>
      <c r="AB92" s="198">
        <v>0</v>
      </c>
      <c r="AC92" s="198">
        <v>112</v>
      </c>
      <c r="AD92" s="198">
        <v>1572397</v>
      </c>
      <c r="AE92" s="238">
        <f t="shared" si="69"/>
        <v>1208807</v>
      </c>
      <c r="AF92" s="238">
        <f t="shared" si="70"/>
        <v>363030</v>
      </c>
      <c r="AG92" s="238">
        <f t="shared" si="71"/>
        <v>0</v>
      </c>
      <c r="AH92" s="239">
        <f t="shared" si="72"/>
        <v>560</v>
      </c>
    </row>
    <row r="93" spans="1:34" ht="42" customHeight="1" x14ac:dyDescent="0.2">
      <c r="E93" s="198">
        <f>E81-E92</f>
        <v>20863</v>
      </c>
      <c r="F93" s="198">
        <f t="shared" ref="F93:AD93" si="76">F81-F92</f>
        <v>-7855</v>
      </c>
      <c r="G93" s="198">
        <f t="shared" si="76"/>
        <v>28718</v>
      </c>
      <c r="H93" s="198">
        <f t="shared" si="76"/>
        <v>0</v>
      </c>
      <c r="I93" s="198">
        <f t="shared" si="76"/>
        <v>0</v>
      </c>
      <c r="J93" s="198">
        <f t="shared" si="76"/>
        <v>244539</v>
      </c>
      <c r="K93" s="198">
        <f t="shared" si="76"/>
        <v>-10237</v>
      </c>
      <c r="L93" s="198">
        <f t="shared" si="76"/>
        <v>254776</v>
      </c>
      <c r="M93" s="198">
        <f t="shared" si="76"/>
        <v>0</v>
      </c>
      <c r="N93" s="198">
        <f t="shared" si="76"/>
        <v>0</v>
      </c>
      <c r="O93" s="198">
        <f t="shared" si="76"/>
        <v>104569</v>
      </c>
      <c r="P93" s="198">
        <f t="shared" si="76"/>
        <v>61619</v>
      </c>
      <c r="Q93" s="198">
        <f t="shared" si="76"/>
        <v>42950</v>
      </c>
      <c r="R93" s="198">
        <f t="shared" si="76"/>
        <v>0</v>
      </c>
      <c r="S93" s="198">
        <f t="shared" si="76"/>
        <v>0</v>
      </c>
      <c r="T93" s="198">
        <f t="shared" si="76"/>
        <v>135603</v>
      </c>
      <c r="U93" s="198">
        <f t="shared" si="76"/>
        <v>92103</v>
      </c>
      <c r="V93" s="198">
        <f t="shared" si="76"/>
        <v>43500</v>
      </c>
      <c r="W93" s="198">
        <f t="shared" si="76"/>
        <v>0</v>
      </c>
      <c r="X93" s="198">
        <f t="shared" si="76"/>
        <v>0</v>
      </c>
      <c r="Y93" s="198">
        <f t="shared" si="76"/>
        <v>135543</v>
      </c>
      <c r="Z93" s="198">
        <f t="shared" si="76"/>
        <v>92102</v>
      </c>
      <c r="AA93" s="198">
        <f t="shared" si="76"/>
        <v>43441</v>
      </c>
      <c r="AB93" s="198">
        <f t="shared" si="76"/>
        <v>0</v>
      </c>
      <c r="AC93" s="198">
        <f t="shared" si="76"/>
        <v>0</v>
      </c>
      <c r="AD93" s="198">
        <f t="shared" si="76"/>
        <v>641117</v>
      </c>
      <c r="AE93" s="238">
        <f t="shared" si="69"/>
        <v>227732</v>
      </c>
      <c r="AF93" s="238">
        <f t="shared" si="70"/>
        <v>413385</v>
      </c>
      <c r="AG93" s="238">
        <f t="shared" si="71"/>
        <v>0</v>
      </c>
      <c r="AH93" s="239">
        <f t="shared" si="72"/>
        <v>0</v>
      </c>
    </row>
    <row r="94" spans="1:34" ht="42" customHeight="1" x14ac:dyDescent="0.2">
      <c r="E94" s="238">
        <v>2274538</v>
      </c>
      <c r="F94" s="238">
        <v>822880</v>
      </c>
      <c r="G94" s="238">
        <v>1324753</v>
      </c>
      <c r="H94" s="238">
        <v>126793</v>
      </c>
      <c r="I94" s="238">
        <v>112</v>
      </c>
      <c r="J94" s="238">
        <v>1723987</v>
      </c>
      <c r="K94" s="238">
        <v>895908</v>
      </c>
      <c r="L94" s="238">
        <v>789724</v>
      </c>
      <c r="M94" s="238">
        <v>38243</v>
      </c>
      <c r="N94" s="238">
        <v>112</v>
      </c>
      <c r="O94" s="238">
        <v>1670445</v>
      </c>
      <c r="P94" s="238">
        <v>895027</v>
      </c>
      <c r="Q94" s="238">
        <v>775306</v>
      </c>
      <c r="R94" s="238">
        <v>0</v>
      </c>
      <c r="S94" s="238">
        <v>112</v>
      </c>
      <c r="T94" s="238">
        <v>3906260</v>
      </c>
      <c r="U94" s="238">
        <v>1094312</v>
      </c>
      <c r="V94" s="238">
        <v>2811836</v>
      </c>
      <c r="W94" s="238">
        <v>0</v>
      </c>
      <c r="X94" s="238">
        <v>112</v>
      </c>
      <c r="Y94" s="238">
        <v>3336539</v>
      </c>
      <c r="Z94" s="238">
        <v>955002</v>
      </c>
      <c r="AA94" s="238">
        <v>2381425</v>
      </c>
      <c r="AB94" s="238">
        <v>0</v>
      </c>
      <c r="AC94" s="238">
        <v>112</v>
      </c>
      <c r="AD94" s="238">
        <v>12911769</v>
      </c>
      <c r="AE94" s="238">
        <f t="shared" ref="AE94" si="77">F94+K94+P94+U94+Z94</f>
        <v>4663129</v>
      </c>
      <c r="AF94" s="238">
        <f t="shared" ref="AF94" si="78">G94+L94+Q94+V94+AA94</f>
        <v>8083044</v>
      </c>
      <c r="AG94" s="238">
        <f t="shared" ref="AG94" si="79">H94+M94+R94+W94+AB94</f>
        <v>165036</v>
      </c>
      <c r="AH94" s="239">
        <f t="shared" ref="AH94" si="80">I94+N94+S94+X94+AC94</f>
        <v>560</v>
      </c>
    </row>
    <row r="95" spans="1:34" ht="42" customHeight="1" x14ac:dyDescent="0.2">
      <c r="E95" s="238">
        <f>E84-E94</f>
        <v>103695</v>
      </c>
      <c r="F95" s="238">
        <f t="shared" ref="F95:AD95" si="81">F84-F94</f>
        <v>-24684</v>
      </c>
      <c r="G95" s="238">
        <f t="shared" si="81"/>
        <v>128379</v>
      </c>
      <c r="H95" s="238">
        <f t="shared" si="81"/>
        <v>0</v>
      </c>
      <c r="I95" s="238">
        <f t="shared" si="81"/>
        <v>0</v>
      </c>
      <c r="J95" s="238">
        <f t="shared" si="81"/>
        <v>753526</v>
      </c>
      <c r="K95" s="238">
        <f t="shared" si="81"/>
        <v>-39450</v>
      </c>
      <c r="L95" s="238">
        <f t="shared" si="81"/>
        <v>831219</v>
      </c>
      <c r="M95" s="238">
        <f t="shared" si="81"/>
        <v>-38243</v>
      </c>
      <c r="N95" s="238">
        <f t="shared" si="81"/>
        <v>0</v>
      </c>
      <c r="O95" s="238">
        <f t="shared" si="81"/>
        <v>773473</v>
      </c>
      <c r="P95" s="238">
        <f t="shared" si="81"/>
        <v>-23525</v>
      </c>
      <c r="Q95" s="238">
        <f t="shared" si="81"/>
        <v>796998</v>
      </c>
      <c r="R95" s="238">
        <f t="shared" si="81"/>
        <v>0</v>
      </c>
      <c r="S95" s="238">
        <f t="shared" si="81"/>
        <v>0</v>
      </c>
      <c r="T95" s="238">
        <f t="shared" si="81"/>
        <v>-2080024</v>
      </c>
      <c r="U95" s="238">
        <f t="shared" si="81"/>
        <v>-86444</v>
      </c>
      <c r="V95" s="238">
        <f t="shared" si="81"/>
        <v>-1993580</v>
      </c>
      <c r="W95" s="238">
        <f t="shared" si="81"/>
        <v>0</v>
      </c>
      <c r="X95" s="238">
        <f t="shared" si="81"/>
        <v>0</v>
      </c>
      <c r="Y95" s="238">
        <f t="shared" si="81"/>
        <v>-1531248</v>
      </c>
      <c r="Z95" s="238">
        <f t="shared" si="81"/>
        <v>44380</v>
      </c>
      <c r="AA95" s="238">
        <f t="shared" si="81"/>
        <v>-1575628</v>
      </c>
      <c r="AB95" s="238">
        <f t="shared" si="81"/>
        <v>0</v>
      </c>
      <c r="AC95" s="238">
        <f t="shared" si="81"/>
        <v>0</v>
      </c>
      <c r="AD95" s="238">
        <f t="shared" si="81"/>
        <v>-1980578</v>
      </c>
      <c r="AE95" s="238">
        <f t="shared" ref="AE95" si="82">AE84-AE94</f>
        <v>-129723</v>
      </c>
      <c r="AF95" s="238">
        <f t="shared" ref="AF95" si="83">AF84-AF94</f>
        <v>-1812612</v>
      </c>
      <c r="AG95" s="238">
        <f t="shared" ref="AG95" si="84">AG84-AG94</f>
        <v>-38243</v>
      </c>
      <c r="AH95" s="238">
        <f t="shared" ref="AH95" si="85">AH84-AH94</f>
        <v>0</v>
      </c>
    </row>
  </sheetData>
  <mergeCells count="84">
    <mergeCell ref="D78:D79"/>
    <mergeCell ref="B57:AD57"/>
    <mergeCell ref="B54:AD54"/>
    <mergeCell ref="B60:AD60"/>
    <mergeCell ref="B12:AD12"/>
    <mergeCell ref="B39:AD39"/>
    <mergeCell ref="B36:AD36"/>
    <mergeCell ref="B20:AD20"/>
    <mergeCell ref="B33:AD33"/>
    <mergeCell ref="B42:B43"/>
    <mergeCell ref="A56:AD56"/>
    <mergeCell ref="A42:A43"/>
    <mergeCell ref="C42:C43"/>
    <mergeCell ref="A52:C52"/>
    <mergeCell ref="A51:C51"/>
    <mergeCell ref="L78:L79"/>
    <mergeCell ref="E78:E79"/>
    <mergeCell ref="F78:F79"/>
    <mergeCell ref="M78:M79"/>
    <mergeCell ref="I78:I79"/>
    <mergeCell ref="G78:G79"/>
    <mergeCell ref="H78:H79"/>
    <mergeCell ref="A65:C65"/>
    <mergeCell ref="B66:AD66"/>
    <mergeCell ref="B69:AD69"/>
    <mergeCell ref="B71:AD71"/>
    <mergeCell ref="B77:AD77"/>
    <mergeCell ref="N78:N79"/>
    <mergeCell ref="O78:O79"/>
    <mergeCell ref="U78:U79"/>
    <mergeCell ref="V78:V79"/>
    <mergeCell ref="Y78:Y79"/>
    <mergeCell ref="X78:X79"/>
    <mergeCell ref="W78:W79"/>
    <mergeCell ref="T78:T79"/>
    <mergeCell ref="AA1:AD1"/>
    <mergeCell ref="AC78:AC79"/>
    <mergeCell ref="AD78:AD79"/>
    <mergeCell ref="AB78:AB79"/>
    <mergeCell ref="A44:A45"/>
    <mergeCell ref="C44:C45"/>
    <mergeCell ref="A46:A47"/>
    <mergeCell ref="C46:C47"/>
    <mergeCell ref="A4:A6"/>
    <mergeCell ref="B4:B6"/>
    <mergeCell ref="C4:C6"/>
    <mergeCell ref="D4:D6"/>
    <mergeCell ref="E4:AC4"/>
    <mergeCell ref="AD4:AD6"/>
    <mergeCell ref="A55:AD55"/>
    <mergeCell ref="B3:AD3"/>
    <mergeCell ref="AA2:AD2"/>
    <mergeCell ref="P78:P79"/>
    <mergeCell ref="Q78:Q79"/>
    <mergeCell ref="R78:R79"/>
    <mergeCell ref="S78:S79"/>
    <mergeCell ref="O5:S5"/>
    <mergeCell ref="Y5:AC5"/>
    <mergeCell ref="AA78:AA79"/>
    <mergeCell ref="Z78:Z79"/>
    <mergeCell ref="A8:AD8"/>
    <mergeCell ref="A68:AD68"/>
    <mergeCell ref="A67:AD67"/>
    <mergeCell ref="A10:AD10"/>
    <mergeCell ref="A11:AD11"/>
    <mergeCell ref="J78:J79"/>
    <mergeCell ref="K78:K79"/>
    <mergeCell ref="E5:I5"/>
    <mergeCell ref="J5:N5"/>
    <mergeCell ref="T5:X5"/>
    <mergeCell ref="A35:C35"/>
    <mergeCell ref="A53:C53"/>
    <mergeCell ref="A37:AD37"/>
    <mergeCell ref="A38:AD38"/>
    <mergeCell ref="B9:AD9"/>
    <mergeCell ref="C88:C89"/>
    <mergeCell ref="A78:A79"/>
    <mergeCell ref="A84:C84"/>
    <mergeCell ref="A82:C82"/>
    <mergeCell ref="A83:C83"/>
    <mergeCell ref="C78:C79"/>
    <mergeCell ref="B78:B79"/>
    <mergeCell ref="C86:C87"/>
    <mergeCell ref="A81:C81"/>
  </mergeCells>
  <phoneticPr fontId="1" type="noConversion"/>
  <printOptions horizontalCentered="1"/>
  <pageMargins left="7.874015748031496E-2" right="7.874015748031496E-2" top="0.62992125984251968" bottom="0.39370078740157483" header="0.19685039370078741" footer="0.15748031496062992"/>
  <pageSetup paperSize="8" scale="39" fitToHeight="0" orientation="landscape" r:id="rId1"/>
  <headerFooter alignWithMargins="0"/>
  <rowBreaks count="7" manualBreakCount="7">
    <brk id="19" max="16383" man="1"/>
    <brk id="30" max="29" man="1"/>
    <brk id="41" max="16383" man="1"/>
    <brk id="48" max="16383" man="1"/>
    <brk id="61" max="29" man="1"/>
    <brk id="72" max="16383" man="1"/>
    <brk id="76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19"/>
  <sheetViews>
    <sheetView view="pageBreakPreview" topLeftCell="A94" zoomScale="110" zoomScaleSheetLayoutView="110" workbookViewId="0">
      <selection activeCell="B14" sqref="B14:J14"/>
    </sheetView>
  </sheetViews>
  <sheetFormatPr defaultRowHeight="12.75" x14ac:dyDescent="0.2"/>
  <cols>
    <col min="1" max="1" width="6.140625" customWidth="1"/>
    <col min="2" max="2" width="34.140625" customWidth="1"/>
    <col min="3" max="3" width="58.28515625" customWidth="1"/>
    <col min="4" max="4" width="8.85546875"/>
    <col min="5" max="5" width="9.140625" customWidth="1"/>
    <col min="6" max="7" width="8.28515625" customWidth="1"/>
    <col min="8" max="9" width="10.140625" customWidth="1"/>
    <col min="10" max="10" width="10.5703125" customWidth="1"/>
    <col min="17" max="17" width="14.140625" customWidth="1"/>
  </cols>
  <sheetData>
    <row r="1" spans="1:14" ht="58.5" customHeight="1" x14ac:dyDescent="0.2">
      <c r="G1" s="430" t="s">
        <v>1748</v>
      </c>
      <c r="H1" s="430"/>
      <c r="I1" s="430"/>
      <c r="J1" s="430"/>
    </row>
    <row r="2" spans="1:14" ht="75.75" customHeight="1" x14ac:dyDescent="0.2">
      <c r="G2" s="437" t="s">
        <v>1058</v>
      </c>
      <c r="H2" s="437"/>
      <c r="I2" s="437"/>
      <c r="J2" s="437"/>
    </row>
    <row r="3" spans="1:14" ht="0.75" hidden="1" customHeight="1" x14ac:dyDescent="0.2">
      <c r="A3" s="29"/>
      <c r="B3" s="241"/>
      <c r="C3" s="242"/>
      <c r="D3" s="243"/>
      <c r="E3" s="244"/>
      <c r="F3" s="244"/>
      <c r="G3" s="244"/>
      <c r="H3" s="244"/>
      <c r="I3" s="244"/>
      <c r="J3" s="244"/>
    </row>
    <row r="4" spans="1:14" ht="31.5" customHeight="1" x14ac:dyDescent="0.2">
      <c r="A4" s="306" t="s">
        <v>690</v>
      </c>
      <c r="B4" s="436"/>
      <c r="C4" s="436"/>
      <c r="D4" s="436"/>
      <c r="E4" s="436"/>
      <c r="F4" s="306"/>
      <c r="G4" s="306"/>
      <c r="H4" s="306"/>
      <c r="I4" s="306"/>
      <c r="J4" s="306"/>
    </row>
    <row r="5" spans="1:14" ht="9.75" customHeight="1" x14ac:dyDescent="0.2">
      <c r="A5" s="344" t="s">
        <v>124</v>
      </c>
      <c r="B5" s="431" t="s">
        <v>368</v>
      </c>
      <c r="C5" s="387" t="s">
        <v>369</v>
      </c>
      <c r="D5" s="387" t="s">
        <v>370</v>
      </c>
      <c r="E5" s="434" t="s">
        <v>371</v>
      </c>
      <c r="F5" s="387" t="s">
        <v>372</v>
      </c>
      <c r="G5" s="387"/>
      <c r="H5" s="433"/>
      <c r="I5" s="433"/>
      <c r="J5" s="433"/>
    </row>
    <row r="6" spans="1:14" ht="7.5" customHeight="1" x14ac:dyDescent="0.2">
      <c r="A6" s="344"/>
      <c r="B6" s="432"/>
      <c r="C6" s="387"/>
      <c r="D6" s="433"/>
      <c r="E6" s="435"/>
      <c r="F6" s="433"/>
      <c r="G6" s="433"/>
      <c r="H6" s="433"/>
      <c r="I6" s="433"/>
      <c r="J6" s="433"/>
    </row>
    <row r="7" spans="1:14" ht="9" customHeight="1" x14ac:dyDescent="0.2">
      <c r="A7" s="344"/>
      <c r="B7" s="432"/>
      <c r="C7" s="387"/>
      <c r="D7" s="433"/>
      <c r="E7" s="435"/>
      <c r="F7" s="344">
        <v>2021</v>
      </c>
      <c r="G7" s="344">
        <v>2022</v>
      </c>
      <c r="H7" s="344">
        <v>2023</v>
      </c>
      <c r="I7" s="344">
        <v>2024</v>
      </c>
      <c r="J7" s="344">
        <v>2025</v>
      </c>
    </row>
    <row r="8" spans="1:14" ht="12" customHeight="1" x14ac:dyDescent="0.2">
      <c r="A8" s="344"/>
      <c r="B8" s="432"/>
      <c r="C8" s="387"/>
      <c r="D8" s="433"/>
      <c r="E8" s="435"/>
      <c r="F8" s="344"/>
      <c r="G8" s="344"/>
      <c r="H8" s="344"/>
      <c r="I8" s="344"/>
      <c r="J8" s="344"/>
    </row>
    <row r="9" spans="1:14" x14ac:dyDescent="0.2">
      <c r="A9" s="245">
        <v>1</v>
      </c>
      <c r="B9" s="245">
        <v>2</v>
      </c>
      <c r="C9" s="245">
        <v>3</v>
      </c>
      <c r="D9" s="245">
        <v>4</v>
      </c>
      <c r="E9" s="245">
        <v>5</v>
      </c>
      <c r="F9" s="245">
        <v>6</v>
      </c>
      <c r="G9" s="245">
        <v>7</v>
      </c>
      <c r="H9" s="245">
        <v>8</v>
      </c>
      <c r="I9" s="245">
        <v>9</v>
      </c>
      <c r="J9" s="245">
        <v>10</v>
      </c>
    </row>
    <row r="10" spans="1:14" ht="15.75" customHeight="1" x14ac:dyDescent="0.2">
      <c r="A10" s="426" t="s">
        <v>135</v>
      </c>
      <c r="B10" s="426"/>
      <c r="C10" s="426"/>
      <c r="D10" s="426"/>
      <c r="E10" s="426"/>
      <c r="F10" s="426"/>
      <c r="G10" s="426"/>
      <c r="H10" s="426"/>
      <c r="I10" s="426"/>
      <c r="J10" s="426"/>
    </row>
    <row r="11" spans="1:14" ht="27.75" customHeight="1" x14ac:dyDescent="0.2">
      <c r="A11" s="246" t="s">
        <v>1066</v>
      </c>
      <c r="B11" s="416" t="s">
        <v>109</v>
      </c>
      <c r="C11" s="417"/>
      <c r="D11" s="417"/>
      <c r="E11" s="417"/>
      <c r="F11" s="417"/>
      <c r="G11" s="417"/>
      <c r="H11" s="417"/>
      <c r="I11" s="417"/>
      <c r="J11" s="418"/>
    </row>
    <row r="12" spans="1:14" ht="17.45" customHeight="1" x14ac:dyDescent="0.2">
      <c r="A12" s="427" t="s">
        <v>127</v>
      </c>
      <c r="B12" s="427"/>
      <c r="C12" s="427"/>
      <c r="D12" s="427"/>
      <c r="E12" s="427"/>
      <c r="F12" s="427"/>
      <c r="G12" s="427"/>
      <c r="H12" s="427"/>
      <c r="I12" s="427"/>
      <c r="J12" s="427"/>
    </row>
    <row r="13" spans="1:14" ht="25.15" customHeight="1" x14ac:dyDescent="0.2">
      <c r="A13" s="426" t="s">
        <v>373</v>
      </c>
      <c r="B13" s="426"/>
      <c r="C13" s="426"/>
      <c r="D13" s="426"/>
      <c r="E13" s="426"/>
      <c r="F13" s="426"/>
      <c r="G13" s="426"/>
      <c r="H13" s="426"/>
      <c r="I13" s="426"/>
      <c r="J13" s="426"/>
    </row>
    <row r="14" spans="1:14" ht="27.75" customHeight="1" x14ac:dyDescent="0.2">
      <c r="A14" s="247" t="s">
        <v>1</v>
      </c>
      <c r="B14" s="416" t="s">
        <v>1065</v>
      </c>
      <c r="C14" s="417"/>
      <c r="D14" s="417"/>
      <c r="E14" s="417"/>
      <c r="F14" s="417"/>
      <c r="G14" s="417"/>
      <c r="H14" s="417"/>
      <c r="I14" s="417"/>
      <c r="J14" s="418"/>
    </row>
    <row r="15" spans="1:14" ht="39" customHeight="1" x14ac:dyDescent="0.2">
      <c r="A15" s="248" t="s">
        <v>8</v>
      </c>
      <c r="B15" s="249" t="s">
        <v>400</v>
      </c>
      <c r="C15" s="250" t="s">
        <v>401</v>
      </c>
      <c r="D15" s="251" t="s">
        <v>374</v>
      </c>
      <c r="E15" s="252">
        <v>3</v>
      </c>
      <c r="F15" s="252">
        <f>5+1</f>
        <v>6</v>
      </c>
      <c r="G15" s="253">
        <v>3</v>
      </c>
      <c r="H15" s="253">
        <f>2-1</f>
        <v>1</v>
      </c>
      <c r="I15" s="253">
        <f>2-1</f>
        <v>1</v>
      </c>
      <c r="J15" s="252">
        <f>0+1</f>
        <v>1</v>
      </c>
      <c r="K15" s="254" t="s">
        <v>499</v>
      </c>
    </row>
    <row r="16" spans="1:14" ht="40.5" customHeight="1" x14ac:dyDescent="0.2">
      <c r="A16" s="245" t="s">
        <v>25</v>
      </c>
      <c r="B16" s="255" t="s">
        <v>848</v>
      </c>
      <c r="C16" s="256" t="s">
        <v>1034</v>
      </c>
      <c r="D16" s="257" t="s">
        <v>374</v>
      </c>
      <c r="E16" s="258" t="s">
        <v>375</v>
      </c>
      <c r="F16" s="258">
        <v>1</v>
      </c>
      <c r="G16" s="258">
        <v>1</v>
      </c>
      <c r="H16" s="258" t="s">
        <v>375</v>
      </c>
      <c r="I16" s="259" t="s">
        <v>375</v>
      </c>
      <c r="J16" s="259" t="s">
        <v>375</v>
      </c>
      <c r="K16" s="260" t="s">
        <v>375</v>
      </c>
      <c r="L16" s="261" t="s">
        <v>375</v>
      </c>
      <c r="M16" s="262" t="s">
        <v>375</v>
      </c>
      <c r="N16" s="263" t="s">
        <v>375</v>
      </c>
    </row>
    <row r="17" spans="1:11" ht="14.25" customHeight="1" x14ac:dyDescent="0.2">
      <c r="A17" s="344" t="s">
        <v>37</v>
      </c>
      <c r="B17" s="428" t="s">
        <v>376</v>
      </c>
      <c r="C17" s="256" t="s">
        <v>377</v>
      </c>
      <c r="D17" s="264" t="s">
        <v>374</v>
      </c>
      <c r="E17" s="258">
        <v>9</v>
      </c>
      <c r="F17" s="258">
        <v>11</v>
      </c>
      <c r="G17" s="258">
        <v>11</v>
      </c>
      <c r="H17" s="258">
        <f>11-6+9</f>
        <v>14</v>
      </c>
      <c r="I17" s="258">
        <f>12-1</f>
        <v>11</v>
      </c>
      <c r="J17" s="258">
        <f>0+12</f>
        <v>12</v>
      </c>
    </row>
    <row r="18" spans="1:11" ht="29.45" customHeight="1" x14ac:dyDescent="0.2">
      <c r="A18" s="413"/>
      <c r="B18" s="429"/>
      <c r="C18" s="256" t="s">
        <v>1035</v>
      </c>
      <c r="D18" s="265" t="s">
        <v>374</v>
      </c>
      <c r="E18" s="266" t="s">
        <v>375</v>
      </c>
      <c r="F18" s="266" t="s">
        <v>375</v>
      </c>
      <c r="G18" s="266" t="s">
        <v>375</v>
      </c>
      <c r="H18" s="266" t="s">
        <v>375</v>
      </c>
      <c r="I18" s="266" t="s">
        <v>375</v>
      </c>
      <c r="J18" s="266" t="s">
        <v>375</v>
      </c>
    </row>
    <row r="19" spans="1:11" ht="27" customHeight="1" x14ac:dyDescent="0.2">
      <c r="A19" s="267" t="s">
        <v>1074</v>
      </c>
      <c r="B19" s="268" t="s">
        <v>706</v>
      </c>
      <c r="C19" s="256" t="s">
        <v>1036</v>
      </c>
      <c r="D19" s="269" t="s">
        <v>374</v>
      </c>
      <c r="E19" s="258">
        <v>2</v>
      </c>
      <c r="F19" s="258">
        <v>3</v>
      </c>
      <c r="G19" s="258">
        <v>10</v>
      </c>
      <c r="H19" s="258">
        <f>0+1+2</f>
        <v>3</v>
      </c>
      <c r="I19" s="258">
        <f>0+5</f>
        <v>5</v>
      </c>
      <c r="J19" s="258">
        <f>0+2</f>
        <v>2</v>
      </c>
    </row>
    <row r="20" spans="1:11" ht="27.6" customHeight="1" x14ac:dyDescent="0.2">
      <c r="A20" s="270"/>
      <c r="B20" s="271"/>
      <c r="C20" s="250" t="s">
        <v>378</v>
      </c>
      <c r="D20" s="272" t="s">
        <v>374</v>
      </c>
      <c r="E20" s="252">
        <v>1</v>
      </c>
      <c r="F20" s="273" t="s">
        <v>375</v>
      </c>
      <c r="G20" s="273" t="s">
        <v>375</v>
      </c>
      <c r="H20" s="273" t="s">
        <v>375</v>
      </c>
      <c r="I20" s="273" t="s">
        <v>375</v>
      </c>
      <c r="J20" s="273" t="s">
        <v>375</v>
      </c>
    </row>
    <row r="21" spans="1:11" ht="21" customHeight="1" x14ac:dyDescent="0.2">
      <c r="A21" s="245" t="s">
        <v>1075</v>
      </c>
      <c r="B21" s="268" t="s">
        <v>104</v>
      </c>
      <c r="C21" s="256" t="s">
        <v>379</v>
      </c>
      <c r="D21" s="269" t="s">
        <v>374</v>
      </c>
      <c r="E21" s="258">
        <v>5</v>
      </c>
      <c r="F21" s="258">
        <v>12</v>
      </c>
      <c r="G21" s="274">
        <v>3</v>
      </c>
      <c r="H21" s="274">
        <f>10-9</f>
        <v>1</v>
      </c>
      <c r="I21" s="258" t="s">
        <v>375</v>
      </c>
      <c r="J21" s="259" t="s">
        <v>375</v>
      </c>
    </row>
    <row r="22" spans="1:11" ht="42.75" customHeight="1" x14ac:dyDescent="0.2">
      <c r="A22" s="245" t="s">
        <v>1076</v>
      </c>
      <c r="B22" s="268" t="s">
        <v>709</v>
      </c>
      <c r="C22" s="256" t="s">
        <v>1051</v>
      </c>
      <c r="D22" s="11" t="s">
        <v>374</v>
      </c>
      <c r="E22" s="275" t="s">
        <v>375</v>
      </c>
      <c r="F22" s="276">
        <v>2</v>
      </c>
      <c r="G22" s="276">
        <f>1+1</f>
        <v>2</v>
      </c>
      <c r="H22" s="276">
        <f>2+1+2</f>
        <v>5</v>
      </c>
      <c r="I22" s="276">
        <f>0+2</f>
        <v>2</v>
      </c>
      <c r="J22" s="276">
        <f>0+4</f>
        <v>4</v>
      </c>
    </row>
    <row r="23" spans="1:11" ht="39" customHeight="1" x14ac:dyDescent="0.2">
      <c r="A23" s="245" t="s">
        <v>1077</v>
      </c>
      <c r="B23" s="268" t="s">
        <v>859</v>
      </c>
      <c r="C23" s="256" t="s">
        <v>965</v>
      </c>
      <c r="D23" s="11" t="s">
        <v>374</v>
      </c>
      <c r="E23" s="275" t="s">
        <v>375</v>
      </c>
      <c r="F23" s="276" t="s">
        <v>375</v>
      </c>
      <c r="G23" s="276" t="s">
        <v>375</v>
      </c>
      <c r="H23" s="276">
        <f>0+1</f>
        <v>1</v>
      </c>
      <c r="I23" s="275" t="s">
        <v>375</v>
      </c>
      <c r="J23" s="275" t="s">
        <v>375</v>
      </c>
    </row>
    <row r="24" spans="1:11" ht="36" customHeight="1" x14ac:dyDescent="0.2">
      <c r="A24" s="247" t="s">
        <v>10</v>
      </c>
      <c r="B24" s="416" t="s">
        <v>1102</v>
      </c>
      <c r="C24" s="417"/>
      <c r="D24" s="417"/>
      <c r="E24" s="417"/>
      <c r="F24" s="417"/>
      <c r="G24" s="417"/>
      <c r="H24" s="417"/>
      <c r="I24" s="417"/>
      <c r="J24" s="418"/>
    </row>
    <row r="25" spans="1:11" ht="19.149999999999999" customHeight="1" x14ac:dyDescent="0.2">
      <c r="A25" s="387" t="s">
        <v>11</v>
      </c>
      <c r="B25" s="421" t="s">
        <v>598</v>
      </c>
      <c r="C25" s="256" t="s">
        <v>576</v>
      </c>
      <c r="D25" s="269" t="s">
        <v>380</v>
      </c>
      <c r="E25" s="4">
        <v>6.79</v>
      </c>
      <c r="F25" s="4">
        <v>6.39</v>
      </c>
      <c r="G25" s="4">
        <v>0.38200000000000001</v>
      </c>
      <c r="H25" s="4">
        <v>0.56100000000000005</v>
      </c>
      <c r="I25" s="4" t="s">
        <v>375</v>
      </c>
      <c r="J25" s="4" t="s">
        <v>375</v>
      </c>
    </row>
    <row r="26" spans="1:11" ht="15" customHeight="1" x14ac:dyDescent="0.2">
      <c r="A26" s="387"/>
      <c r="B26" s="421"/>
      <c r="C26" s="256" t="s">
        <v>381</v>
      </c>
      <c r="D26" s="269" t="s">
        <v>374</v>
      </c>
      <c r="E26" s="258">
        <v>41</v>
      </c>
      <c r="F26" s="258">
        <v>50</v>
      </c>
      <c r="G26" s="258">
        <v>12</v>
      </c>
      <c r="H26" s="258">
        <f>12+7+13</f>
        <v>32</v>
      </c>
      <c r="I26" s="258">
        <f>18-16+2</f>
        <v>4</v>
      </c>
      <c r="J26" s="258">
        <f>26-24+2</f>
        <v>4</v>
      </c>
    </row>
    <row r="27" spans="1:11" ht="19.899999999999999" customHeight="1" x14ac:dyDescent="0.2">
      <c r="A27" s="387"/>
      <c r="B27" s="421"/>
      <c r="C27" s="256" t="s">
        <v>601</v>
      </c>
      <c r="D27" s="269" t="s">
        <v>374</v>
      </c>
      <c r="E27" s="258">
        <v>460</v>
      </c>
      <c r="F27" s="258">
        <v>483</v>
      </c>
      <c r="G27" s="258">
        <v>590</v>
      </c>
      <c r="H27" s="258">
        <f>590-429+28</f>
        <v>189</v>
      </c>
      <c r="I27" s="258">
        <f>130-110+11</f>
        <v>31</v>
      </c>
      <c r="J27" s="258">
        <f>130-110-5</f>
        <v>15</v>
      </c>
    </row>
    <row r="28" spans="1:11" ht="28.9" customHeight="1" x14ac:dyDescent="0.2">
      <c r="A28" s="344" t="s">
        <v>12</v>
      </c>
      <c r="B28" s="422" t="s">
        <v>382</v>
      </c>
      <c r="C28" s="256" t="s">
        <v>1037</v>
      </c>
      <c r="D28" s="269" t="s">
        <v>374</v>
      </c>
      <c r="E28" s="259" t="s">
        <v>375</v>
      </c>
      <c r="F28" s="258" t="s">
        <v>375</v>
      </c>
      <c r="G28" s="258" t="s">
        <v>375</v>
      </c>
      <c r="H28" s="258">
        <f>7-1-5</f>
        <v>1</v>
      </c>
      <c r="I28" s="258">
        <f>7+22</f>
        <v>29</v>
      </c>
      <c r="J28" s="258">
        <f>0+1</f>
        <v>1</v>
      </c>
    </row>
    <row r="29" spans="1:11" ht="31.9" customHeight="1" x14ac:dyDescent="0.2">
      <c r="A29" s="344"/>
      <c r="B29" s="422"/>
      <c r="C29" s="256" t="s">
        <v>1035</v>
      </c>
      <c r="D29" s="269" t="s">
        <v>374</v>
      </c>
      <c r="E29" s="258">
        <v>1</v>
      </c>
      <c r="F29" s="259" t="s">
        <v>375</v>
      </c>
      <c r="G29" s="259" t="s">
        <v>375</v>
      </c>
      <c r="H29" s="259" t="s">
        <v>375</v>
      </c>
      <c r="I29" s="259" t="s">
        <v>375</v>
      </c>
      <c r="J29" s="259" t="s">
        <v>375</v>
      </c>
    </row>
    <row r="30" spans="1:11" ht="41.45" customHeight="1" x14ac:dyDescent="0.2">
      <c r="A30" s="245" t="s">
        <v>27</v>
      </c>
      <c r="B30" s="268" t="s">
        <v>594</v>
      </c>
      <c r="C30" s="256" t="s">
        <v>686</v>
      </c>
      <c r="D30" s="269" t="s">
        <v>374</v>
      </c>
      <c r="E30" s="258">
        <v>4</v>
      </c>
      <c r="F30" s="258">
        <v>2</v>
      </c>
      <c r="G30" s="258">
        <f>1+1</f>
        <v>2</v>
      </c>
      <c r="H30" s="258">
        <v>1</v>
      </c>
      <c r="I30" s="258" t="s">
        <v>375</v>
      </c>
      <c r="J30" s="259" t="s">
        <v>375</v>
      </c>
    </row>
    <row r="31" spans="1:11" ht="39.75" customHeight="1" x14ac:dyDescent="0.2">
      <c r="A31" s="245" t="s">
        <v>1079</v>
      </c>
      <c r="B31" s="268" t="s">
        <v>603</v>
      </c>
      <c r="C31" s="256" t="s">
        <v>1038</v>
      </c>
      <c r="D31" s="269" t="s">
        <v>374</v>
      </c>
      <c r="E31" s="259" t="s">
        <v>375</v>
      </c>
      <c r="F31" s="259" t="s">
        <v>375</v>
      </c>
      <c r="G31" s="258">
        <v>3</v>
      </c>
      <c r="H31" s="258">
        <f>5</f>
        <v>5</v>
      </c>
      <c r="I31" s="258">
        <f>0+4</f>
        <v>4</v>
      </c>
      <c r="J31" s="258" t="s">
        <v>375</v>
      </c>
    </row>
    <row r="32" spans="1:11" ht="29.45" customHeight="1" x14ac:dyDescent="0.2">
      <c r="A32" s="245" t="s">
        <v>1080</v>
      </c>
      <c r="B32" s="268" t="s">
        <v>595</v>
      </c>
      <c r="C32" s="256" t="s">
        <v>596</v>
      </c>
      <c r="D32" s="269" t="s">
        <v>374</v>
      </c>
      <c r="E32" s="259" t="s">
        <v>375</v>
      </c>
      <c r="F32" s="258">
        <v>1</v>
      </c>
      <c r="G32" s="258">
        <f>5-3</f>
        <v>2</v>
      </c>
      <c r="H32" s="258" t="s">
        <v>375</v>
      </c>
      <c r="I32" s="258" t="s">
        <v>375</v>
      </c>
      <c r="J32" s="259" t="s">
        <v>375</v>
      </c>
      <c r="K32" s="254" t="s">
        <v>425</v>
      </c>
    </row>
    <row r="33" spans="1:30" ht="33" customHeight="1" x14ac:dyDescent="0.2">
      <c r="A33" s="245" t="s">
        <v>1081</v>
      </c>
      <c r="B33" s="268" t="s">
        <v>600</v>
      </c>
      <c r="C33" s="256" t="s">
        <v>602</v>
      </c>
      <c r="D33" s="269" t="s">
        <v>374</v>
      </c>
      <c r="E33" s="259" t="s">
        <v>375</v>
      </c>
      <c r="F33" s="258">
        <v>734</v>
      </c>
      <c r="G33" s="274">
        <f>534+28+604+42</f>
        <v>1208</v>
      </c>
      <c r="H33" s="258">
        <f>534+629</f>
        <v>1163</v>
      </c>
      <c r="I33" s="258">
        <f>534+1455</f>
        <v>1989</v>
      </c>
      <c r="J33" s="258">
        <f>1943+46</f>
        <v>1989</v>
      </c>
      <c r="K33" s="254"/>
    </row>
    <row r="34" spans="1:30" ht="24.6" customHeight="1" x14ac:dyDescent="0.2">
      <c r="A34" s="245" t="s">
        <v>1082</v>
      </c>
      <c r="B34" s="268" t="s">
        <v>383</v>
      </c>
      <c r="C34" s="256" t="s">
        <v>384</v>
      </c>
      <c r="D34" s="269" t="s">
        <v>385</v>
      </c>
      <c r="E34" s="258">
        <v>2</v>
      </c>
      <c r="F34" s="259" t="s">
        <v>375</v>
      </c>
      <c r="G34" s="277" t="s">
        <v>375</v>
      </c>
      <c r="H34" s="259" t="s">
        <v>375</v>
      </c>
      <c r="I34" s="259" t="s">
        <v>375</v>
      </c>
      <c r="J34" s="258" t="s">
        <v>375</v>
      </c>
      <c r="K34" s="278" t="s">
        <v>500</v>
      </c>
    </row>
    <row r="35" spans="1:30" ht="42.6" customHeight="1" x14ac:dyDescent="0.2">
      <c r="A35" s="245" t="s">
        <v>1083</v>
      </c>
      <c r="B35" s="268" t="s">
        <v>386</v>
      </c>
      <c r="C35" s="256" t="s">
        <v>387</v>
      </c>
      <c r="D35" s="269" t="s">
        <v>374</v>
      </c>
      <c r="E35" s="258">
        <v>61</v>
      </c>
      <c r="F35" s="258">
        <v>41</v>
      </c>
      <c r="G35" s="274">
        <f>43-21</f>
        <v>22</v>
      </c>
      <c r="H35" s="258">
        <f>47-25</f>
        <v>22</v>
      </c>
      <c r="I35" s="258">
        <f>47-25</f>
        <v>22</v>
      </c>
      <c r="J35" s="258">
        <f>43-21</f>
        <v>22</v>
      </c>
    </row>
    <row r="36" spans="1:30" ht="42.6" customHeight="1" x14ac:dyDescent="0.2">
      <c r="A36" s="245" t="s">
        <v>1084</v>
      </c>
      <c r="B36" s="279" t="s">
        <v>1053</v>
      </c>
      <c r="C36" s="256" t="s">
        <v>966</v>
      </c>
      <c r="D36" s="269" t="s">
        <v>374</v>
      </c>
      <c r="E36" s="258" t="s">
        <v>375</v>
      </c>
      <c r="F36" s="258" t="s">
        <v>375</v>
      </c>
      <c r="G36" s="274">
        <f>5-1</f>
        <v>4</v>
      </c>
      <c r="H36" s="258">
        <f>0+2-1</f>
        <v>1</v>
      </c>
      <c r="I36" s="258">
        <f>0+1</f>
        <v>1</v>
      </c>
      <c r="J36" s="258" t="s">
        <v>375</v>
      </c>
    </row>
    <row r="37" spans="1:30" ht="42.6" customHeight="1" x14ac:dyDescent="0.2">
      <c r="A37" s="280" t="s">
        <v>1085</v>
      </c>
      <c r="B37" s="268" t="s">
        <v>990</v>
      </c>
      <c r="C37" s="256" t="s">
        <v>1039</v>
      </c>
      <c r="D37" s="269" t="s">
        <v>374</v>
      </c>
      <c r="E37" s="258" t="s">
        <v>375</v>
      </c>
      <c r="F37" s="258" t="s">
        <v>375</v>
      </c>
      <c r="G37" s="281">
        <v>1</v>
      </c>
      <c r="H37" s="258">
        <f>0+1</f>
        <v>1</v>
      </c>
      <c r="I37" s="258" t="s">
        <v>375</v>
      </c>
      <c r="J37" s="258" t="s">
        <v>375</v>
      </c>
    </row>
    <row r="38" spans="1:30" ht="45.75" customHeight="1" x14ac:dyDescent="0.2">
      <c r="A38" s="282" t="s">
        <v>1086</v>
      </c>
      <c r="B38" s="283" t="s">
        <v>991</v>
      </c>
      <c r="C38" s="256" t="s">
        <v>1006</v>
      </c>
      <c r="D38" s="269" t="s">
        <v>374</v>
      </c>
      <c r="E38" s="258" t="s">
        <v>375</v>
      </c>
      <c r="F38" s="258" t="s">
        <v>375</v>
      </c>
      <c r="G38" s="281">
        <v>9</v>
      </c>
      <c r="H38" s="258" t="s">
        <v>375</v>
      </c>
      <c r="I38" s="258" t="s">
        <v>375</v>
      </c>
      <c r="J38" s="258" t="s">
        <v>375</v>
      </c>
    </row>
    <row r="39" spans="1:30" ht="17.25" customHeight="1" x14ac:dyDescent="0.2">
      <c r="A39" s="413" t="s">
        <v>1087</v>
      </c>
      <c r="B39" s="423" t="s">
        <v>1007</v>
      </c>
      <c r="C39" s="256" t="s">
        <v>576</v>
      </c>
      <c r="D39" s="269" t="s">
        <v>380</v>
      </c>
      <c r="E39" s="258" t="s">
        <v>375</v>
      </c>
      <c r="F39" s="258" t="s">
        <v>375</v>
      </c>
      <c r="G39" s="259">
        <v>0.04</v>
      </c>
      <c r="H39" s="258" t="s">
        <v>375</v>
      </c>
      <c r="I39" s="258" t="s">
        <v>375</v>
      </c>
      <c r="J39" s="258" t="s">
        <v>375</v>
      </c>
    </row>
    <row r="40" spans="1:30" ht="17.25" customHeight="1" x14ac:dyDescent="0.2">
      <c r="A40" s="414"/>
      <c r="B40" s="424"/>
      <c r="C40" s="256" t="s">
        <v>381</v>
      </c>
      <c r="D40" s="269" t="s">
        <v>374</v>
      </c>
      <c r="E40" s="258" t="s">
        <v>375</v>
      </c>
      <c r="F40" s="258" t="s">
        <v>375</v>
      </c>
      <c r="G40" s="258">
        <v>8</v>
      </c>
      <c r="H40" s="258" t="s">
        <v>375</v>
      </c>
      <c r="I40" s="258" t="s">
        <v>375</v>
      </c>
      <c r="J40" s="258" t="s">
        <v>375</v>
      </c>
    </row>
    <row r="41" spans="1:30" ht="17.25" customHeight="1" x14ac:dyDescent="0.2">
      <c r="A41" s="415"/>
      <c r="B41" s="425"/>
      <c r="C41" s="256" t="s">
        <v>601</v>
      </c>
      <c r="D41" s="269" t="s">
        <v>374</v>
      </c>
      <c r="E41" s="258" t="s">
        <v>375</v>
      </c>
      <c r="F41" s="258" t="s">
        <v>375</v>
      </c>
      <c r="G41" s="258">
        <v>162</v>
      </c>
      <c r="H41" s="258" t="s">
        <v>375</v>
      </c>
      <c r="I41" s="258" t="s">
        <v>375</v>
      </c>
      <c r="J41" s="258" t="s">
        <v>375</v>
      </c>
    </row>
    <row r="42" spans="1:30" ht="30.6" customHeight="1" x14ac:dyDescent="0.2">
      <c r="A42" s="247" t="s">
        <v>26</v>
      </c>
      <c r="B42" s="416" t="s">
        <v>1103</v>
      </c>
      <c r="C42" s="417"/>
      <c r="D42" s="417"/>
      <c r="E42" s="417"/>
      <c r="F42" s="417"/>
      <c r="G42" s="417"/>
      <c r="H42" s="417"/>
      <c r="I42" s="417"/>
      <c r="J42" s="418"/>
    </row>
    <row r="43" spans="1:30" ht="24" customHeight="1" x14ac:dyDescent="0.2">
      <c r="A43" s="245" t="s">
        <v>412</v>
      </c>
      <c r="B43" s="268" t="s">
        <v>96</v>
      </c>
      <c r="C43" s="256" t="s">
        <v>388</v>
      </c>
      <c r="D43" s="284" t="s">
        <v>389</v>
      </c>
      <c r="E43" s="285">
        <v>98.9</v>
      </c>
      <c r="F43" s="285">
        <v>99.5</v>
      </c>
      <c r="G43" s="285">
        <v>99.5</v>
      </c>
      <c r="H43" s="285">
        <v>99.5</v>
      </c>
      <c r="I43" s="285">
        <v>99.5</v>
      </c>
      <c r="J43" s="285">
        <v>99.5</v>
      </c>
    </row>
    <row r="44" spans="1:30" ht="45.6" customHeight="1" x14ac:dyDescent="0.2">
      <c r="A44" s="247" t="s">
        <v>1068</v>
      </c>
      <c r="B44" s="416" t="s">
        <v>455</v>
      </c>
      <c r="C44" s="417"/>
      <c r="D44" s="417"/>
      <c r="E44" s="417"/>
      <c r="F44" s="417"/>
      <c r="G44" s="417"/>
      <c r="H44" s="417"/>
      <c r="I44" s="417"/>
      <c r="J44" s="418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</row>
    <row r="45" spans="1:30" ht="33.6" customHeight="1" x14ac:dyDescent="0.2">
      <c r="A45" s="419" t="s">
        <v>565</v>
      </c>
      <c r="B45" s="419"/>
      <c r="C45" s="419"/>
      <c r="D45" s="419"/>
      <c r="E45" s="419"/>
      <c r="F45" s="419"/>
      <c r="G45" s="419"/>
      <c r="H45" s="419"/>
      <c r="I45" s="419"/>
      <c r="J45" s="419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</row>
    <row r="46" spans="1:30" ht="44.45" customHeight="1" x14ac:dyDescent="0.2">
      <c r="A46" s="420" t="s">
        <v>454</v>
      </c>
      <c r="B46" s="420"/>
      <c r="C46" s="420"/>
      <c r="D46" s="420"/>
      <c r="E46" s="420"/>
      <c r="F46" s="420"/>
      <c r="G46" s="420"/>
      <c r="H46" s="420"/>
      <c r="I46" s="420"/>
      <c r="J46" s="420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</row>
    <row r="47" spans="1:30" ht="43.9" customHeight="1" x14ac:dyDescent="0.2">
      <c r="A47" s="247" t="s">
        <v>2</v>
      </c>
      <c r="B47" s="416" t="s">
        <v>1104</v>
      </c>
      <c r="C47" s="417"/>
      <c r="D47" s="417"/>
      <c r="E47" s="417"/>
      <c r="F47" s="417"/>
      <c r="G47" s="417"/>
      <c r="H47" s="417"/>
      <c r="I47" s="417"/>
      <c r="J47" s="418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</row>
    <row r="48" spans="1:30" ht="31.9" customHeight="1" x14ac:dyDescent="0.2">
      <c r="A48" s="344" t="s">
        <v>9</v>
      </c>
      <c r="B48" s="421" t="s">
        <v>693</v>
      </c>
      <c r="C48" s="268" t="s">
        <v>503</v>
      </c>
      <c r="D48" s="269" t="s">
        <v>392</v>
      </c>
      <c r="E48" s="286">
        <v>0.1</v>
      </c>
      <c r="F48" s="269">
        <v>3.06</v>
      </c>
      <c r="G48" s="5">
        <f>1.31-1.1-0.2</f>
        <v>9.9999999999999534E-3</v>
      </c>
      <c r="H48" s="5">
        <f>0+1.69</f>
        <v>1.69</v>
      </c>
      <c r="I48" s="5">
        <f>0+4.2</f>
        <v>4.2</v>
      </c>
      <c r="J48" s="5" t="s">
        <v>375</v>
      </c>
      <c r="K48" s="287">
        <v>3.2</v>
      </c>
    </row>
    <row r="49" spans="1:13" ht="45.6" customHeight="1" x14ac:dyDescent="0.2">
      <c r="A49" s="344"/>
      <c r="B49" s="421"/>
      <c r="C49" s="268" t="s">
        <v>829</v>
      </c>
      <c r="D49" s="269" t="s">
        <v>374</v>
      </c>
      <c r="E49" s="288" t="s">
        <v>375</v>
      </c>
      <c r="F49" s="269">
        <v>4</v>
      </c>
      <c r="G49" s="269" t="s">
        <v>375</v>
      </c>
      <c r="H49" s="269" t="s">
        <v>375</v>
      </c>
      <c r="I49" s="269" t="s">
        <v>375</v>
      </c>
      <c r="J49" s="269" t="s">
        <v>375</v>
      </c>
      <c r="K49" s="287"/>
    </row>
    <row r="50" spans="1:13" ht="30" customHeight="1" x14ac:dyDescent="0.2">
      <c r="A50" s="413" t="s">
        <v>78</v>
      </c>
      <c r="B50" s="440" t="s">
        <v>129</v>
      </c>
      <c r="C50" s="268" t="s">
        <v>504</v>
      </c>
      <c r="D50" s="269" t="s">
        <v>392</v>
      </c>
      <c r="E50" s="288" t="s">
        <v>375</v>
      </c>
      <c r="F50" s="269">
        <v>1</v>
      </c>
      <c r="G50" s="269">
        <f>0.45-0.42</f>
        <v>3.0000000000000027E-2</v>
      </c>
      <c r="H50" s="5">
        <v>1.9630000000000001</v>
      </c>
      <c r="I50" s="269" t="s">
        <v>375</v>
      </c>
      <c r="J50" s="5" t="s">
        <v>375</v>
      </c>
      <c r="K50" s="287">
        <v>0.69</v>
      </c>
    </row>
    <row r="51" spans="1:13" ht="43.5" customHeight="1" x14ac:dyDescent="0.2">
      <c r="A51" s="414"/>
      <c r="B51" s="441"/>
      <c r="C51" s="268" t="s">
        <v>826</v>
      </c>
      <c r="D51" s="269" t="s">
        <v>374</v>
      </c>
      <c r="E51" s="288" t="s">
        <v>375</v>
      </c>
      <c r="F51" s="269">
        <v>1</v>
      </c>
      <c r="G51" s="288" t="s">
        <v>375</v>
      </c>
      <c r="H51" s="269" t="s">
        <v>375</v>
      </c>
      <c r="I51" s="269" t="s">
        <v>375</v>
      </c>
      <c r="J51" s="269" t="s">
        <v>375</v>
      </c>
      <c r="K51" s="289"/>
    </row>
    <row r="52" spans="1:13" ht="45" customHeight="1" x14ac:dyDescent="0.2">
      <c r="A52" s="442" t="s">
        <v>411</v>
      </c>
      <c r="B52" s="440" t="s">
        <v>973</v>
      </c>
      <c r="C52" s="255" t="s">
        <v>505</v>
      </c>
      <c r="D52" s="269" t="s">
        <v>374</v>
      </c>
      <c r="E52" s="288" t="s">
        <v>375</v>
      </c>
      <c r="F52" s="269">
        <v>6</v>
      </c>
      <c r="G52" s="269">
        <f>7-5</f>
        <v>2</v>
      </c>
      <c r="H52" s="269">
        <f>0+2</f>
        <v>2</v>
      </c>
      <c r="I52" s="269" t="s">
        <v>375</v>
      </c>
      <c r="J52" s="269" t="s">
        <v>375</v>
      </c>
      <c r="K52" s="290">
        <v>1</v>
      </c>
    </row>
    <row r="53" spans="1:13" ht="45" customHeight="1" x14ac:dyDescent="0.2">
      <c r="A53" s="442"/>
      <c r="B53" s="441"/>
      <c r="C53" s="255" t="s">
        <v>506</v>
      </c>
      <c r="D53" s="269" t="s">
        <v>374</v>
      </c>
      <c r="E53" s="288" t="s">
        <v>375</v>
      </c>
      <c r="F53" s="269">
        <v>3</v>
      </c>
      <c r="G53" s="269">
        <v>2</v>
      </c>
      <c r="H53" s="269">
        <f>0+2+2</f>
        <v>4</v>
      </c>
      <c r="I53" s="269">
        <f>3-2</f>
        <v>1</v>
      </c>
      <c r="J53" s="269" t="s">
        <v>375</v>
      </c>
      <c r="K53" s="290">
        <v>1</v>
      </c>
    </row>
    <row r="54" spans="1:13" ht="30.75" customHeight="1" x14ac:dyDescent="0.2">
      <c r="A54" s="442"/>
      <c r="B54" s="441"/>
      <c r="C54" s="255" t="s">
        <v>952</v>
      </c>
      <c r="D54" s="269" t="s">
        <v>374</v>
      </c>
      <c r="E54" s="288" t="s">
        <v>375</v>
      </c>
      <c r="F54" s="288">
        <v>1</v>
      </c>
      <c r="G54" s="288" t="s">
        <v>375</v>
      </c>
      <c r="H54" s="288" t="s">
        <v>375</v>
      </c>
      <c r="I54" s="288" t="s">
        <v>375</v>
      </c>
      <c r="J54" s="288" t="s">
        <v>375</v>
      </c>
      <c r="K54" s="290">
        <v>7</v>
      </c>
    </row>
    <row r="55" spans="1:13" ht="43.15" customHeight="1" x14ac:dyDescent="0.2">
      <c r="A55" s="442"/>
      <c r="B55" s="441"/>
      <c r="C55" s="255" t="s">
        <v>452</v>
      </c>
      <c r="D55" s="269" t="s">
        <v>374</v>
      </c>
      <c r="E55" s="269">
        <v>1</v>
      </c>
      <c r="F55" s="269">
        <v>2</v>
      </c>
      <c r="G55" s="269">
        <v>1</v>
      </c>
      <c r="H55" s="269" t="s">
        <v>375</v>
      </c>
      <c r="I55" s="269">
        <v>1</v>
      </c>
      <c r="J55" s="269" t="s">
        <v>375</v>
      </c>
      <c r="K55" s="290"/>
    </row>
    <row r="56" spans="1:13" ht="43.15" customHeight="1" x14ac:dyDescent="0.2">
      <c r="A56" s="442"/>
      <c r="B56" s="441"/>
      <c r="C56" s="255" t="s">
        <v>453</v>
      </c>
      <c r="D56" s="269" t="s">
        <v>374</v>
      </c>
      <c r="E56" s="288" t="s">
        <v>375</v>
      </c>
      <c r="F56" s="288" t="s">
        <v>375</v>
      </c>
      <c r="G56" s="288" t="s">
        <v>375</v>
      </c>
      <c r="H56" s="269" t="s">
        <v>375</v>
      </c>
      <c r="I56" s="269">
        <v>35</v>
      </c>
      <c r="J56" s="269" t="s">
        <v>375</v>
      </c>
      <c r="K56" s="290">
        <v>40</v>
      </c>
      <c r="M56" t="s">
        <v>418</v>
      </c>
    </row>
    <row r="57" spans="1:13" ht="46.15" customHeight="1" x14ac:dyDescent="0.2">
      <c r="A57" s="442"/>
      <c r="B57" s="441"/>
      <c r="C57" s="255" t="s">
        <v>502</v>
      </c>
      <c r="D57" s="269" t="s">
        <v>392</v>
      </c>
      <c r="E57" s="269">
        <v>33.46</v>
      </c>
      <c r="F57" s="288" t="s">
        <v>375</v>
      </c>
      <c r="G57" s="5" t="s">
        <v>375</v>
      </c>
      <c r="H57" s="5" t="s">
        <v>375</v>
      </c>
      <c r="I57" s="291" t="s">
        <v>375</v>
      </c>
      <c r="J57" s="291" t="s">
        <v>375</v>
      </c>
      <c r="K57" s="290"/>
    </row>
    <row r="58" spans="1:13" ht="42.6" customHeight="1" x14ac:dyDescent="0.2">
      <c r="A58" s="443"/>
      <c r="B58" s="441"/>
      <c r="C58" s="255" t="s">
        <v>391</v>
      </c>
      <c r="D58" s="269" t="s">
        <v>694</v>
      </c>
      <c r="E58" s="288" t="s">
        <v>375</v>
      </c>
      <c r="F58" s="288" t="s">
        <v>375</v>
      </c>
      <c r="G58" s="269" t="s">
        <v>375</v>
      </c>
      <c r="H58" s="269" t="s">
        <v>375</v>
      </c>
      <c r="I58" s="269" t="s">
        <v>375</v>
      </c>
      <c r="J58" s="269" t="s">
        <v>375</v>
      </c>
      <c r="K58" s="290"/>
    </row>
    <row r="59" spans="1:13" ht="42.6" customHeight="1" x14ac:dyDescent="0.2">
      <c r="A59" s="292"/>
      <c r="B59" s="293"/>
      <c r="C59" s="268" t="s">
        <v>1003</v>
      </c>
      <c r="D59" s="269" t="s">
        <v>374</v>
      </c>
      <c r="E59" s="288" t="s">
        <v>375</v>
      </c>
      <c r="F59" s="269" t="s">
        <v>375</v>
      </c>
      <c r="G59" s="288">
        <v>1</v>
      </c>
      <c r="H59" s="269" t="s">
        <v>375</v>
      </c>
      <c r="I59" s="269" t="s">
        <v>375</v>
      </c>
      <c r="J59" s="269" t="s">
        <v>375</v>
      </c>
      <c r="K59" s="290"/>
    </row>
    <row r="60" spans="1:13" ht="71.25" customHeight="1" x14ac:dyDescent="0.2">
      <c r="A60" s="294" t="s">
        <v>1069</v>
      </c>
      <c r="B60" s="295" t="s">
        <v>798</v>
      </c>
      <c r="C60" s="268" t="s">
        <v>1047</v>
      </c>
      <c r="D60" s="269" t="s">
        <v>394</v>
      </c>
      <c r="E60" s="288" t="s">
        <v>375</v>
      </c>
      <c r="F60" s="269" t="s">
        <v>856</v>
      </c>
      <c r="G60" s="269" t="s">
        <v>1626</v>
      </c>
      <c r="H60" s="269" t="s">
        <v>1710</v>
      </c>
      <c r="I60" s="269" t="s">
        <v>375</v>
      </c>
      <c r="J60" s="269" t="s">
        <v>375</v>
      </c>
      <c r="K60" s="296">
        <v>109.38</v>
      </c>
      <c r="L60" t="s">
        <v>413</v>
      </c>
    </row>
    <row r="61" spans="1:13" ht="30.75" customHeight="1" x14ac:dyDescent="0.2">
      <c r="A61" s="414"/>
      <c r="B61" s="412"/>
      <c r="C61" s="268" t="s">
        <v>801</v>
      </c>
      <c r="D61" s="269" t="s">
        <v>374</v>
      </c>
      <c r="E61" s="288" t="s">
        <v>375</v>
      </c>
      <c r="F61" s="269">
        <v>1</v>
      </c>
      <c r="G61" s="269">
        <v>1</v>
      </c>
      <c r="H61" s="269" t="s">
        <v>375</v>
      </c>
      <c r="I61" s="269" t="s">
        <v>375</v>
      </c>
      <c r="J61" s="269" t="s">
        <v>375</v>
      </c>
      <c r="K61" s="296"/>
    </row>
    <row r="62" spans="1:13" ht="51" x14ac:dyDescent="0.2">
      <c r="A62" s="414"/>
      <c r="B62" s="412"/>
      <c r="C62" s="268" t="s">
        <v>816</v>
      </c>
      <c r="D62" s="269" t="s">
        <v>374</v>
      </c>
      <c r="E62" s="288" t="s">
        <v>375</v>
      </c>
      <c r="F62" s="269">
        <v>1</v>
      </c>
      <c r="G62" s="269" t="s">
        <v>375</v>
      </c>
      <c r="H62" s="269" t="s">
        <v>375</v>
      </c>
      <c r="I62" s="269" t="s">
        <v>375</v>
      </c>
      <c r="J62" s="269" t="s">
        <v>375</v>
      </c>
      <c r="K62" s="296"/>
    </row>
    <row r="63" spans="1:13" ht="54.75" customHeight="1" x14ac:dyDescent="0.2">
      <c r="A63" s="414"/>
      <c r="B63" s="412"/>
      <c r="C63" s="268" t="s">
        <v>963</v>
      </c>
      <c r="D63" s="269" t="s">
        <v>374</v>
      </c>
      <c r="E63" s="269" t="s">
        <v>375</v>
      </c>
      <c r="F63" s="291" t="s">
        <v>375</v>
      </c>
      <c r="G63" s="269" t="s">
        <v>375</v>
      </c>
      <c r="H63" s="269" t="s">
        <v>375</v>
      </c>
      <c r="I63" s="269" t="s">
        <v>375</v>
      </c>
      <c r="J63" s="269" t="s">
        <v>375</v>
      </c>
      <c r="K63" s="297"/>
    </row>
    <row r="64" spans="1:13" ht="25.5" x14ac:dyDescent="0.2">
      <c r="A64" s="414"/>
      <c r="B64" s="412"/>
      <c r="C64" s="268" t="s">
        <v>800</v>
      </c>
      <c r="D64" s="269" t="s">
        <v>374</v>
      </c>
      <c r="E64" s="269" t="s">
        <v>375</v>
      </c>
      <c r="F64" s="291" t="s">
        <v>375</v>
      </c>
      <c r="G64" s="269">
        <f>1</f>
        <v>1</v>
      </c>
      <c r="H64" s="269">
        <v>1</v>
      </c>
      <c r="I64" s="269" t="s">
        <v>375</v>
      </c>
      <c r="J64" s="269" t="s">
        <v>375</v>
      </c>
      <c r="K64" s="297"/>
    </row>
    <row r="65" spans="1:11" ht="42" customHeight="1" x14ac:dyDescent="0.2">
      <c r="A65" s="415"/>
      <c r="B65" s="411"/>
      <c r="C65" s="268" t="s">
        <v>987</v>
      </c>
      <c r="D65" s="269" t="s">
        <v>374</v>
      </c>
      <c r="E65" s="269" t="s">
        <v>375</v>
      </c>
      <c r="F65" s="269" t="s">
        <v>375</v>
      </c>
      <c r="G65" s="269">
        <v>1</v>
      </c>
      <c r="H65" s="269" t="s">
        <v>375</v>
      </c>
      <c r="I65" s="269" t="s">
        <v>375</v>
      </c>
      <c r="J65" s="269" t="s">
        <v>375</v>
      </c>
      <c r="K65" s="297"/>
    </row>
    <row r="66" spans="1:11" ht="56.45" customHeight="1" x14ac:dyDescent="0.2">
      <c r="A66" s="344" t="s">
        <v>1070</v>
      </c>
      <c r="B66" s="444" t="s">
        <v>130</v>
      </c>
      <c r="C66" s="268" t="s">
        <v>1048</v>
      </c>
      <c r="D66" s="269" t="s">
        <v>393</v>
      </c>
      <c r="E66" s="269">
        <v>257.52999999999997</v>
      </c>
      <c r="F66" s="5" t="s">
        <v>978</v>
      </c>
      <c r="G66" s="269" t="s">
        <v>1680</v>
      </c>
      <c r="H66" s="269" t="s">
        <v>1711</v>
      </c>
      <c r="I66" s="269" t="s">
        <v>1670</v>
      </c>
      <c r="J66" s="269" t="s">
        <v>1669</v>
      </c>
      <c r="K66" s="297" t="s">
        <v>395</v>
      </c>
    </row>
    <row r="67" spans="1:11" ht="19.149999999999999" customHeight="1" x14ac:dyDescent="0.2">
      <c r="A67" s="344"/>
      <c r="B67" s="444"/>
      <c r="C67" s="268" t="s">
        <v>681</v>
      </c>
      <c r="D67" s="269" t="s">
        <v>374</v>
      </c>
      <c r="E67" s="269" t="s">
        <v>375</v>
      </c>
      <c r="F67" s="291">
        <v>1</v>
      </c>
      <c r="G67" s="269" t="s">
        <v>375</v>
      </c>
      <c r="H67" s="269" t="s">
        <v>375</v>
      </c>
      <c r="I67" s="269" t="s">
        <v>375</v>
      </c>
      <c r="J67" s="269" t="s">
        <v>375</v>
      </c>
      <c r="K67" s="297"/>
    </row>
    <row r="68" spans="1:11" ht="93" customHeight="1" x14ac:dyDescent="0.2">
      <c r="A68" s="413"/>
      <c r="B68" s="410"/>
      <c r="C68" s="268" t="s">
        <v>1040</v>
      </c>
      <c r="D68" s="269" t="s">
        <v>374</v>
      </c>
      <c r="E68" s="269" t="s">
        <v>375</v>
      </c>
      <c r="F68" s="291">
        <v>13</v>
      </c>
      <c r="G68" s="269" t="s">
        <v>375</v>
      </c>
      <c r="H68" s="269" t="s">
        <v>375</v>
      </c>
      <c r="I68" s="269" t="s">
        <v>375</v>
      </c>
      <c r="J68" s="269" t="s">
        <v>375</v>
      </c>
      <c r="K68" s="297"/>
    </row>
    <row r="69" spans="1:11" ht="17.45" customHeight="1" x14ac:dyDescent="0.2">
      <c r="A69" s="414"/>
      <c r="B69" s="412"/>
      <c r="C69" s="268" t="s">
        <v>377</v>
      </c>
      <c r="D69" s="269" t="s">
        <v>374</v>
      </c>
      <c r="E69" s="269" t="s">
        <v>375</v>
      </c>
      <c r="F69" s="291">
        <v>20</v>
      </c>
      <c r="G69" s="269" t="s">
        <v>375</v>
      </c>
      <c r="H69" s="269" t="s">
        <v>375</v>
      </c>
      <c r="I69" s="269" t="s">
        <v>375</v>
      </c>
      <c r="J69" s="269" t="s">
        <v>375</v>
      </c>
      <c r="K69" s="297"/>
    </row>
    <row r="70" spans="1:11" ht="25.5" x14ac:dyDescent="0.2">
      <c r="A70" s="414"/>
      <c r="B70" s="412"/>
      <c r="C70" s="268" t="s">
        <v>1036</v>
      </c>
      <c r="D70" s="269" t="s">
        <v>374</v>
      </c>
      <c r="E70" s="269" t="s">
        <v>375</v>
      </c>
      <c r="F70" s="291">
        <v>2</v>
      </c>
      <c r="G70" s="269" t="s">
        <v>375</v>
      </c>
      <c r="H70" s="269" t="s">
        <v>375</v>
      </c>
      <c r="I70" s="269" t="s">
        <v>375</v>
      </c>
      <c r="J70" s="269" t="s">
        <v>375</v>
      </c>
      <c r="K70" s="297"/>
    </row>
    <row r="71" spans="1:11" ht="17.45" customHeight="1" x14ac:dyDescent="0.2">
      <c r="A71" s="414"/>
      <c r="B71" s="412"/>
      <c r="C71" s="268" t="s">
        <v>379</v>
      </c>
      <c r="D71" s="269" t="s">
        <v>374</v>
      </c>
      <c r="E71" s="269" t="s">
        <v>375</v>
      </c>
      <c r="F71" s="291">
        <v>9</v>
      </c>
      <c r="G71" s="269" t="s">
        <v>375</v>
      </c>
      <c r="H71" s="269" t="s">
        <v>375</v>
      </c>
      <c r="I71" s="269" t="s">
        <v>375</v>
      </c>
      <c r="J71" s="269" t="s">
        <v>375</v>
      </c>
      <c r="K71" s="297"/>
    </row>
    <row r="72" spans="1:11" ht="51" x14ac:dyDescent="0.2">
      <c r="A72" s="415"/>
      <c r="B72" s="411"/>
      <c r="C72" s="268" t="s">
        <v>1041</v>
      </c>
      <c r="D72" s="269" t="s">
        <v>374</v>
      </c>
      <c r="E72" s="269" t="s">
        <v>375</v>
      </c>
      <c r="F72" s="291">
        <v>3</v>
      </c>
      <c r="G72" s="269" t="s">
        <v>375</v>
      </c>
      <c r="H72" s="269" t="s">
        <v>375</v>
      </c>
      <c r="I72" s="269" t="s">
        <v>375</v>
      </c>
      <c r="J72" s="269" t="s">
        <v>375</v>
      </c>
      <c r="K72" s="297"/>
    </row>
    <row r="73" spans="1:11" ht="20.45" customHeight="1" x14ac:dyDescent="0.2">
      <c r="A73" s="413"/>
      <c r="B73" s="410"/>
      <c r="C73" s="268" t="s">
        <v>576</v>
      </c>
      <c r="D73" s="269" t="s">
        <v>687</v>
      </c>
      <c r="E73" s="269" t="s">
        <v>375</v>
      </c>
      <c r="F73" s="5">
        <v>2.9</v>
      </c>
      <c r="G73" s="269" t="s">
        <v>375</v>
      </c>
      <c r="H73" s="269" t="s">
        <v>375</v>
      </c>
      <c r="I73" s="269" t="s">
        <v>375</v>
      </c>
      <c r="J73" s="269" t="s">
        <v>375</v>
      </c>
      <c r="K73" s="297"/>
    </row>
    <row r="74" spans="1:11" ht="16.899999999999999" customHeight="1" x14ac:dyDescent="0.2">
      <c r="A74" s="414"/>
      <c r="B74" s="412"/>
      <c r="C74" s="268" t="s">
        <v>1042</v>
      </c>
      <c r="D74" s="269" t="s">
        <v>374</v>
      </c>
      <c r="E74" s="269" t="s">
        <v>375</v>
      </c>
      <c r="F74" s="291">
        <v>20</v>
      </c>
      <c r="G74" s="269" t="s">
        <v>375</v>
      </c>
      <c r="H74" s="269" t="s">
        <v>375</v>
      </c>
      <c r="I74" s="269" t="s">
        <v>375</v>
      </c>
      <c r="J74" s="269" t="s">
        <v>375</v>
      </c>
      <c r="K74" s="297"/>
    </row>
    <row r="75" spans="1:11" ht="15.75" customHeight="1" x14ac:dyDescent="0.2">
      <c r="A75" s="414"/>
      <c r="B75" s="412"/>
      <c r="C75" s="268" t="s">
        <v>685</v>
      </c>
      <c r="D75" s="269" t="s">
        <v>374</v>
      </c>
      <c r="E75" s="269" t="s">
        <v>375</v>
      </c>
      <c r="F75" s="291">
        <v>42</v>
      </c>
      <c r="G75" s="269" t="s">
        <v>375</v>
      </c>
      <c r="H75" s="269" t="s">
        <v>375</v>
      </c>
      <c r="I75" s="269" t="s">
        <v>375</v>
      </c>
      <c r="J75" s="269" t="s">
        <v>375</v>
      </c>
      <c r="K75" s="297"/>
    </row>
    <row r="76" spans="1:11" ht="28.9" customHeight="1" x14ac:dyDescent="0.2">
      <c r="A76" s="414"/>
      <c r="B76" s="412"/>
      <c r="C76" s="268" t="s">
        <v>1037</v>
      </c>
      <c r="D76" s="269" t="s">
        <v>374</v>
      </c>
      <c r="E76" s="269" t="s">
        <v>375</v>
      </c>
      <c r="F76" s="291">
        <v>2</v>
      </c>
      <c r="G76" s="269" t="s">
        <v>375</v>
      </c>
      <c r="H76" s="269" t="s">
        <v>375</v>
      </c>
      <c r="I76" s="269" t="s">
        <v>375</v>
      </c>
      <c r="J76" s="269" t="s">
        <v>375</v>
      </c>
      <c r="K76" s="297"/>
    </row>
    <row r="77" spans="1:11" ht="30.75" customHeight="1" x14ac:dyDescent="0.2">
      <c r="A77" s="414"/>
      <c r="B77" s="412"/>
      <c r="C77" s="268" t="s">
        <v>686</v>
      </c>
      <c r="D77" s="269" t="s">
        <v>374</v>
      </c>
      <c r="E77" s="269" t="s">
        <v>375</v>
      </c>
      <c r="F77" s="291">
        <v>1</v>
      </c>
      <c r="G77" s="269" t="s">
        <v>375</v>
      </c>
      <c r="H77" s="269" t="s">
        <v>375</v>
      </c>
      <c r="I77" s="269" t="s">
        <v>375</v>
      </c>
      <c r="J77" s="269" t="s">
        <v>375</v>
      </c>
      <c r="K77" s="297"/>
    </row>
    <row r="78" spans="1:11" ht="54.75" customHeight="1" x14ac:dyDescent="0.2">
      <c r="A78" s="414"/>
      <c r="B78" s="412"/>
      <c r="C78" s="268" t="s">
        <v>1043</v>
      </c>
      <c r="D78" s="269" t="s">
        <v>374</v>
      </c>
      <c r="E78" s="269" t="s">
        <v>375</v>
      </c>
      <c r="F78" s="291">
        <v>15</v>
      </c>
      <c r="G78" s="269">
        <v>14</v>
      </c>
      <c r="H78" s="269">
        <f>18-9</f>
        <v>9</v>
      </c>
      <c r="I78" s="269">
        <f>18-9</f>
        <v>9</v>
      </c>
      <c r="J78" s="269">
        <f>0+9</f>
        <v>9</v>
      </c>
      <c r="K78" s="297"/>
    </row>
    <row r="79" spans="1:11" ht="25.5" x14ac:dyDescent="0.2">
      <c r="A79" s="414"/>
      <c r="B79" s="412"/>
      <c r="C79" s="268" t="s">
        <v>800</v>
      </c>
      <c r="D79" s="269" t="s">
        <v>374</v>
      </c>
      <c r="E79" s="269" t="s">
        <v>375</v>
      </c>
      <c r="F79" s="291">
        <v>1</v>
      </c>
      <c r="G79" s="269" t="s">
        <v>375</v>
      </c>
      <c r="H79" s="269" t="s">
        <v>375</v>
      </c>
      <c r="I79" s="269" t="s">
        <v>375</v>
      </c>
      <c r="J79" s="269" t="s">
        <v>375</v>
      </c>
      <c r="K79" s="297"/>
    </row>
    <row r="80" spans="1:11" ht="30" customHeight="1" x14ac:dyDescent="0.2">
      <c r="A80" s="414"/>
      <c r="B80" s="412"/>
      <c r="C80" s="268" t="s">
        <v>953</v>
      </c>
      <c r="D80" s="269" t="s">
        <v>392</v>
      </c>
      <c r="E80" s="269" t="s">
        <v>375</v>
      </c>
      <c r="F80" s="5">
        <v>12.17</v>
      </c>
      <c r="G80" s="269">
        <v>24.06</v>
      </c>
      <c r="H80" s="269">
        <f>0+10.7+15.2</f>
        <v>25.9</v>
      </c>
      <c r="I80" s="269" t="s">
        <v>375</v>
      </c>
      <c r="J80" s="269" t="s">
        <v>375</v>
      </c>
      <c r="K80" s="297"/>
    </row>
    <row r="81" spans="1:30" ht="25.5" x14ac:dyDescent="0.2">
      <c r="A81" s="414"/>
      <c r="B81" s="412"/>
      <c r="C81" s="268" t="s">
        <v>968</v>
      </c>
      <c r="D81" s="269" t="s">
        <v>374</v>
      </c>
      <c r="E81" s="269" t="s">
        <v>375</v>
      </c>
      <c r="F81" s="269" t="s">
        <v>375</v>
      </c>
      <c r="G81" s="269" t="s">
        <v>375</v>
      </c>
      <c r="H81" s="269">
        <v>1</v>
      </c>
      <c r="I81" s="269" t="s">
        <v>375</v>
      </c>
      <c r="J81" s="269" t="s">
        <v>375</v>
      </c>
      <c r="K81" s="297"/>
    </row>
    <row r="82" spans="1:30" ht="42" customHeight="1" x14ac:dyDescent="0.2">
      <c r="A82" s="414"/>
      <c r="B82" s="412"/>
      <c r="C82" s="268" t="s">
        <v>391</v>
      </c>
      <c r="D82" s="269" t="s">
        <v>374</v>
      </c>
      <c r="E82" s="269" t="s">
        <v>375</v>
      </c>
      <c r="F82" s="269" t="s">
        <v>375</v>
      </c>
      <c r="G82" s="269">
        <v>11</v>
      </c>
      <c r="H82" s="269">
        <v>3</v>
      </c>
      <c r="I82" s="269" t="s">
        <v>375</v>
      </c>
      <c r="J82" s="269" t="s">
        <v>375</v>
      </c>
      <c r="K82" s="297"/>
    </row>
    <row r="83" spans="1:30" ht="42" customHeight="1" x14ac:dyDescent="0.2">
      <c r="A83" s="414"/>
      <c r="B83" s="412"/>
      <c r="C83" s="268" t="s">
        <v>987</v>
      </c>
      <c r="D83" s="269" t="s">
        <v>374</v>
      </c>
      <c r="E83" s="269" t="s">
        <v>375</v>
      </c>
      <c r="F83" s="269" t="s">
        <v>375</v>
      </c>
      <c r="G83" s="298" t="s">
        <v>375</v>
      </c>
      <c r="H83" s="269" t="s">
        <v>375</v>
      </c>
      <c r="I83" s="269" t="s">
        <v>375</v>
      </c>
      <c r="J83" s="269" t="s">
        <v>375</v>
      </c>
      <c r="K83" s="297"/>
    </row>
    <row r="84" spans="1:30" ht="76.5" customHeight="1" x14ac:dyDescent="0.2">
      <c r="A84" s="414"/>
      <c r="B84" s="412"/>
      <c r="C84" s="268" t="s">
        <v>1044</v>
      </c>
      <c r="D84" s="269" t="s">
        <v>374</v>
      </c>
      <c r="E84" s="269" t="s">
        <v>375</v>
      </c>
      <c r="F84" s="269">
        <v>6</v>
      </c>
      <c r="G84" s="298">
        <f>55+25</f>
        <v>80</v>
      </c>
      <c r="H84" s="269">
        <f>70-63</f>
        <v>7</v>
      </c>
      <c r="I84" s="269">
        <f>0+14</f>
        <v>14</v>
      </c>
      <c r="J84" s="269" t="s">
        <v>375</v>
      </c>
      <c r="K84" s="297"/>
    </row>
    <row r="85" spans="1:30" ht="29.25" customHeight="1" x14ac:dyDescent="0.2">
      <c r="A85" s="415"/>
      <c r="B85" s="411"/>
      <c r="C85" s="268" t="s">
        <v>1020</v>
      </c>
      <c r="D85" s="269" t="s">
        <v>374</v>
      </c>
      <c r="E85" s="269" t="s">
        <v>375</v>
      </c>
      <c r="F85" s="269" t="s">
        <v>375</v>
      </c>
      <c r="G85" s="298" t="s">
        <v>375</v>
      </c>
      <c r="H85" s="269" t="s">
        <v>375</v>
      </c>
      <c r="I85" s="269" t="s">
        <v>375</v>
      </c>
      <c r="J85" s="269" t="s">
        <v>375</v>
      </c>
      <c r="K85" s="297"/>
    </row>
    <row r="86" spans="1:30" ht="63.75" customHeight="1" x14ac:dyDescent="0.2">
      <c r="A86" s="245" t="s">
        <v>1071</v>
      </c>
      <c r="B86" s="299" t="s">
        <v>680</v>
      </c>
      <c r="C86" s="268" t="s">
        <v>457</v>
      </c>
      <c r="D86" s="269" t="s">
        <v>393</v>
      </c>
      <c r="E86" s="269">
        <v>178.35</v>
      </c>
      <c r="F86" s="269">
        <v>107.83</v>
      </c>
      <c r="G86" s="298">
        <f>87.87+1.35</f>
        <v>89.22</v>
      </c>
      <c r="H86" s="269">
        <f>5.8+18.4</f>
        <v>24.2</v>
      </c>
      <c r="I86" s="269">
        <v>5.8</v>
      </c>
      <c r="J86" s="269">
        <f>327-321.2</f>
        <v>5.8000000000000114</v>
      </c>
      <c r="K86" s="297" t="s">
        <v>396</v>
      </c>
    </row>
    <row r="87" spans="1:30" ht="122.25" customHeight="1" x14ac:dyDescent="0.2">
      <c r="A87" s="245" t="s">
        <v>1072</v>
      </c>
      <c r="B87" s="299" t="s">
        <v>456</v>
      </c>
      <c r="C87" s="268" t="s">
        <v>1636</v>
      </c>
      <c r="D87" s="269" t="s">
        <v>393</v>
      </c>
      <c r="E87" s="269">
        <v>6.14</v>
      </c>
      <c r="F87" s="269">
        <v>13.8</v>
      </c>
      <c r="G87" s="300">
        <v>2.8</v>
      </c>
      <c r="H87" s="5">
        <f>10.78-0.8</f>
        <v>9.9799999999999986</v>
      </c>
      <c r="I87" s="5">
        <f>9.92-1.33</f>
        <v>8.59</v>
      </c>
      <c r="J87" s="269" t="s">
        <v>375</v>
      </c>
      <c r="K87" s="301" t="s">
        <v>500</v>
      </c>
    </row>
    <row r="88" spans="1:30" ht="42" customHeight="1" x14ac:dyDescent="0.2">
      <c r="A88" s="245" t="s">
        <v>1073</v>
      </c>
      <c r="B88" s="299" t="s">
        <v>712</v>
      </c>
      <c r="C88" s="268" t="s">
        <v>713</v>
      </c>
      <c r="D88" s="269" t="s">
        <v>393</v>
      </c>
      <c r="E88" s="269" t="s">
        <v>375</v>
      </c>
      <c r="F88" s="302">
        <v>5998.03</v>
      </c>
      <c r="G88" s="302">
        <v>6096.57</v>
      </c>
      <c r="H88" s="5">
        <v>6296.92</v>
      </c>
      <c r="I88" s="269" t="s">
        <v>375</v>
      </c>
      <c r="J88" s="269" t="s">
        <v>375</v>
      </c>
      <c r="K88" s="301"/>
    </row>
    <row r="89" spans="1:30" ht="31.15" customHeight="1" x14ac:dyDescent="0.2">
      <c r="A89" s="247" t="s">
        <v>1088</v>
      </c>
      <c r="B89" s="416" t="s">
        <v>451</v>
      </c>
      <c r="C89" s="417"/>
      <c r="D89" s="417"/>
      <c r="E89" s="417"/>
      <c r="F89" s="417"/>
      <c r="G89" s="417"/>
      <c r="H89" s="417"/>
      <c r="I89" s="417"/>
      <c r="J89" s="418"/>
      <c r="K89" s="438"/>
      <c r="L89" s="438"/>
      <c r="M89" s="438"/>
      <c r="N89" s="438"/>
      <c r="O89" s="438"/>
      <c r="P89" s="438"/>
      <c r="Q89" s="438"/>
      <c r="R89" s="438"/>
      <c r="S89" s="438"/>
      <c r="T89" s="438"/>
      <c r="U89" s="438"/>
      <c r="V89" s="438"/>
      <c r="W89" s="438"/>
      <c r="X89" s="438"/>
      <c r="Y89" s="438"/>
      <c r="Z89" s="438"/>
      <c r="AA89" s="438"/>
      <c r="AB89" s="438"/>
      <c r="AC89" s="438"/>
      <c r="AD89" s="438"/>
    </row>
    <row r="90" spans="1:30" ht="17.45" customHeight="1" x14ac:dyDescent="0.2">
      <c r="A90" s="419" t="s">
        <v>1033</v>
      </c>
      <c r="B90" s="419"/>
      <c r="C90" s="419"/>
      <c r="D90" s="419"/>
      <c r="E90" s="419"/>
      <c r="F90" s="419"/>
      <c r="G90" s="419"/>
      <c r="H90" s="419"/>
      <c r="I90" s="419"/>
      <c r="J90" s="419"/>
      <c r="K90" s="439"/>
      <c r="L90" s="439"/>
      <c r="M90" s="439"/>
      <c r="N90" s="439"/>
      <c r="O90" s="439"/>
      <c r="P90" s="439"/>
      <c r="Q90" s="439"/>
      <c r="R90" s="439"/>
      <c r="S90" s="439"/>
      <c r="T90" s="439"/>
      <c r="U90" s="439"/>
      <c r="V90" s="439"/>
      <c r="W90" s="439"/>
      <c r="X90" s="439"/>
      <c r="Y90" s="439"/>
      <c r="Z90" s="439"/>
      <c r="AA90" s="439"/>
      <c r="AB90" s="439"/>
      <c r="AC90" s="439"/>
      <c r="AD90" s="439"/>
    </row>
    <row r="91" spans="1:30" ht="40.15" customHeight="1" x14ac:dyDescent="0.2">
      <c r="A91" s="420" t="s">
        <v>450</v>
      </c>
      <c r="B91" s="420"/>
      <c r="C91" s="420"/>
      <c r="D91" s="420"/>
      <c r="E91" s="420"/>
      <c r="F91" s="420"/>
      <c r="G91" s="420"/>
      <c r="H91" s="420"/>
      <c r="I91" s="420"/>
      <c r="J91" s="420"/>
      <c r="K91" s="438"/>
      <c r="L91" s="438"/>
      <c r="M91" s="438"/>
      <c r="N91" s="438"/>
      <c r="O91" s="438"/>
      <c r="P91" s="438"/>
      <c r="Q91" s="438"/>
      <c r="R91" s="438"/>
      <c r="S91" s="438"/>
      <c r="T91" s="438"/>
      <c r="U91" s="438"/>
      <c r="V91" s="438"/>
      <c r="W91" s="438"/>
      <c r="X91" s="438"/>
      <c r="Y91" s="438"/>
      <c r="Z91" s="438"/>
      <c r="AA91" s="438"/>
      <c r="AB91" s="438"/>
      <c r="AC91" s="438"/>
      <c r="AD91" s="438"/>
    </row>
    <row r="92" spans="1:30" ht="36" customHeight="1" x14ac:dyDescent="0.2">
      <c r="A92" s="247" t="s">
        <v>82</v>
      </c>
      <c r="B92" s="416" t="s">
        <v>1089</v>
      </c>
      <c r="C92" s="417"/>
      <c r="D92" s="417"/>
      <c r="E92" s="417"/>
      <c r="F92" s="417"/>
      <c r="G92" s="417"/>
      <c r="H92" s="417"/>
      <c r="I92" s="417"/>
      <c r="J92" s="418"/>
      <c r="K92" s="438"/>
      <c r="L92" s="438"/>
      <c r="M92" s="438"/>
      <c r="N92" s="438"/>
      <c r="O92" s="438"/>
      <c r="P92" s="438"/>
      <c r="Q92" s="438"/>
      <c r="R92" s="438"/>
      <c r="S92" s="438"/>
      <c r="T92" s="438"/>
      <c r="U92" s="438"/>
      <c r="V92" s="438"/>
      <c r="W92" s="438"/>
      <c r="X92" s="438"/>
      <c r="Y92" s="438"/>
      <c r="Z92" s="438"/>
      <c r="AA92" s="438"/>
      <c r="AB92" s="438"/>
      <c r="AC92" s="438"/>
      <c r="AD92" s="438"/>
    </row>
    <row r="93" spans="1:30" ht="82.15" customHeight="1" x14ac:dyDescent="0.2">
      <c r="A93" s="245" t="s">
        <v>1059</v>
      </c>
      <c r="B93" s="299" t="s">
        <v>416</v>
      </c>
      <c r="C93" s="256" t="s">
        <v>397</v>
      </c>
      <c r="D93" s="269" t="s">
        <v>394</v>
      </c>
      <c r="E93" s="259">
        <v>6198.38</v>
      </c>
      <c r="F93" s="5">
        <v>6198.38</v>
      </c>
      <c r="G93" s="5">
        <v>6296.92</v>
      </c>
      <c r="H93" s="5">
        <f>6296.92+18.894</f>
        <v>6315.8140000000003</v>
      </c>
      <c r="I93" s="5">
        <f>6296.92+18.894</f>
        <v>6315.8140000000003</v>
      </c>
      <c r="J93" s="5">
        <f>6296.92+18.894</f>
        <v>6315.8140000000003</v>
      </c>
    </row>
    <row r="94" spans="1:30" ht="30.6" customHeight="1" x14ac:dyDescent="0.2">
      <c r="A94" s="245" t="s">
        <v>1090</v>
      </c>
      <c r="B94" s="299" t="s">
        <v>398</v>
      </c>
      <c r="C94" s="256" t="s">
        <v>692</v>
      </c>
      <c r="D94" s="269" t="s">
        <v>394</v>
      </c>
      <c r="E94" s="259">
        <v>1.95</v>
      </c>
      <c r="F94" s="5">
        <v>1.95</v>
      </c>
      <c r="G94" s="5">
        <v>2.14</v>
      </c>
      <c r="H94" s="5">
        <v>2.14</v>
      </c>
      <c r="I94" s="5">
        <v>2.14</v>
      </c>
      <c r="J94" s="5">
        <f>1.95+0.19</f>
        <v>2.14</v>
      </c>
    </row>
    <row r="95" spans="1:30" x14ac:dyDescent="0.2">
      <c r="A95" s="30" t="s">
        <v>83</v>
      </c>
      <c r="B95" s="445" t="s">
        <v>1105</v>
      </c>
      <c r="C95" s="446"/>
      <c r="D95" s="446"/>
      <c r="E95" s="446"/>
      <c r="F95" s="446"/>
      <c r="G95" s="446"/>
      <c r="H95" s="446"/>
      <c r="I95" s="446"/>
      <c r="J95" s="447"/>
    </row>
    <row r="96" spans="1:30" ht="31.15" customHeight="1" x14ac:dyDescent="0.2">
      <c r="A96" s="245" t="s">
        <v>1060</v>
      </c>
      <c r="B96" s="299" t="s">
        <v>132</v>
      </c>
      <c r="C96" s="256" t="s">
        <v>399</v>
      </c>
      <c r="D96" s="269" t="s">
        <v>374</v>
      </c>
      <c r="E96" s="258">
        <v>29</v>
      </c>
      <c r="F96" s="269">
        <v>29</v>
      </c>
      <c r="G96" s="269">
        <v>29</v>
      </c>
      <c r="H96" s="269">
        <v>29</v>
      </c>
      <c r="I96" s="269">
        <v>29</v>
      </c>
      <c r="J96" s="269">
        <v>29</v>
      </c>
    </row>
    <row r="97" spans="1:10" ht="39" customHeight="1" x14ac:dyDescent="0.2">
      <c r="A97" s="413" t="s">
        <v>1092</v>
      </c>
      <c r="B97" s="440" t="s">
        <v>1686</v>
      </c>
      <c r="C97" s="268" t="s">
        <v>945</v>
      </c>
      <c r="D97" s="269" t="s">
        <v>374</v>
      </c>
      <c r="E97" s="269" t="s">
        <v>375</v>
      </c>
      <c r="F97" s="269">
        <v>1</v>
      </c>
      <c r="G97" s="269">
        <v>2</v>
      </c>
      <c r="H97" s="269" t="s">
        <v>375</v>
      </c>
      <c r="I97" s="269" t="s">
        <v>375</v>
      </c>
      <c r="J97" s="269" t="s">
        <v>375</v>
      </c>
    </row>
    <row r="98" spans="1:10" ht="39" customHeight="1" x14ac:dyDescent="0.2">
      <c r="A98" s="414"/>
      <c r="B98" s="441"/>
      <c r="C98" s="268" t="s">
        <v>947</v>
      </c>
      <c r="D98" s="269" t="s">
        <v>374</v>
      </c>
      <c r="E98" s="269" t="s">
        <v>375</v>
      </c>
      <c r="F98" s="269" t="s">
        <v>375</v>
      </c>
      <c r="G98" s="269">
        <v>1</v>
      </c>
      <c r="H98" s="269" t="s">
        <v>375</v>
      </c>
      <c r="I98" s="269" t="s">
        <v>375</v>
      </c>
      <c r="J98" s="269" t="s">
        <v>375</v>
      </c>
    </row>
    <row r="99" spans="1:10" ht="39" customHeight="1" x14ac:dyDescent="0.2">
      <c r="A99" s="415"/>
      <c r="B99" s="448"/>
      <c r="C99" s="268" t="s">
        <v>1641</v>
      </c>
      <c r="D99" s="269" t="s">
        <v>374</v>
      </c>
      <c r="E99" s="269" t="s">
        <v>375</v>
      </c>
      <c r="F99" s="269" t="s">
        <v>375</v>
      </c>
      <c r="G99" s="269" t="s">
        <v>375</v>
      </c>
      <c r="H99" s="269">
        <v>1</v>
      </c>
      <c r="I99" s="269">
        <f>0+1</f>
        <v>1</v>
      </c>
      <c r="J99" s="269">
        <f>0+1</f>
        <v>1</v>
      </c>
    </row>
    <row r="100" spans="1:10" ht="99" customHeight="1" x14ac:dyDescent="0.2">
      <c r="A100" s="245" t="s">
        <v>1093</v>
      </c>
      <c r="B100" s="299" t="s">
        <v>795</v>
      </c>
      <c r="C100" s="256" t="s">
        <v>605</v>
      </c>
      <c r="D100" s="269" t="s">
        <v>374</v>
      </c>
      <c r="E100" s="269" t="s">
        <v>375</v>
      </c>
      <c r="F100" s="269">
        <v>2</v>
      </c>
      <c r="G100" s="269" t="s">
        <v>375</v>
      </c>
      <c r="H100" s="269" t="s">
        <v>375</v>
      </c>
      <c r="I100" s="269" t="s">
        <v>375</v>
      </c>
      <c r="J100" s="269" t="s">
        <v>375</v>
      </c>
    </row>
    <row r="101" spans="1:10" ht="26.25" customHeight="1" x14ac:dyDescent="0.2">
      <c r="A101" s="245" t="s">
        <v>1094</v>
      </c>
      <c r="B101" s="299" t="s">
        <v>827</v>
      </c>
      <c r="C101" s="122" t="s">
        <v>828</v>
      </c>
      <c r="D101" s="269" t="s">
        <v>374</v>
      </c>
      <c r="E101" s="269" t="s">
        <v>375</v>
      </c>
      <c r="F101" s="269">
        <v>1</v>
      </c>
      <c r="G101" s="269" t="s">
        <v>375</v>
      </c>
      <c r="H101" s="269" t="s">
        <v>375</v>
      </c>
      <c r="I101" s="269" t="s">
        <v>375</v>
      </c>
      <c r="J101" s="269" t="s">
        <v>375</v>
      </c>
    </row>
    <row r="102" spans="1:10" ht="31.15" customHeight="1" x14ac:dyDescent="0.2">
      <c r="A102" s="247" t="s">
        <v>1106</v>
      </c>
      <c r="B102" s="416" t="s">
        <v>363</v>
      </c>
      <c r="C102" s="417"/>
      <c r="D102" s="417"/>
      <c r="E102" s="417"/>
      <c r="F102" s="417"/>
      <c r="G102" s="417"/>
      <c r="H102" s="417"/>
      <c r="I102" s="417"/>
      <c r="J102" s="418"/>
    </row>
    <row r="103" spans="1:10" ht="19.899999999999999" customHeight="1" x14ac:dyDescent="0.2">
      <c r="A103" s="419" t="s">
        <v>415</v>
      </c>
      <c r="B103" s="419"/>
      <c r="C103" s="419"/>
      <c r="D103" s="419"/>
      <c r="E103" s="419"/>
      <c r="F103" s="419"/>
      <c r="G103" s="419"/>
      <c r="H103" s="419"/>
      <c r="I103" s="419"/>
      <c r="J103" s="419"/>
    </row>
    <row r="104" spans="1:10" ht="20.45" customHeight="1" x14ac:dyDescent="0.2">
      <c r="A104" s="420" t="s">
        <v>94</v>
      </c>
      <c r="B104" s="420"/>
      <c r="C104" s="420"/>
      <c r="D104" s="420"/>
      <c r="E104" s="420"/>
      <c r="F104" s="420"/>
      <c r="G104" s="420"/>
      <c r="H104" s="420"/>
      <c r="I104" s="420"/>
      <c r="J104" s="420"/>
    </row>
    <row r="105" spans="1:10" ht="18" customHeight="1" x14ac:dyDescent="0.2">
      <c r="A105" s="247" t="s">
        <v>74</v>
      </c>
      <c r="B105" s="416" t="s">
        <v>1096</v>
      </c>
      <c r="C105" s="417"/>
      <c r="D105" s="417"/>
      <c r="E105" s="417"/>
      <c r="F105" s="417"/>
      <c r="G105" s="417"/>
      <c r="H105" s="417"/>
      <c r="I105" s="417"/>
      <c r="J105" s="418"/>
    </row>
    <row r="106" spans="1:10" ht="28.15" customHeight="1" x14ac:dyDescent="0.2">
      <c r="A106" s="245" t="s">
        <v>1061</v>
      </c>
      <c r="B106" s="299" t="s">
        <v>93</v>
      </c>
      <c r="C106" s="256" t="s">
        <v>390</v>
      </c>
      <c r="D106" s="267" t="s">
        <v>374</v>
      </c>
      <c r="E106" s="276">
        <v>100</v>
      </c>
      <c r="F106" s="276">
        <v>50</v>
      </c>
      <c r="G106" s="276">
        <v>50</v>
      </c>
      <c r="H106" s="276">
        <v>50</v>
      </c>
      <c r="I106" s="276">
        <v>50</v>
      </c>
      <c r="J106" s="276">
        <v>50</v>
      </c>
    </row>
    <row r="107" spans="1:10" ht="18" customHeight="1" x14ac:dyDescent="0.2">
      <c r="A107" s="247" t="s">
        <v>3</v>
      </c>
      <c r="B107" s="416" t="s">
        <v>1097</v>
      </c>
      <c r="C107" s="417"/>
      <c r="D107" s="417"/>
      <c r="E107" s="417"/>
      <c r="F107" s="417"/>
      <c r="G107" s="417"/>
      <c r="H107" s="417"/>
      <c r="I107" s="417"/>
      <c r="J107" s="418"/>
    </row>
    <row r="108" spans="1:10" ht="50.45" customHeight="1" x14ac:dyDescent="0.2">
      <c r="A108" s="245" t="s">
        <v>1062</v>
      </c>
      <c r="B108" s="299" t="s">
        <v>818</v>
      </c>
      <c r="C108" s="299" t="s">
        <v>422</v>
      </c>
      <c r="D108" s="9" t="s">
        <v>423</v>
      </c>
      <c r="E108" s="170" t="s">
        <v>375</v>
      </c>
      <c r="F108" s="276">
        <v>828</v>
      </c>
      <c r="G108" s="276">
        <v>828</v>
      </c>
      <c r="H108" s="276">
        <f>828+49</f>
        <v>877</v>
      </c>
      <c r="I108" s="276">
        <f>828+49</f>
        <v>877</v>
      </c>
      <c r="J108" s="276">
        <v>877</v>
      </c>
    </row>
    <row r="109" spans="1:10" ht="131.25" customHeight="1" x14ac:dyDescent="0.2">
      <c r="A109" s="9" t="s">
        <v>1098</v>
      </c>
      <c r="B109" s="299" t="s">
        <v>817</v>
      </c>
      <c r="C109" s="299" t="s">
        <v>967</v>
      </c>
      <c r="D109" s="9" t="s">
        <v>423</v>
      </c>
      <c r="E109" s="170" t="s">
        <v>375</v>
      </c>
      <c r="F109" s="276">
        <v>1116</v>
      </c>
      <c r="G109" s="276">
        <f>1674+789</f>
        <v>2463</v>
      </c>
      <c r="H109" s="303" t="s">
        <v>375</v>
      </c>
      <c r="I109" s="303" t="s">
        <v>375</v>
      </c>
      <c r="J109" s="303" t="s">
        <v>375</v>
      </c>
    </row>
    <row r="110" spans="1:10" ht="26.25" customHeight="1" x14ac:dyDescent="0.2">
      <c r="A110" s="9" t="s">
        <v>1099</v>
      </c>
      <c r="B110" s="299" t="s">
        <v>707</v>
      </c>
      <c r="C110" s="256" t="s">
        <v>422</v>
      </c>
      <c r="D110" s="9" t="s">
        <v>423</v>
      </c>
      <c r="E110" s="170" t="s">
        <v>375</v>
      </c>
      <c r="F110" s="170" t="s">
        <v>375</v>
      </c>
      <c r="G110" s="276" t="s">
        <v>375</v>
      </c>
      <c r="H110" s="276" t="s">
        <v>375</v>
      </c>
      <c r="I110" s="276" t="s">
        <v>375</v>
      </c>
      <c r="J110" s="276" t="s">
        <v>375</v>
      </c>
    </row>
    <row r="111" spans="1:10" ht="33" customHeight="1" x14ac:dyDescent="0.2">
      <c r="A111" s="387" t="s">
        <v>1100</v>
      </c>
      <c r="B111" s="421" t="s">
        <v>414</v>
      </c>
      <c r="C111" s="256" t="s">
        <v>421</v>
      </c>
      <c r="D111" s="9" t="s">
        <v>389</v>
      </c>
      <c r="E111" s="170" t="s">
        <v>419</v>
      </c>
      <c r="F111" s="303">
        <v>90</v>
      </c>
      <c r="G111" s="303">
        <v>90</v>
      </c>
      <c r="H111" s="303">
        <v>90</v>
      </c>
      <c r="I111" s="303">
        <v>90</v>
      </c>
      <c r="J111" s="303">
        <v>90</v>
      </c>
    </row>
    <row r="112" spans="1:10" ht="31.9" customHeight="1" x14ac:dyDescent="0.2">
      <c r="A112" s="387"/>
      <c r="B112" s="421"/>
      <c r="C112" s="256" t="s">
        <v>507</v>
      </c>
      <c r="D112" s="9" t="s">
        <v>385</v>
      </c>
      <c r="E112" s="276">
        <f>2</f>
        <v>2</v>
      </c>
      <c r="F112" s="276">
        <v>6</v>
      </c>
      <c r="G112" s="276">
        <v>10</v>
      </c>
      <c r="H112" s="276">
        <v>8</v>
      </c>
      <c r="I112" s="276">
        <v>8</v>
      </c>
      <c r="J112" s="276">
        <f>2+6</f>
        <v>8</v>
      </c>
    </row>
    <row r="113" spans="1:10" ht="33.6" customHeight="1" x14ac:dyDescent="0.2">
      <c r="A113" s="387"/>
      <c r="B113" s="421"/>
      <c r="C113" s="256" t="s">
        <v>508</v>
      </c>
      <c r="D113" s="9" t="s">
        <v>385</v>
      </c>
      <c r="E113" s="276">
        <v>50</v>
      </c>
      <c r="F113" s="276">
        <v>78</v>
      </c>
      <c r="G113" s="276">
        <v>78</v>
      </c>
      <c r="H113" s="276">
        <v>77</v>
      </c>
      <c r="I113" s="276">
        <v>77</v>
      </c>
      <c r="J113" s="276">
        <f>50+27</f>
        <v>77</v>
      </c>
    </row>
    <row r="114" spans="1:10" ht="33.6" customHeight="1" x14ac:dyDescent="0.2">
      <c r="A114" s="410" t="s">
        <v>1637</v>
      </c>
      <c r="B114" s="440" t="s">
        <v>1639</v>
      </c>
      <c r="C114" s="256" t="s">
        <v>1694</v>
      </c>
      <c r="D114" s="9" t="s">
        <v>1692</v>
      </c>
      <c r="E114" s="276" t="s">
        <v>375</v>
      </c>
      <c r="F114" s="276" t="s">
        <v>375</v>
      </c>
      <c r="G114" s="276" t="s">
        <v>375</v>
      </c>
      <c r="H114" s="276" t="s">
        <v>1693</v>
      </c>
      <c r="I114" s="276" t="s">
        <v>1693</v>
      </c>
      <c r="J114" s="276" t="s">
        <v>1693</v>
      </c>
    </row>
    <row r="115" spans="1:10" ht="118.5" customHeight="1" x14ac:dyDescent="0.2">
      <c r="A115" s="411"/>
      <c r="B115" s="448"/>
      <c r="C115" s="122" t="s">
        <v>1640</v>
      </c>
      <c r="D115" s="9" t="s">
        <v>1638</v>
      </c>
      <c r="E115" s="276" t="s">
        <v>375</v>
      </c>
      <c r="F115" s="276" t="s">
        <v>375</v>
      </c>
      <c r="G115" s="276" t="s">
        <v>375</v>
      </c>
      <c r="H115" s="275">
        <v>175181.82</v>
      </c>
      <c r="I115" s="275">
        <v>175181.82</v>
      </c>
      <c r="J115" s="275">
        <v>175181.82</v>
      </c>
    </row>
    <row r="116" spans="1:10" ht="18" customHeight="1" x14ac:dyDescent="0.2">
      <c r="A116" s="247" t="s">
        <v>75</v>
      </c>
      <c r="B116" s="416" t="s">
        <v>1101</v>
      </c>
      <c r="C116" s="417"/>
      <c r="D116" s="417"/>
      <c r="E116" s="417"/>
      <c r="F116" s="417"/>
      <c r="G116" s="417"/>
      <c r="H116" s="417"/>
      <c r="I116" s="417"/>
      <c r="J116" s="418"/>
    </row>
    <row r="117" spans="1:10" ht="118.5" customHeight="1" x14ac:dyDescent="0.2">
      <c r="A117" s="9" t="s">
        <v>1063</v>
      </c>
      <c r="B117" s="268" t="s">
        <v>1050</v>
      </c>
      <c r="C117" s="299" t="s">
        <v>855</v>
      </c>
      <c r="D117" s="9" t="s">
        <v>389</v>
      </c>
      <c r="E117" s="276" t="s">
        <v>375</v>
      </c>
      <c r="F117" s="276">
        <v>23</v>
      </c>
      <c r="G117" s="276">
        <v>43</v>
      </c>
      <c r="H117" s="276">
        <v>63</v>
      </c>
      <c r="I117" s="276">
        <v>83</v>
      </c>
      <c r="J117" s="276">
        <v>100</v>
      </c>
    </row>
    <row r="118" spans="1:10" ht="113.25" customHeight="1" x14ac:dyDescent="0.2">
      <c r="A118" s="9" t="s">
        <v>1624</v>
      </c>
      <c r="B118" s="304" t="s">
        <v>1625</v>
      </c>
      <c r="C118" s="299" t="s">
        <v>855</v>
      </c>
      <c r="D118" s="9" t="s">
        <v>389</v>
      </c>
      <c r="E118" s="276" t="s">
        <v>375</v>
      </c>
      <c r="F118" s="276" t="s">
        <v>375</v>
      </c>
      <c r="G118" s="276">
        <v>37.4</v>
      </c>
      <c r="H118" s="276">
        <v>44.8</v>
      </c>
      <c r="I118" s="276">
        <v>57.5</v>
      </c>
      <c r="J118" s="276">
        <v>70.3</v>
      </c>
    </row>
    <row r="119" spans="1:10" x14ac:dyDescent="0.2">
      <c r="C119" s="19"/>
      <c r="D119" s="19"/>
      <c r="E119" s="19"/>
    </row>
  </sheetData>
  <mergeCells count="72">
    <mergeCell ref="B116:J116"/>
    <mergeCell ref="B105:J105"/>
    <mergeCell ref="B89:J89"/>
    <mergeCell ref="A111:A113"/>
    <mergeCell ref="B111:B113"/>
    <mergeCell ref="B97:B99"/>
    <mergeCell ref="A97:A99"/>
    <mergeCell ref="A114:A115"/>
    <mergeCell ref="B114:B115"/>
    <mergeCell ref="K92:T92"/>
    <mergeCell ref="B107:J107"/>
    <mergeCell ref="U92:AD92"/>
    <mergeCell ref="A104:J104"/>
    <mergeCell ref="A103:J103"/>
    <mergeCell ref="B92:J92"/>
    <mergeCell ref="B95:J95"/>
    <mergeCell ref="B102:J102"/>
    <mergeCell ref="U91:AD91"/>
    <mergeCell ref="A48:A49"/>
    <mergeCell ref="U89:AD89"/>
    <mergeCell ref="K90:T90"/>
    <mergeCell ref="U90:AD90"/>
    <mergeCell ref="K89:T89"/>
    <mergeCell ref="A91:J91"/>
    <mergeCell ref="K91:T91"/>
    <mergeCell ref="A90:J90"/>
    <mergeCell ref="B50:B51"/>
    <mergeCell ref="A50:A51"/>
    <mergeCell ref="B52:B58"/>
    <mergeCell ref="A52:A58"/>
    <mergeCell ref="A66:A67"/>
    <mergeCell ref="B66:B67"/>
    <mergeCell ref="A68:A72"/>
    <mergeCell ref="G1:J1"/>
    <mergeCell ref="A5:A8"/>
    <mergeCell ref="B5:B8"/>
    <mergeCell ref="C5:C8"/>
    <mergeCell ref="D5:D8"/>
    <mergeCell ref="E5:E8"/>
    <mergeCell ref="G7:G8"/>
    <mergeCell ref="H7:H8"/>
    <mergeCell ref="I7:I8"/>
    <mergeCell ref="J7:J8"/>
    <mergeCell ref="A4:J4"/>
    <mergeCell ref="F5:J6"/>
    <mergeCell ref="F7:F8"/>
    <mergeCell ref="G2:J2"/>
    <mergeCell ref="A10:J10"/>
    <mergeCell ref="A12:J12"/>
    <mergeCell ref="A13:J13"/>
    <mergeCell ref="A17:A18"/>
    <mergeCell ref="B17:B18"/>
    <mergeCell ref="B11:J11"/>
    <mergeCell ref="B14:J14"/>
    <mergeCell ref="B24:J24"/>
    <mergeCell ref="A45:J45"/>
    <mergeCell ref="A46:J46"/>
    <mergeCell ref="B48:B49"/>
    <mergeCell ref="B44:J44"/>
    <mergeCell ref="B47:J47"/>
    <mergeCell ref="A25:A27"/>
    <mergeCell ref="B25:B27"/>
    <mergeCell ref="A28:A29"/>
    <mergeCell ref="B28:B29"/>
    <mergeCell ref="A39:A41"/>
    <mergeCell ref="B39:B41"/>
    <mergeCell ref="B42:J42"/>
    <mergeCell ref="B68:B72"/>
    <mergeCell ref="A73:A85"/>
    <mergeCell ref="B73:B85"/>
    <mergeCell ref="A61:A65"/>
    <mergeCell ref="B61:B65"/>
  </mergeCells>
  <phoneticPr fontId="1" type="noConversion"/>
  <pageMargins left="0.25" right="0.25" top="0.75" bottom="0.75" header="0.3" footer="0.3"/>
  <pageSetup paperSize="9" scale="88" fitToHeight="0" orientation="landscape" r:id="rId1"/>
  <rowBreaks count="8" manualBreakCount="8">
    <brk id="21" max="9" man="1"/>
    <brk id="36" max="9" man="1"/>
    <brk id="51" max="9" man="1"/>
    <brk id="62" max="9" man="1"/>
    <brk id="77" max="9" man="1"/>
    <brk id="87" max="9" man="1"/>
    <brk id="99" max="9" man="1"/>
    <brk id="110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конеч.рез.</vt:lpstr>
      <vt:lpstr>1.переченьПБДД</vt:lpstr>
      <vt:lpstr>2.переченьМРАД</vt:lpstr>
      <vt:lpstr>3.меропр.</vt:lpstr>
      <vt:lpstr>4.индик.</vt:lpstr>
      <vt:lpstr>'1.переченьПБДД'!Заголовки_для_печати</vt:lpstr>
      <vt:lpstr>'2.переченьМРАД'!Заголовки_для_печати</vt:lpstr>
      <vt:lpstr>'3.меропр.'!Заголовки_для_печати</vt:lpstr>
      <vt:lpstr>'4.индик.'!Заголовки_для_печати</vt:lpstr>
      <vt:lpstr>конеч.рез.!Заголовки_для_печати</vt:lpstr>
      <vt:lpstr>'1.переченьПБДД'!Область_печати</vt:lpstr>
      <vt:lpstr>'2.переченьМРАД'!Область_печати</vt:lpstr>
      <vt:lpstr>'3.меропр.'!Область_печати</vt:lpstr>
      <vt:lpstr>'4.индик.'!Область_печати</vt:lpstr>
      <vt:lpstr>конеч.рез.!Область_печати</vt:lpstr>
    </vt:vector>
  </TitlesOfParts>
  <Company>job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krasnova.ai</cp:lastModifiedBy>
  <cp:lastPrinted>2023-03-23T05:09:13Z</cp:lastPrinted>
  <dcterms:created xsi:type="dcterms:W3CDTF">2014-07-04T09:02:24Z</dcterms:created>
  <dcterms:modified xsi:type="dcterms:W3CDTF">2023-03-23T05:09:28Z</dcterms:modified>
</cp:coreProperties>
</file>