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hoz\tumplan\эл.почта\ОТЧЕТЫ ЭКОНОМИСТЫ\Программа\Проекты постановлений\Программа 2021-2025\изм. Думы реш. 1572+1611\"/>
    </mc:Choice>
  </mc:AlternateContent>
  <bookViews>
    <workbookView xWindow="-120" yWindow="-120" windowWidth="29040" windowHeight="15840" tabRatio="599" activeTab="2"/>
  </bookViews>
  <sheets>
    <sheet name="конеч.рез." sheetId="9" r:id="rId1"/>
    <sheet name="1.переченьПБДД" sheetId="5" r:id="rId2"/>
    <sheet name="2.переченьМРАД" sheetId="1" r:id="rId3"/>
    <sheet name="3.меропр." sheetId="4" r:id="rId4"/>
    <sheet name="4.индик." sheetId="8" r:id="rId5"/>
  </sheets>
  <externalReferences>
    <externalReference r:id="rId6"/>
    <externalReference r:id="rId7"/>
    <externalReference r:id="rId8"/>
  </externalReferences>
  <definedNames>
    <definedName name="_xlnm._FilterDatabase" localSheetId="1" hidden="1">'1.переченьПБДД'!#REF!</definedName>
    <definedName name="_xlnm._FilterDatabase" localSheetId="2" hidden="1">'2.переченьМРАД'!$A$4:$AC$6</definedName>
    <definedName name="_xlnm._FilterDatabase" localSheetId="3" hidden="1">'3.меропр.'!#REF!</definedName>
    <definedName name="Aс1">'3.меропр.'!#REF!</definedName>
    <definedName name="_xlnm.Print_Titles" localSheetId="1">'1.переченьПБДД'!$4:$7</definedName>
    <definedName name="_xlnm.Print_Titles" localSheetId="2">'2.переченьМРАД'!$4:$7</definedName>
    <definedName name="_xlnm.Print_Titles" localSheetId="3">'3.меропр.'!$4:$7</definedName>
    <definedName name="_xlnm.Print_Titles" localSheetId="4">'4.индик.'!$5:$9</definedName>
    <definedName name="_xlnm.Print_Titles" localSheetId="0">конеч.рез.!$3:$5</definedName>
    <definedName name="_xlnm.Print_Area" localSheetId="1">'1.переченьПБДД'!$A$1:$AB$474</definedName>
    <definedName name="_xlnm.Print_Area" localSheetId="2">'2.переченьМРАД'!$A$1:$AC$562</definedName>
    <definedName name="_xlnm.Print_Area" localSheetId="3">'3.меропр.'!$A$1:$AD$88</definedName>
    <definedName name="_xlnm.Print_Area" localSheetId="4">'4.индик.'!$A$1:$J$124</definedName>
    <definedName name="_xlnm.Print_Area" localSheetId="0">конеч.рез.!$A$1:$I$25</definedName>
  </definedNames>
  <calcPr calcId="162913" calcMode="autoNoTable"/>
</workbook>
</file>

<file path=xl/calcChain.xml><?xml version="1.0" encoding="utf-8"?>
<calcChain xmlns="http://schemas.openxmlformats.org/spreadsheetml/2006/main">
  <c r="D121" i="1" l="1"/>
  <c r="AC240" i="1"/>
  <c r="X240" i="1"/>
  <c r="Z121" i="1"/>
  <c r="U121" i="1"/>
  <c r="S66" i="1"/>
  <c r="P71" i="1"/>
  <c r="D71" i="1"/>
  <c r="P69" i="1"/>
  <c r="P67" i="1"/>
  <c r="R66" i="1"/>
  <c r="P66" i="1"/>
  <c r="M69" i="1"/>
  <c r="K69" i="1" s="1"/>
  <c r="F69" i="1"/>
  <c r="C69" i="1"/>
  <c r="P15" i="4"/>
  <c r="N470" i="5"/>
  <c r="N29" i="5"/>
  <c r="D69" i="1" l="1"/>
  <c r="P63" i="4"/>
  <c r="P23" i="4"/>
  <c r="N360" i="5" l="1"/>
  <c r="U60" i="4" l="1"/>
  <c r="U59" i="4"/>
  <c r="P60" i="4"/>
  <c r="P59" i="4"/>
  <c r="C118" i="5" l="1"/>
  <c r="H88" i="8" l="1"/>
  <c r="O302" i="1" l="1"/>
  <c r="T302" i="1"/>
  <c r="H91" i="8"/>
  <c r="H55" i="8"/>
  <c r="H56" i="8"/>
  <c r="H50" i="8"/>
  <c r="S35" i="1"/>
  <c r="P35" i="1"/>
  <c r="C302" i="1" l="1"/>
  <c r="S40" i="1" l="1"/>
  <c r="O24" i="1"/>
  <c r="S20" i="1"/>
  <c r="H98" i="8" l="1"/>
  <c r="J98" i="8"/>
  <c r="I98" i="8"/>
  <c r="S302" i="1" l="1"/>
  <c r="I50" i="8" l="1"/>
  <c r="C50" i="1"/>
  <c r="T50" i="1"/>
  <c r="E46" i="1"/>
  <c r="Z51" i="1"/>
  <c r="Z50" i="1" s="1"/>
  <c r="U51" i="1"/>
  <c r="U50" i="1" s="1"/>
  <c r="P51" i="1"/>
  <c r="K51" i="1"/>
  <c r="K50" i="1" s="1"/>
  <c r="F51" i="1"/>
  <c r="F50" i="1" s="1"/>
  <c r="AA50" i="1"/>
  <c r="AB50" i="1"/>
  <c r="AC50" i="1"/>
  <c r="V50" i="1"/>
  <c r="W50" i="1"/>
  <c r="X50" i="1"/>
  <c r="Q50" i="1"/>
  <c r="R50" i="1"/>
  <c r="L50" i="1"/>
  <c r="M50" i="1"/>
  <c r="N50" i="1"/>
  <c r="G50" i="1"/>
  <c r="H50" i="1"/>
  <c r="I50" i="1"/>
  <c r="C46" i="1"/>
  <c r="N46" i="1"/>
  <c r="X20" i="1"/>
  <c r="H119" i="8"/>
  <c r="D50" i="1" l="1"/>
  <c r="D51" i="1"/>
  <c r="H28" i="8" l="1"/>
  <c r="H27" i="8"/>
  <c r="N416" i="5" l="1"/>
  <c r="H30" i="8" l="1"/>
  <c r="I22" i="8"/>
  <c r="N118" i="5" l="1"/>
  <c r="N10" i="5" l="1"/>
  <c r="N469" i="5" l="1"/>
  <c r="P35" i="4"/>
  <c r="X302" i="1"/>
  <c r="H21" i="8"/>
  <c r="P26" i="4"/>
  <c r="P17" i="4"/>
  <c r="S243" i="1"/>
  <c r="S244" i="1" l="1"/>
  <c r="S120" i="1"/>
  <c r="O288" i="1" l="1"/>
  <c r="Q84" i="4" l="1"/>
  <c r="P84" i="4"/>
  <c r="O84" i="4" l="1"/>
  <c r="S239" i="1"/>
  <c r="S98" i="1"/>
  <c r="H118" i="8"/>
  <c r="N451" i="5"/>
  <c r="P33" i="4"/>
  <c r="H38" i="8"/>
  <c r="H17" i="8" l="1"/>
  <c r="N427" i="5"/>
  <c r="P30" i="4"/>
  <c r="N395" i="5"/>
  <c r="P24" i="4"/>
  <c r="N142" i="5"/>
  <c r="P18" i="4"/>
  <c r="N100" i="5"/>
  <c r="P16" i="4"/>
  <c r="S95" i="1"/>
  <c r="P68" i="1"/>
  <c r="S93" i="1"/>
  <c r="O250" i="1"/>
  <c r="P67" i="4" l="1"/>
  <c r="P13" i="4"/>
  <c r="S171" i="1"/>
  <c r="S247" i="1"/>
  <c r="S241" i="1"/>
  <c r="O12" i="1"/>
  <c r="S12" i="1"/>
  <c r="S24" i="1"/>
  <c r="E75" i="1"/>
  <c r="C75" i="1"/>
  <c r="S75" i="1"/>
  <c r="S70" i="1"/>
  <c r="R70" i="1"/>
  <c r="S19" i="1"/>
  <c r="T300" i="1"/>
  <c r="I59" i="8"/>
  <c r="O300" i="1"/>
  <c r="H22" i="8" l="1"/>
  <c r="H43" i="8" l="1"/>
  <c r="H42" i="8"/>
  <c r="M451" i="5"/>
  <c r="H451" i="5"/>
  <c r="AB451" i="5" s="1"/>
  <c r="H29" i="8"/>
  <c r="N166" i="5"/>
  <c r="P22" i="4"/>
  <c r="M440" i="5"/>
  <c r="H440" i="5"/>
  <c r="AC67" i="4" l="1"/>
  <c r="AB67" i="4"/>
  <c r="AA67" i="4"/>
  <c r="X67" i="4"/>
  <c r="W67" i="4"/>
  <c r="V67" i="4"/>
  <c r="S67" i="4"/>
  <c r="R67" i="4"/>
  <c r="Q67" i="4"/>
  <c r="N67" i="4"/>
  <c r="M67" i="4"/>
  <c r="L67" i="4"/>
  <c r="I67" i="4"/>
  <c r="H67" i="4"/>
  <c r="G67" i="4"/>
  <c r="E67" i="4"/>
  <c r="F67" i="4"/>
  <c r="J67" i="4"/>
  <c r="K67" i="4"/>
  <c r="Z67" i="4"/>
  <c r="U67" i="4"/>
  <c r="Y67" i="4"/>
  <c r="Y66" i="4"/>
  <c r="AD66" i="4"/>
  <c r="T66" i="4"/>
  <c r="O66" i="4"/>
  <c r="J66" i="4"/>
  <c r="E66" i="4"/>
  <c r="S169" i="1" l="1"/>
  <c r="P303" i="1" l="1"/>
  <c r="U303" i="1"/>
  <c r="K303" i="1"/>
  <c r="K302" i="1"/>
  <c r="N302" i="1"/>
  <c r="V84" i="4"/>
  <c r="AA84" i="4"/>
  <c r="J83" i="4" l="1"/>
  <c r="Y83" i="4" l="1"/>
  <c r="T83" i="4"/>
  <c r="O83" i="4"/>
  <c r="E83" i="4"/>
  <c r="AD83" i="4" l="1"/>
  <c r="Z98" i="1"/>
  <c r="P98" i="1"/>
  <c r="K98" i="1"/>
  <c r="C98" i="1"/>
  <c r="E20" i="4"/>
  <c r="K20" i="4"/>
  <c r="J20" i="4" s="1"/>
  <c r="O20" i="4"/>
  <c r="T20" i="4"/>
  <c r="Y20" i="4"/>
  <c r="D98" i="1" l="1"/>
  <c r="AD20" i="4"/>
  <c r="C162" i="5"/>
  <c r="H162" i="5"/>
  <c r="M162" i="5"/>
  <c r="R162" i="5"/>
  <c r="W162" i="5"/>
  <c r="AB162" i="5" l="1"/>
  <c r="J28" i="8"/>
  <c r="S444" i="1" l="1"/>
  <c r="P77" i="4" l="1"/>
  <c r="I58" i="8"/>
  <c r="U96" i="1" l="1"/>
  <c r="P96" i="1" l="1"/>
  <c r="P97" i="1"/>
  <c r="N95" i="1"/>
  <c r="F95" i="1"/>
  <c r="Z97" i="1"/>
  <c r="U97" i="1" s="1"/>
  <c r="N96" i="1"/>
  <c r="M96" i="1" s="1"/>
  <c r="L96" i="1" s="1"/>
  <c r="K96" i="1" s="1"/>
  <c r="Z96" i="1"/>
  <c r="I96" i="1" l="1"/>
  <c r="H96" i="1" s="1"/>
  <c r="G96" i="1" s="1"/>
  <c r="F96" i="1" s="1"/>
  <c r="D96" i="1" s="1"/>
  <c r="AC100" i="1"/>
  <c r="AA100" i="1"/>
  <c r="AB100" i="1"/>
  <c r="J29" i="8"/>
  <c r="F97" i="1" l="1"/>
  <c r="D97" i="1" s="1"/>
  <c r="Y100" i="1"/>
  <c r="V100" i="1" l="1"/>
  <c r="W100" i="1"/>
  <c r="P252" i="1"/>
  <c r="E252" i="1"/>
  <c r="C252" i="1" s="1"/>
  <c r="F252" i="1"/>
  <c r="K252" i="1"/>
  <c r="Z252" i="1"/>
  <c r="T100" i="1" l="1"/>
  <c r="D252" i="1"/>
  <c r="R51" i="4"/>
  <c r="R100" i="1" l="1"/>
  <c r="S360" i="5"/>
  <c r="Q100" i="1" l="1"/>
  <c r="I29" i="8"/>
  <c r="I28" i="8"/>
  <c r="O100" i="1" l="1"/>
  <c r="H84" i="8"/>
  <c r="M100" i="1" l="1"/>
  <c r="L100" i="1"/>
  <c r="J100" i="1" l="1"/>
  <c r="H19" i="8"/>
  <c r="H100" i="1" l="1"/>
  <c r="E100" i="1" l="1"/>
  <c r="G100" i="1"/>
  <c r="E251" i="1" l="1"/>
  <c r="C251" i="1" s="1"/>
  <c r="F251" i="1"/>
  <c r="K251" i="1"/>
  <c r="P251" i="1"/>
  <c r="Z251" i="1"/>
  <c r="D251" i="1" l="1"/>
  <c r="U79" i="4"/>
  <c r="P79" i="4"/>
  <c r="G8" i="9"/>
  <c r="Z77" i="4"/>
  <c r="U77" i="4"/>
  <c r="U84" i="4" s="1"/>
  <c r="H39" i="8" l="1"/>
  <c r="E250" i="1" l="1"/>
  <c r="C250" i="1" s="1"/>
  <c r="F250" i="1"/>
  <c r="K250" i="1"/>
  <c r="P250" i="1"/>
  <c r="Z250" i="1"/>
  <c r="E249" i="1"/>
  <c r="C249" i="1" s="1"/>
  <c r="F249" i="1"/>
  <c r="K249" i="1"/>
  <c r="P249" i="1"/>
  <c r="Z249" i="1"/>
  <c r="C253" i="1"/>
  <c r="H253" i="1"/>
  <c r="I253" i="1"/>
  <c r="K253" i="1"/>
  <c r="P253" i="1"/>
  <c r="F253" i="1" l="1"/>
  <c r="D253" i="1" s="1"/>
  <c r="D250" i="1"/>
  <c r="D249" i="1"/>
  <c r="P118" i="1"/>
  <c r="M439" i="5"/>
  <c r="E248" i="1" l="1"/>
  <c r="C248" i="1" s="1"/>
  <c r="F248" i="1"/>
  <c r="K248" i="1"/>
  <c r="P248" i="1"/>
  <c r="Z248" i="1"/>
  <c r="D248" i="1" l="1"/>
  <c r="S559" i="1" l="1"/>
  <c r="R559" i="1"/>
  <c r="Q46" i="4"/>
  <c r="P559" i="1" l="1"/>
  <c r="S440" i="1" l="1"/>
  <c r="P73" i="1"/>
  <c r="C467" i="1"/>
  <c r="F467" i="1"/>
  <c r="K467" i="1"/>
  <c r="P467" i="1"/>
  <c r="Z467" i="1"/>
  <c r="D467" i="1" l="1"/>
  <c r="G88" i="8" l="1"/>
  <c r="P267" i="1"/>
  <c r="P268" i="1"/>
  <c r="P269" i="1" l="1"/>
  <c r="F21" i="9" l="1"/>
  <c r="G10" i="9"/>
  <c r="H12" i="9"/>
  <c r="G12" i="9"/>
  <c r="I92" i="8"/>
  <c r="H92" i="8"/>
  <c r="J37" i="8"/>
  <c r="I37" i="8"/>
  <c r="H37" i="8"/>
  <c r="G35" i="8" l="1"/>
  <c r="G50" i="8"/>
  <c r="J70" i="1"/>
  <c r="J40" i="1"/>
  <c r="C40" i="1" s="1"/>
  <c r="N101" i="1" l="1"/>
  <c r="K90" i="1"/>
  <c r="K91" i="1"/>
  <c r="K92" i="1"/>
  <c r="K88" i="1"/>
  <c r="K89" i="1"/>
  <c r="P46" i="4"/>
  <c r="F75" i="1"/>
  <c r="K75" i="1"/>
  <c r="P75" i="1"/>
  <c r="M40" i="1"/>
  <c r="D75" i="1" l="1"/>
  <c r="H9" i="9"/>
  <c r="G9" i="9"/>
  <c r="I8" i="9"/>
  <c r="H8" i="9"/>
  <c r="N114" i="1"/>
  <c r="N169" i="1"/>
  <c r="Z293" i="1"/>
  <c r="U293" i="1"/>
  <c r="P293" i="1"/>
  <c r="K293" i="1"/>
  <c r="F293" i="1"/>
  <c r="C293" i="1"/>
  <c r="Z292" i="1"/>
  <c r="U292" i="1"/>
  <c r="P292" i="1"/>
  <c r="K292" i="1"/>
  <c r="F292" i="1"/>
  <c r="C292" i="1"/>
  <c r="Z291" i="1"/>
  <c r="U291" i="1"/>
  <c r="P291" i="1"/>
  <c r="K291" i="1"/>
  <c r="F291" i="1"/>
  <c r="C291" i="1"/>
  <c r="M121" i="1"/>
  <c r="M70" i="1"/>
  <c r="I469" i="5"/>
  <c r="I118" i="5"/>
  <c r="K35" i="4"/>
  <c r="K17" i="4"/>
  <c r="J15" i="8"/>
  <c r="I35" i="8"/>
  <c r="J35" i="8"/>
  <c r="H35" i="8"/>
  <c r="D291" i="1" l="1"/>
  <c r="D293" i="1"/>
  <c r="D292" i="1"/>
  <c r="I30" i="8" l="1"/>
  <c r="J30" i="8"/>
  <c r="J17" i="8" l="1"/>
  <c r="I17" i="8"/>
  <c r="I114" i="8" l="1"/>
  <c r="H114" i="8"/>
  <c r="J99" i="8"/>
  <c r="J91" i="8" l="1"/>
  <c r="I88" i="8"/>
  <c r="J82" i="8"/>
  <c r="I82" i="8"/>
  <c r="H82" i="8"/>
  <c r="I56" i="8" l="1"/>
  <c r="O66" i="1" l="1"/>
  <c r="O22" i="1"/>
  <c r="O23" i="1"/>
  <c r="U80" i="1" l="1"/>
  <c r="X79" i="1"/>
  <c r="U79" i="1" s="1"/>
  <c r="X77" i="1"/>
  <c r="X100" i="1" l="1"/>
  <c r="J104" i="8"/>
  <c r="I104" i="8"/>
  <c r="J119" i="8" l="1"/>
  <c r="J118" i="8"/>
  <c r="I38" i="8"/>
  <c r="I33" i="8"/>
  <c r="H33" i="8"/>
  <c r="H23" i="8" l="1"/>
  <c r="J22" i="8"/>
  <c r="J19" i="8" l="1"/>
  <c r="I19" i="8"/>
  <c r="I15" i="8" l="1"/>
  <c r="Y534" i="1" l="1"/>
  <c r="Y440" i="1"/>
  <c r="Y54" i="1" l="1"/>
  <c r="Z105" i="1"/>
  <c r="Z106" i="1"/>
  <c r="Z107" i="1"/>
  <c r="Z108" i="1"/>
  <c r="T476" i="1"/>
  <c r="AC437" i="1"/>
  <c r="U438" i="1"/>
  <c r="P20" i="1" l="1"/>
  <c r="P40" i="1"/>
  <c r="Z25" i="4" l="1"/>
  <c r="Z28" i="4"/>
  <c r="W360" i="5"/>
  <c r="AA48" i="4"/>
  <c r="Z48" i="4"/>
  <c r="C294" i="1"/>
  <c r="F294" i="1"/>
  <c r="K294" i="1"/>
  <c r="P294" i="1"/>
  <c r="U294" i="1"/>
  <c r="Z294" i="1"/>
  <c r="C295" i="1"/>
  <c r="F295" i="1"/>
  <c r="K295" i="1"/>
  <c r="P295" i="1"/>
  <c r="U295" i="1"/>
  <c r="Z295" i="1"/>
  <c r="C296" i="1"/>
  <c r="F296" i="1"/>
  <c r="K296" i="1"/>
  <c r="P296" i="1"/>
  <c r="U296" i="1"/>
  <c r="Z296" i="1"/>
  <c r="C297" i="1"/>
  <c r="F297" i="1"/>
  <c r="K297" i="1"/>
  <c r="P297" i="1"/>
  <c r="U297" i="1"/>
  <c r="Z297" i="1"/>
  <c r="C298" i="1"/>
  <c r="F298" i="1"/>
  <c r="K298" i="1"/>
  <c r="P298" i="1"/>
  <c r="U298" i="1"/>
  <c r="Z298" i="1"/>
  <c r="D298" i="1" l="1"/>
  <c r="D295" i="1"/>
  <c r="D297" i="1"/>
  <c r="D296" i="1"/>
  <c r="D294" i="1"/>
  <c r="Z247" i="1" l="1"/>
  <c r="P247" i="1"/>
  <c r="K247" i="1"/>
  <c r="F247" i="1"/>
  <c r="E247" i="1"/>
  <c r="C247" i="1" s="1"/>
  <c r="S77" i="1"/>
  <c r="S100" i="1" s="1"/>
  <c r="Z240" i="1"/>
  <c r="P119" i="1"/>
  <c r="P43" i="4" l="1"/>
  <c r="D247" i="1"/>
  <c r="O440" i="1" l="1"/>
  <c r="AC169" i="1" l="1"/>
  <c r="X169" i="1"/>
  <c r="AC239" i="1"/>
  <c r="Z239" i="1" s="1"/>
  <c r="X239" i="1"/>
  <c r="U241" i="1"/>
  <c r="U244" i="1"/>
  <c r="Z244" i="1"/>
  <c r="AC171" i="1"/>
  <c r="X171" i="1"/>
  <c r="K170" i="1"/>
  <c r="K171" i="1"/>
  <c r="P120" i="1"/>
  <c r="K120" i="1"/>
  <c r="K119" i="1"/>
  <c r="Z120" i="1"/>
  <c r="F120" i="1"/>
  <c r="E120" i="1"/>
  <c r="C120" i="1" s="1"/>
  <c r="Z119" i="1"/>
  <c r="F119" i="1"/>
  <c r="E119" i="1"/>
  <c r="C119" i="1" s="1"/>
  <c r="P24" i="1"/>
  <c r="P12" i="1"/>
  <c r="K95" i="1"/>
  <c r="P95" i="1"/>
  <c r="U95" i="1"/>
  <c r="Z95" i="1"/>
  <c r="X43" i="1"/>
  <c r="S43" i="1"/>
  <c r="X469" i="5"/>
  <c r="Z35" i="4"/>
  <c r="Y35" i="4" s="1"/>
  <c r="S469" i="5"/>
  <c r="U35" i="4"/>
  <c r="T35" i="4" s="1"/>
  <c r="O35" i="4"/>
  <c r="AC84" i="4"/>
  <c r="AB84" i="4"/>
  <c r="X84" i="4"/>
  <c r="W84" i="4"/>
  <c r="S84" i="4"/>
  <c r="R84" i="4"/>
  <c r="Y81" i="4"/>
  <c r="T81" i="4"/>
  <c r="O81" i="4"/>
  <c r="Y80" i="4"/>
  <c r="Y79" i="4"/>
  <c r="T80" i="4"/>
  <c r="T79" i="4"/>
  <c r="O80" i="4"/>
  <c r="O79" i="4"/>
  <c r="T77" i="4"/>
  <c r="O77" i="4"/>
  <c r="T76" i="4"/>
  <c r="O76" i="4"/>
  <c r="Y75" i="4"/>
  <c r="T75" i="4"/>
  <c r="O75" i="4"/>
  <c r="Y74" i="4"/>
  <c r="T74" i="4"/>
  <c r="O74" i="4"/>
  <c r="Y72" i="4"/>
  <c r="T72" i="4"/>
  <c r="O72" i="4"/>
  <c r="Y65" i="4"/>
  <c r="Y64" i="4"/>
  <c r="T65" i="4"/>
  <c r="T64" i="4"/>
  <c r="T63" i="4"/>
  <c r="T62" i="4"/>
  <c r="Y63" i="4"/>
  <c r="Y62" i="4"/>
  <c r="Y60" i="4"/>
  <c r="T60" i="4"/>
  <c r="O65" i="4"/>
  <c r="O64" i="4"/>
  <c r="O63" i="4"/>
  <c r="O62" i="4"/>
  <c r="O60" i="4"/>
  <c r="T31" i="4"/>
  <c r="O31" i="4"/>
  <c r="Y30" i="4"/>
  <c r="T30" i="4"/>
  <c r="O30" i="4"/>
  <c r="Y28" i="4"/>
  <c r="T28" i="4"/>
  <c r="O28" i="4"/>
  <c r="Y26" i="4"/>
  <c r="Y25" i="4"/>
  <c r="T25" i="4"/>
  <c r="O25" i="4"/>
  <c r="Y24" i="4"/>
  <c r="Y23" i="4"/>
  <c r="Y19" i="4"/>
  <c r="T19" i="4"/>
  <c r="O19" i="4"/>
  <c r="Y18" i="4"/>
  <c r="T18" i="4"/>
  <c r="Y17" i="4"/>
  <c r="T17" i="4"/>
  <c r="Y16" i="4"/>
  <c r="T16" i="4"/>
  <c r="Y15" i="4"/>
  <c r="Y14" i="4"/>
  <c r="Y13" i="4"/>
  <c r="T14" i="4"/>
  <c r="O14" i="4"/>
  <c r="X426" i="5"/>
  <c r="S426" i="5"/>
  <c r="N426" i="5"/>
  <c r="Z29" i="4"/>
  <c r="Y29" i="4" s="1"/>
  <c r="U29" i="4"/>
  <c r="T29" i="4" s="1"/>
  <c r="P29" i="4"/>
  <c r="O29" i="4" s="1"/>
  <c r="X424" i="5"/>
  <c r="S424" i="5"/>
  <c r="N424" i="5"/>
  <c r="Z27" i="4"/>
  <c r="Y27" i="4" s="1"/>
  <c r="U27" i="4"/>
  <c r="T27" i="4" s="1"/>
  <c r="P27" i="4"/>
  <c r="O27" i="4" s="1"/>
  <c r="X166" i="5"/>
  <c r="Z22" i="4"/>
  <c r="Y22" i="4" s="1"/>
  <c r="S166" i="5"/>
  <c r="U22" i="4"/>
  <c r="T22" i="4" s="1"/>
  <c r="O22" i="4"/>
  <c r="M404" i="5"/>
  <c r="T26" i="4"/>
  <c r="O26" i="4"/>
  <c r="W10" i="5"/>
  <c r="S25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U13" i="4"/>
  <c r="T13" i="4" s="1"/>
  <c r="O13" i="4"/>
  <c r="O17" i="4"/>
  <c r="O18" i="4"/>
  <c r="W100" i="5"/>
  <c r="R100" i="5"/>
  <c r="M100" i="5"/>
  <c r="O16" i="4"/>
  <c r="U23" i="4"/>
  <c r="T23" i="4" s="1"/>
  <c r="O23" i="4"/>
  <c r="S395" i="5"/>
  <c r="U24" i="4"/>
  <c r="T24" i="4" s="1"/>
  <c r="O24" i="4"/>
  <c r="W29" i="5"/>
  <c r="S29" i="5"/>
  <c r="U15" i="4"/>
  <c r="T15" i="4" s="1"/>
  <c r="Z59" i="4"/>
  <c r="Y59" i="4" s="1"/>
  <c r="T59" i="4"/>
  <c r="O59" i="4"/>
  <c r="X300" i="1" l="1"/>
  <c r="T67" i="4"/>
  <c r="O67" i="4"/>
  <c r="T84" i="4"/>
  <c r="D95" i="1"/>
  <c r="AC300" i="1"/>
  <c r="D120" i="1"/>
  <c r="D119" i="1"/>
  <c r="Z76" i="4" l="1"/>
  <c r="Y76" i="4" l="1"/>
  <c r="Z84" i="4"/>
  <c r="Y84" i="4" s="1"/>
  <c r="G37" i="8"/>
  <c r="I426" i="5" l="1"/>
  <c r="I424" i="5"/>
  <c r="I395" i="5"/>
  <c r="I100" i="5"/>
  <c r="K16" i="4" l="1"/>
  <c r="K29" i="4"/>
  <c r="K27" i="4"/>
  <c r="N40" i="1" l="1"/>
  <c r="F11" i="9"/>
  <c r="N67" i="1" l="1"/>
  <c r="M67" i="1"/>
  <c r="J20" i="1"/>
  <c r="N20" i="1"/>
  <c r="M20" i="1"/>
  <c r="L75" i="4"/>
  <c r="L84" i="4" s="1"/>
  <c r="K75" i="4"/>
  <c r="G91" i="8" l="1"/>
  <c r="N239" i="1" l="1"/>
  <c r="N241" i="1"/>
  <c r="N244" i="1"/>
  <c r="M126" i="1"/>
  <c r="L46" i="4"/>
  <c r="K121" i="1"/>
  <c r="K118" i="1"/>
  <c r="I10" i="5"/>
  <c r="K13" i="4"/>
  <c r="K24" i="4" l="1"/>
  <c r="G115" i="8" l="1"/>
  <c r="I84" i="4" l="1"/>
  <c r="E81" i="4"/>
  <c r="J81" i="4"/>
  <c r="AD81" i="4" l="1"/>
  <c r="H15" i="8" l="1"/>
  <c r="G55" i="8" l="1"/>
  <c r="K241" i="1" l="1"/>
  <c r="K244" i="1"/>
  <c r="N24" i="1"/>
  <c r="N94" i="1"/>
  <c r="N93" i="1"/>
  <c r="N26" i="1"/>
  <c r="N25" i="1"/>
  <c r="G38" i="8"/>
  <c r="I427" i="5" l="1"/>
  <c r="K30" i="4"/>
  <c r="K74" i="4"/>
  <c r="K76" i="1" l="1"/>
  <c r="U443" i="1"/>
  <c r="X476" i="1"/>
  <c r="W476" i="1"/>
  <c r="V476" i="1"/>
  <c r="U476" i="1" l="1"/>
  <c r="U478" i="1"/>
  <c r="U479" i="1"/>
  <c r="U480" i="1"/>
  <c r="U477" i="1"/>
  <c r="U482" i="1"/>
  <c r="X437" i="1"/>
  <c r="T437" i="1"/>
  <c r="U446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08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82" i="1"/>
  <c r="K481" i="1"/>
  <c r="K480" i="1"/>
  <c r="K479" i="1"/>
  <c r="K478" i="1"/>
  <c r="K477" i="1"/>
  <c r="K475" i="1"/>
  <c r="K474" i="1"/>
  <c r="K473" i="1"/>
  <c r="K472" i="1"/>
  <c r="K471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439" i="1"/>
  <c r="K438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35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484" i="1"/>
  <c r="F478" i="1"/>
  <c r="F479" i="1"/>
  <c r="F480" i="1"/>
  <c r="F481" i="1"/>
  <c r="F482" i="1"/>
  <c r="F477" i="1"/>
  <c r="F472" i="1"/>
  <c r="F473" i="1"/>
  <c r="F474" i="1"/>
  <c r="F475" i="1"/>
  <c r="F47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41" i="1"/>
  <c r="F439" i="1"/>
  <c r="F43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308" i="1"/>
  <c r="AC307" i="1"/>
  <c r="G43" i="4"/>
  <c r="F437" i="1" l="1"/>
  <c r="C290" i="1" l="1"/>
  <c r="F290" i="1"/>
  <c r="K290" i="1"/>
  <c r="P290" i="1"/>
  <c r="U290" i="1"/>
  <c r="Z290" i="1"/>
  <c r="N245" i="1"/>
  <c r="N300" i="1" s="1"/>
  <c r="P70" i="1"/>
  <c r="K19" i="4"/>
  <c r="U490" i="1"/>
  <c r="U481" i="1"/>
  <c r="T483" i="1"/>
  <c r="Y483" i="1"/>
  <c r="U441" i="1"/>
  <c r="T554" i="1" l="1"/>
  <c r="D290" i="1"/>
  <c r="J300" i="1"/>
  <c r="J19" i="1" l="1"/>
  <c r="N58" i="1"/>
  <c r="G67" i="8" l="1"/>
  <c r="M300" i="1"/>
  <c r="Z288" i="1" l="1"/>
  <c r="U288" i="1"/>
  <c r="P288" i="1"/>
  <c r="K288" i="1"/>
  <c r="F288" i="1"/>
  <c r="C288" i="1"/>
  <c r="D288" i="1" l="1"/>
  <c r="AC58" i="1" l="1"/>
  <c r="K62" i="1" l="1"/>
  <c r="N81" i="1"/>
  <c r="N100" i="1" s="1"/>
  <c r="I166" i="5"/>
  <c r="M469" i="5"/>
  <c r="R469" i="5"/>
  <c r="W469" i="5"/>
  <c r="O470" i="5"/>
  <c r="P470" i="5"/>
  <c r="Q470" i="5"/>
  <c r="T470" i="5"/>
  <c r="U470" i="5"/>
  <c r="V470" i="5"/>
  <c r="AB440" i="5"/>
  <c r="H469" i="5"/>
  <c r="J32" i="4"/>
  <c r="J33" i="4"/>
  <c r="E33" i="4"/>
  <c r="O33" i="4"/>
  <c r="T33" i="4"/>
  <c r="Y33" i="4"/>
  <c r="K22" i="4"/>
  <c r="AD33" i="4" l="1"/>
  <c r="G34" i="8" l="1"/>
  <c r="G32" i="8"/>
  <c r="G22" i="8" l="1"/>
  <c r="K114" i="1" l="1"/>
  <c r="K77" i="4"/>
  <c r="K84" i="4" s="1"/>
  <c r="K26" i="4" l="1"/>
  <c r="I416" i="5"/>
  <c r="H439" i="5" l="1"/>
  <c r="AB439" i="5" s="1"/>
  <c r="D470" i="5"/>
  <c r="H427" i="5"/>
  <c r="H426" i="5"/>
  <c r="Y31" i="4"/>
  <c r="J31" i="4"/>
  <c r="E31" i="4"/>
  <c r="J22" i="4"/>
  <c r="Y32" i="4"/>
  <c r="T32" i="4"/>
  <c r="O32" i="4"/>
  <c r="E32" i="4"/>
  <c r="Z76" i="1"/>
  <c r="P76" i="1"/>
  <c r="C76" i="1"/>
  <c r="I142" i="5"/>
  <c r="K18" i="4"/>
  <c r="K63" i="4"/>
  <c r="E63" i="4"/>
  <c r="K94" i="1"/>
  <c r="K99" i="1"/>
  <c r="D76" i="1" l="1"/>
  <c r="AD31" i="4"/>
  <c r="AD32" i="4"/>
  <c r="J63" i="4"/>
  <c r="P113" i="1"/>
  <c r="Z113" i="1"/>
  <c r="K115" i="1"/>
  <c r="P115" i="1"/>
  <c r="U115" i="1"/>
  <c r="F115" i="1"/>
  <c r="F114" i="1"/>
  <c r="AC114" i="1"/>
  <c r="AB114" i="1" s="1"/>
  <c r="AA114" i="1" s="1"/>
  <c r="Z114" i="1" s="1"/>
  <c r="Y114" i="1" s="1"/>
  <c r="X114" i="1" s="1"/>
  <c r="W114" i="1" s="1"/>
  <c r="V114" i="1" s="1"/>
  <c r="U114" i="1" s="1"/>
  <c r="T114" i="1" s="1"/>
  <c r="S114" i="1" s="1"/>
  <c r="C111" i="1"/>
  <c r="C123" i="1"/>
  <c r="E115" i="1"/>
  <c r="C115" i="1" s="1"/>
  <c r="Z115" i="1"/>
  <c r="K110" i="1"/>
  <c r="U110" i="1"/>
  <c r="I110" i="1"/>
  <c r="H110" i="1"/>
  <c r="C110" i="1"/>
  <c r="R114" i="1" l="1"/>
  <c r="Q114" i="1" s="1"/>
  <c r="P114" i="1" s="1"/>
  <c r="O114" i="1" s="1"/>
  <c r="C114" i="1" s="1"/>
  <c r="S126" i="1"/>
  <c r="F110" i="1"/>
  <c r="D110" i="1" s="1"/>
  <c r="D115" i="1"/>
  <c r="K70" i="1"/>
  <c r="K81" i="1"/>
  <c r="N12" i="1"/>
  <c r="N11" i="1" s="1"/>
  <c r="K93" i="1"/>
  <c r="L45" i="4" l="1"/>
  <c r="F116" i="1"/>
  <c r="K116" i="1"/>
  <c r="D114" i="1" l="1"/>
  <c r="N42" i="1"/>
  <c r="I470" i="5"/>
  <c r="K36" i="4" l="1"/>
  <c r="K117" i="1"/>
  <c r="F117" i="1"/>
  <c r="C289" i="1" l="1"/>
  <c r="F289" i="1"/>
  <c r="K289" i="1"/>
  <c r="P289" i="1"/>
  <c r="U289" i="1"/>
  <c r="Z289" i="1"/>
  <c r="K239" i="1"/>
  <c r="L51" i="4"/>
  <c r="K51" i="4"/>
  <c r="K559" i="1"/>
  <c r="D289" i="1" l="1"/>
  <c r="N39" i="1" l="1"/>
  <c r="L19" i="1"/>
  <c r="N19" i="1"/>
  <c r="K40" i="1"/>
  <c r="K39" i="1" s="1"/>
  <c r="M39" i="1"/>
  <c r="M46" i="1" l="1"/>
  <c r="L46" i="1"/>
  <c r="L66" i="1"/>
  <c r="M66" i="1"/>
  <c r="N66" i="1"/>
  <c r="K67" i="1"/>
  <c r="K66" i="1" s="1"/>
  <c r="L126" i="1"/>
  <c r="K49" i="1"/>
  <c r="K46" i="1" s="1"/>
  <c r="C49" i="1"/>
  <c r="F49" i="1"/>
  <c r="C286" i="1"/>
  <c r="F286" i="1"/>
  <c r="K286" i="1"/>
  <c r="P286" i="1"/>
  <c r="U286" i="1"/>
  <c r="Z286" i="1"/>
  <c r="D49" i="1" l="1"/>
  <c r="D286" i="1"/>
  <c r="AC534" i="1"/>
  <c r="AC470" i="1"/>
  <c r="AC476" i="1"/>
  <c r="AC483" i="1"/>
  <c r="I307" i="1"/>
  <c r="Z30" i="1"/>
  <c r="Z38" i="1"/>
  <c r="Z46" i="1"/>
  <c r="AC62" i="1"/>
  <c r="AC54" i="1"/>
  <c r="N483" i="1" l="1"/>
  <c r="Z441" i="1"/>
  <c r="D441" i="1" s="1"/>
  <c r="C466" i="1"/>
  <c r="P466" i="1"/>
  <c r="Z466" i="1"/>
  <c r="D466" i="1" l="1"/>
  <c r="U440" i="1"/>
  <c r="N440" i="1" l="1"/>
  <c r="P246" i="1"/>
  <c r="Z246" i="1"/>
  <c r="U246" i="1"/>
  <c r="K246" i="1"/>
  <c r="F246" i="1"/>
  <c r="C246" i="1"/>
  <c r="F51" i="4"/>
  <c r="C268" i="1"/>
  <c r="F268" i="1"/>
  <c r="K268" i="1"/>
  <c r="U268" i="1"/>
  <c r="J441" i="1" l="1"/>
  <c r="J440" i="1" s="1"/>
  <c r="D246" i="1"/>
  <c r="D268" i="1"/>
  <c r="E18" i="4" l="1"/>
  <c r="Z561" i="1"/>
  <c r="U561" i="1"/>
  <c r="P561" i="1"/>
  <c r="K561" i="1"/>
  <c r="F561" i="1"/>
  <c r="Z101" i="1"/>
  <c r="U101" i="1"/>
  <c r="P101" i="1"/>
  <c r="K101" i="1"/>
  <c r="F101" i="1"/>
  <c r="F77" i="1"/>
  <c r="F99" i="1"/>
  <c r="P99" i="1"/>
  <c r="U99" i="1"/>
  <c r="Z99" i="1"/>
  <c r="AC86" i="4"/>
  <c r="AB86" i="4"/>
  <c r="Z86" i="4"/>
  <c r="X86" i="4"/>
  <c r="W86" i="4"/>
  <c r="U86" i="4"/>
  <c r="S86" i="4"/>
  <c r="R86" i="4"/>
  <c r="P86" i="4"/>
  <c r="N86" i="4"/>
  <c r="M86" i="4"/>
  <c r="L86" i="4"/>
  <c r="K86" i="4"/>
  <c r="G86" i="4"/>
  <c r="H86" i="4"/>
  <c r="I86" i="4"/>
  <c r="F86" i="4"/>
  <c r="AC53" i="4"/>
  <c r="AB53" i="4"/>
  <c r="Z53" i="4"/>
  <c r="X53" i="4"/>
  <c r="W53" i="4"/>
  <c r="U53" i="4"/>
  <c r="S53" i="4"/>
  <c r="R53" i="4"/>
  <c r="P53" i="4"/>
  <c r="N53" i="4"/>
  <c r="M53" i="4"/>
  <c r="L53" i="4"/>
  <c r="K53" i="4"/>
  <c r="I53" i="4"/>
  <c r="G53" i="4"/>
  <c r="H53" i="4"/>
  <c r="F53" i="4"/>
  <c r="J44" i="4"/>
  <c r="E44" i="4"/>
  <c r="D561" i="1" l="1"/>
  <c r="E86" i="4"/>
  <c r="J86" i="4"/>
  <c r="D99" i="1"/>
  <c r="D101" i="1"/>
  <c r="E53" i="4"/>
  <c r="J53" i="4"/>
  <c r="V46" i="4" l="1"/>
  <c r="U46" i="4"/>
  <c r="V126" i="1"/>
  <c r="C283" i="1" l="1"/>
  <c r="F283" i="1"/>
  <c r="K283" i="1"/>
  <c r="P283" i="1"/>
  <c r="U283" i="1"/>
  <c r="Z283" i="1"/>
  <c r="C284" i="1"/>
  <c r="F284" i="1"/>
  <c r="K284" i="1"/>
  <c r="P284" i="1"/>
  <c r="U284" i="1"/>
  <c r="Z284" i="1"/>
  <c r="C285" i="1"/>
  <c r="F285" i="1"/>
  <c r="K285" i="1"/>
  <c r="P285" i="1"/>
  <c r="U285" i="1"/>
  <c r="Z285" i="1"/>
  <c r="C287" i="1"/>
  <c r="F287" i="1"/>
  <c r="K287" i="1"/>
  <c r="P287" i="1"/>
  <c r="U287" i="1"/>
  <c r="Z287" i="1"/>
  <c r="D284" i="1" l="1"/>
  <c r="D287" i="1"/>
  <c r="D285" i="1"/>
  <c r="D283" i="1"/>
  <c r="V54" i="1" l="1"/>
  <c r="K48" i="4" l="1"/>
  <c r="C536" i="1"/>
  <c r="C537" i="1"/>
  <c r="C538" i="1"/>
  <c r="C539" i="1"/>
  <c r="C540" i="1"/>
  <c r="C541" i="1"/>
  <c r="C544" i="1"/>
  <c r="C545" i="1"/>
  <c r="C546" i="1"/>
  <c r="C547" i="1"/>
  <c r="C548" i="1"/>
  <c r="C550" i="1"/>
  <c r="C553" i="1"/>
  <c r="C535" i="1"/>
  <c r="C529" i="1"/>
  <c r="C530" i="1"/>
  <c r="C531" i="1"/>
  <c r="C532" i="1"/>
  <c r="C533" i="1"/>
  <c r="C528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484" i="1"/>
  <c r="C478" i="1"/>
  <c r="C479" i="1"/>
  <c r="C480" i="1"/>
  <c r="C481" i="1"/>
  <c r="C482" i="1"/>
  <c r="C477" i="1"/>
  <c r="C475" i="1"/>
  <c r="C472" i="1"/>
  <c r="C473" i="1"/>
  <c r="C474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41" i="1"/>
  <c r="C439" i="1"/>
  <c r="C438" i="1"/>
  <c r="C309" i="1"/>
  <c r="C312" i="1"/>
  <c r="C316" i="1"/>
  <c r="C317" i="1"/>
  <c r="C318" i="1"/>
  <c r="C319" i="1"/>
  <c r="C320" i="1"/>
  <c r="C321" i="1"/>
  <c r="C324" i="1"/>
  <c r="C325" i="1"/>
  <c r="C326" i="1"/>
  <c r="C327" i="1"/>
  <c r="C329" i="1"/>
  <c r="C331" i="1"/>
  <c r="C332" i="1"/>
  <c r="C334" i="1"/>
  <c r="C337" i="1"/>
  <c r="C338" i="1"/>
  <c r="C341" i="1"/>
  <c r="C343" i="1"/>
  <c r="C344" i="1"/>
  <c r="C347" i="1"/>
  <c r="C348" i="1"/>
  <c r="C351" i="1"/>
  <c r="C354" i="1"/>
  <c r="C356" i="1"/>
  <c r="C359" i="1"/>
  <c r="C360" i="1"/>
  <c r="C361" i="1"/>
  <c r="C362" i="1"/>
  <c r="C364" i="1"/>
  <c r="C365" i="1"/>
  <c r="C368" i="1"/>
  <c r="C369" i="1"/>
  <c r="C370" i="1"/>
  <c r="C371" i="1"/>
  <c r="C372" i="1"/>
  <c r="C374" i="1"/>
  <c r="C375" i="1"/>
  <c r="C379" i="1"/>
  <c r="C381" i="1"/>
  <c r="C382" i="1"/>
  <c r="C383" i="1"/>
  <c r="C384" i="1"/>
  <c r="C385" i="1"/>
  <c r="C386" i="1"/>
  <c r="C387" i="1"/>
  <c r="C388" i="1"/>
  <c r="C391" i="1"/>
  <c r="C392" i="1"/>
  <c r="C393" i="1"/>
  <c r="C394" i="1"/>
  <c r="C396" i="1"/>
  <c r="C399" i="1"/>
  <c r="C400" i="1"/>
  <c r="C407" i="1"/>
  <c r="C408" i="1"/>
  <c r="C409" i="1"/>
  <c r="C412" i="1"/>
  <c r="C413" i="1"/>
  <c r="C415" i="1"/>
  <c r="C417" i="1"/>
  <c r="C418" i="1"/>
  <c r="C419" i="1"/>
  <c r="C421" i="1"/>
  <c r="C422" i="1"/>
  <c r="C424" i="1"/>
  <c r="C425" i="1"/>
  <c r="C428" i="1"/>
  <c r="C429" i="1"/>
  <c r="C430" i="1"/>
  <c r="C431" i="1"/>
  <c r="C432" i="1"/>
  <c r="C435" i="1"/>
  <c r="C436" i="1"/>
  <c r="Y300" i="1"/>
  <c r="C163" i="1"/>
  <c r="C164" i="1"/>
  <c r="C165" i="1"/>
  <c r="C162" i="1"/>
  <c r="C148" i="1"/>
  <c r="C149" i="1"/>
  <c r="C150" i="1"/>
  <c r="C151" i="1"/>
  <c r="C152" i="1"/>
  <c r="C153" i="1"/>
  <c r="C147" i="1"/>
  <c r="C131" i="1"/>
  <c r="C132" i="1"/>
  <c r="C133" i="1"/>
  <c r="C134" i="1"/>
  <c r="C135" i="1"/>
  <c r="C136" i="1"/>
  <c r="C130" i="1"/>
  <c r="U168" i="1"/>
  <c r="U167" i="1"/>
  <c r="U159" i="1"/>
  <c r="U160" i="1"/>
  <c r="U161" i="1"/>
  <c r="U162" i="1"/>
  <c r="U163" i="1"/>
  <c r="U164" i="1"/>
  <c r="U165" i="1"/>
  <c r="U166" i="1"/>
  <c r="U155" i="1"/>
  <c r="U156" i="1"/>
  <c r="U157" i="1"/>
  <c r="U158" i="1"/>
  <c r="U151" i="1"/>
  <c r="U152" i="1"/>
  <c r="U153" i="1"/>
  <c r="U154" i="1"/>
  <c r="U147" i="1"/>
  <c r="U148" i="1"/>
  <c r="U149" i="1"/>
  <c r="U150" i="1"/>
  <c r="U143" i="1"/>
  <c r="U144" i="1"/>
  <c r="U145" i="1"/>
  <c r="U146" i="1"/>
  <c r="U139" i="1"/>
  <c r="U140" i="1"/>
  <c r="U141" i="1"/>
  <c r="U142" i="1"/>
  <c r="U134" i="1"/>
  <c r="U135" i="1"/>
  <c r="U136" i="1"/>
  <c r="U137" i="1"/>
  <c r="U138" i="1"/>
  <c r="U129" i="1"/>
  <c r="U130" i="1"/>
  <c r="U131" i="1"/>
  <c r="U132" i="1"/>
  <c r="U133" i="1"/>
  <c r="U128" i="1"/>
  <c r="U104" i="1"/>
  <c r="U105" i="1"/>
  <c r="U106" i="1"/>
  <c r="D106" i="1" s="1"/>
  <c r="U107" i="1"/>
  <c r="U109" i="1"/>
  <c r="U111" i="1"/>
  <c r="U112" i="1"/>
  <c r="U113" i="1"/>
  <c r="C104" i="1"/>
  <c r="C105" i="1"/>
  <c r="C103" i="1"/>
  <c r="U103" i="1"/>
  <c r="P103" i="1"/>
  <c r="K103" i="1"/>
  <c r="C63" i="1"/>
  <c r="C64" i="1"/>
  <c r="C65" i="1"/>
  <c r="C60" i="1"/>
  <c r="C61" i="1"/>
  <c r="C59" i="1"/>
  <c r="Z78" i="1"/>
  <c r="X62" i="1"/>
  <c r="W62" i="1"/>
  <c r="V62" i="1"/>
  <c r="U62" i="1"/>
  <c r="T62" i="1"/>
  <c r="Z59" i="1"/>
  <c r="X58" i="1"/>
  <c r="W58" i="1"/>
  <c r="V58" i="1"/>
  <c r="U58" i="1"/>
  <c r="T58" i="1"/>
  <c r="U31" i="1"/>
  <c r="U21" i="1"/>
  <c r="U22" i="1"/>
  <c r="U20" i="1"/>
  <c r="AB19" i="1"/>
  <c r="X483" i="1"/>
  <c r="W483" i="1"/>
  <c r="V483" i="1"/>
  <c r="S483" i="1"/>
  <c r="Y437" i="1"/>
  <c r="AA437" i="1"/>
  <c r="AB437" i="1"/>
  <c r="Z79" i="1"/>
  <c r="Z56" i="1"/>
  <c r="Z57" i="1"/>
  <c r="Z55" i="1"/>
  <c r="AB54" i="1"/>
  <c r="Z33" i="1"/>
  <c r="Z34" i="1"/>
  <c r="Z32" i="1"/>
  <c r="AC31" i="1"/>
  <c r="AB31" i="1"/>
  <c r="Z29" i="1"/>
  <c r="Z28" i="1"/>
  <c r="Z20" i="1"/>
  <c r="X11" i="1"/>
  <c r="F93" i="1"/>
  <c r="P93" i="1"/>
  <c r="U93" i="1"/>
  <c r="Z93" i="1"/>
  <c r="F94" i="1"/>
  <c r="P94" i="1"/>
  <c r="U94" i="1"/>
  <c r="Z94" i="1"/>
  <c r="U245" i="1"/>
  <c r="C245" i="1"/>
  <c r="F245" i="1"/>
  <c r="K245" i="1"/>
  <c r="P245" i="1"/>
  <c r="C244" i="1"/>
  <c r="F244" i="1"/>
  <c r="P244" i="1"/>
  <c r="C243" i="1"/>
  <c r="F243" i="1"/>
  <c r="P243" i="1"/>
  <c r="C168" i="1"/>
  <c r="F168" i="1"/>
  <c r="K168" i="1"/>
  <c r="P168" i="1"/>
  <c r="Z168" i="1"/>
  <c r="F92" i="1"/>
  <c r="P92" i="1"/>
  <c r="U92" i="1"/>
  <c r="Z92" i="1"/>
  <c r="J27" i="4"/>
  <c r="C427" i="5"/>
  <c r="M427" i="5"/>
  <c r="R427" i="5"/>
  <c r="W427" i="5"/>
  <c r="E30" i="4"/>
  <c r="J30" i="4"/>
  <c r="E19" i="4"/>
  <c r="J19" i="4"/>
  <c r="W161" i="5"/>
  <c r="R161" i="5"/>
  <c r="M161" i="5"/>
  <c r="H161" i="5"/>
  <c r="C161" i="5"/>
  <c r="M424" i="5"/>
  <c r="H424" i="5"/>
  <c r="R416" i="5"/>
  <c r="H404" i="5"/>
  <c r="R395" i="5"/>
  <c r="R360" i="5"/>
  <c r="R118" i="5"/>
  <c r="R29" i="5"/>
  <c r="R10" i="5"/>
  <c r="J62" i="4"/>
  <c r="Q50" i="4"/>
  <c r="L50" i="4"/>
  <c r="J26" i="4"/>
  <c r="J25" i="4"/>
  <c r="J24" i="4"/>
  <c r="J23" i="4"/>
  <c r="J18" i="4"/>
  <c r="J17" i="4"/>
  <c r="J16" i="4"/>
  <c r="O15" i="4"/>
  <c r="J15" i="4"/>
  <c r="J13" i="4"/>
  <c r="U302" i="1"/>
  <c r="P302" i="1"/>
  <c r="P304" i="1" s="1"/>
  <c r="U240" i="1"/>
  <c r="P240" i="1"/>
  <c r="K240" i="1"/>
  <c r="U239" i="1"/>
  <c r="P239" i="1"/>
  <c r="U171" i="1"/>
  <c r="P171" i="1"/>
  <c r="U169" i="1"/>
  <c r="P169" i="1"/>
  <c r="K169" i="1"/>
  <c r="U77" i="1"/>
  <c r="P77" i="1"/>
  <c r="K77" i="1"/>
  <c r="K73" i="1"/>
  <c r="V43" i="1"/>
  <c r="U43" i="1" s="1"/>
  <c r="Q43" i="1"/>
  <c r="P43" i="1" s="1"/>
  <c r="L43" i="1"/>
  <c r="K43" i="1" s="1"/>
  <c r="U26" i="1"/>
  <c r="P26" i="1"/>
  <c r="K26" i="1"/>
  <c r="U25" i="1"/>
  <c r="P25" i="1"/>
  <c r="K25" i="1"/>
  <c r="M24" i="1"/>
  <c r="K24" i="1" s="1"/>
  <c r="U12" i="1"/>
  <c r="K12" i="1"/>
  <c r="X554" i="1" l="1"/>
  <c r="U554" i="1" s="1"/>
  <c r="U483" i="1"/>
  <c r="AD30" i="4"/>
  <c r="AB427" i="5"/>
  <c r="W71" i="1"/>
  <c r="Z27" i="1"/>
  <c r="Z31" i="1"/>
  <c r="Z54" i="1"/>
  <c r="X71" i="1"/>
  <c r="AB161" i="5"/>
  <c r="D93" i="1"/>
  <c r="D94" i="1"/>
  <c r="D245" i="1"/>
  <c r="D244" i="1"/>
  <c r="D243" i="1"/>
  <c r="D168" i="1"/>
  <c r="D92" i="1"/>
  <c r="AD19" i="4"/>
  <c r="H300" i="1"/>
  <c r="G79" i="4"/>
  <c r="G84" i="4" s="1"/>
  <c r="H302" i="1"/>
  <c r="I91" i="1"/>
  <c r="H67" i="1"/>
  <c r="F59" i="4"/>
  <c r="E59" i="4" s="1"/>
  <c r="G48" i="4" l="1"/>
  <c r="G46" i="4" l="1"/>
  <c r="F46" i="4"/>
  <c r="E79" i="4" l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99" i="1"/>
  <c r="K255" i="1"/>
  <c r="W48" i="4" l="1"/>
  <c r="V48" i="4"/>
  <c r="U48" i="4"/>
  <c r="T48" i="4" l="1"/>
  <c r="C267" i="1"/>
  <c r="U267" i="1"/>
  <c r="C70" i="1" l="1"/>
  <c r="F70" i="1"/>
  <c r="D70" i="1" l="1"/>
  <c r="N123" i="1"/>
  <c r="C276" i="1"/>
  <c r="F276" i="1"/>
  <c r="P276" i="1"/>
  <c r="U276" i="1"/>
  <c r="Z276" i="1"/>
  <c r="K46" i="4" l="1"/>
  <c r="N126" i="1"/>
  <c r="K123" i="1"/>
  <c r="D276" i="1"/>
  <c r="F40" i="1" l="1"/>
  <c r="J65" i="4" l="1"/>
  <c r="J75" i="4"/>
  <c r="F13" i="4"/>
  <c r="J14" i="4"/>
  <c r="E14" i="4"/>
  <c r="AA470" i="5"/>
  <c r="Z470" i="5"/>
  <c r="Y470" i="5"/>
  <c r="L470" i="5"/>
  <c r="K470" i="5"/>
  <c r="J470" i="5"/>
  <c r="G470" i="5"/>
  <c r="F470" i="5"/>
  <c r="E470" i="5"/>
  <c r="W26" i="5"/>
  <c r="R26" i="5"/>
  <c r="M26" i="5"/>
  <c r="H26" i="5"/>
  <c r="C26" i="5"/>
  <c r="AD14" i="4" l="1"/>
  <c r="AB26" i="5"/>
  <c r="Q44" i="4"/>
  <c r="O44" i="4" s="1"/>
  <c r="V44" i="4"/>
  <c r="T44" i="4" s="1"/>
  <c r="AA44" i="4"/>
  <c r="Y44" i="4" s="1"/>
  <c r="Z91" i="1"/>
  <c r="U91" i="1"/>
  <c r="P91" i="1"/>
  <c r="F91" i="1"/>
  <c r="Z90" i="1"/>
  <c r="U90" i="1"/>
  <c r="P90" i="1"/>
  <c r="F90" i="1"/>
  <c r="Z167" i="1"/>
  <c r="P167" i="1"/>
  <c r="K167" i="1"/>
  <c r="F167" i="1"/>
  <c r="C167" i="1"/>
  <c r="Z166" i="1"/>
  <c r="P166" i="1"/>
  <c r="K166" i="1"/>
  <c r="F166" i="1"/>
  <c r="C166" i="1"/>
  <c r="V86" i="4" l="1"/>
  <c r="T86" i="4" s="1"/>
  <c r="V53" i="4"/>
  <c r="T53" i="4" s="1"/>
  <c r="Q86" i="4"/>
  <c r="O86" i="4" s="1"/>
  <c r="Q53" i="4"/>
  <c r="O53" i="4" s="1"/>
  <c r="AA86" i="4"/>
  <c r="Y86" i="4" s="1"/>
  <c r="AA53" i="4"/>
  <c r="Y53" i="4" s="1"/>
  <c r="D91" i="1"/>
  <c r="D90" i="1"/>
  <c r="D167" i="1"/>
  <c r="D166" i="1"/>
  <c r="P242" i="1"/>
  <c r="F242" i="1"/>
  <c r="C242" i="1"/>
  <c r="AD44" i="4" l="1"/>
  <c r="AD53" i="4"/>
  <c r="AD86" i="4"/>
  <c r="D242" i="1"/>
  <c r="AA46" i="4"/>
  <c r="Z46" i="4"/>
  <c r="AC126" i="1"/>
  <c r="AA126" i="1"/>
  <c r="AB126" i="1"/>
  <c r="Y126" i="1"/>
  <c r="T126" i="1"/>
  <c r="Q126" i="1"/>
  <c r="R126" i="1"/>
  <c r="O126" i="1"/>
  <c r="J126" i="1"/>
  <c r="G126" i="1"/>
  <c r="E126" i="1"/>
  <c r="Z125" i="1"/>
  <c r="K125" i="1"/>
  <c r="C125" i="1"/>
  <c r="D125" i="1" l="1"/>
  <c r="AE97" i="4"/>
  <c r="AF97" i="4"/>
  <c r="AG97" i="4"/>
  <c r="AH97" i="4"/>
  <c r="AH95" i="4"/>
  <c r="AG95" i="4"/>
  <c r="AF95" i="4"/>
  <c r="AE95" i="4"/>
  <c r="AH93" i="4"/>
  <c r="AG93" i="4"/>
  <c r="AF93" i="4"/>
  <c r="AE93" i="4"/>
  <c r="AH91" i="4"/>
  <c r="AG91" i="4"/>
  <c r="AF91" i="4"/>
  <c r="AE91" i="4"/>
  <c r="AH89" i="4"/>
  <c r="AG89" i="4"/>
  <c r="AF89" i="4"/>
  <c r="AE89" i="4"/>
  <c r="P241" i="1"/>
  <c r="F241" i="1"/>
  <c r="C241" i="1"/>
  <c r="P94" i="4"/>
  <c r="K94" i="4"/>
  <c r="G94" i="4"/>
  <c r="H94" i="4"/>
  <c r="I94" i="4"/>
  <c r="L94" i="4"/>
  <c r="M94" i="4"/>
  <c r="N94" i="4"/>
  <c r="Q94" i="4"/>
  <c r="R94" i="4"/>
  <c r="S94" i="4"/>
  <c r="V94" i="4"/>
  <c r="W94" i="4"/>
  <c r="X94" i="4"/>
  <c r="AA94" i="4"/>
  <c r="AB94" i="4"/>
  <c r="AC94" i="4"/>
  <c r="E65" i="4"/>
  <c r="AD65" i="4" s="1"/>
  <c r="F62" i="4"/>
  <c r="AH94" i="4" l="1"/>
  <c r="AG94" i="4"/>
  <c r="AF94" i="4"/>
  <c r="D241" i="1"/>
  <c r="K112" i="1"/>
  <c r="F112" i="1"/>
  <c r="C112" i="1"/>
  <c r="D112" i="1" l="1"/>
  <c r="E440" i="1"/>
  <c r="G440" i="1"/>
  <c r="H440" i="1"/>
  <c r="I440" i="1"/>
  <c r="L440" i="1"/>
  <c r="M440" i="1"/>
  <c r="Q440" i="1"/>
  <c r="R440" i="1"/>
  <c r="T440" i="1"/>
  <c r="V440" i="1"/>
  <c r="W440" i="1"/>
  <c r="X440" i="1"/>
  <c r="AA440" i="1"/>
  <c r="AB440" i="1"/>
  <c r="AC440" i="1"/>
  <c r="H100" i="5" l="1"/>
  <c r="F231" i="1"/>
  <c r="F232" i="1"/>
  <c r="H559" i="1"/>
  <c r="Z465" i="1"/>
  <c r="P465" i="1"/>
  <c r="D465" i="1" l="1"/>
  <c r="C142" i="5"/>
  <c r="P117" i="1"/>
  <c r="C117" i="1"/>
  <c r="D117" i="1" l="1"/>
  <c r="E75" i="4"/>
  <c r="AD75" i="4" s="1"/>
  <c r="J74" i="4"/>
  <c r="E74" i="4"/>
  <c r="AD74" i="4" l="1"/>
  <c r="F77" i="4"/>
  <c r="F84" i="4" s="1"/>
  <c r="H66" i="1"/>
  <c r="I66" i="1"/>
  <c r="G66" i="1"/>
  <c r="C68" i="1"/>
  <c r="F68" i="1"/>
  <c r="D68" i="1" s="1"/>
  <c r="U67" i="1"/>
  <c r="F67" i="1"/>
  <c r="C67" i="1"/>
  <c r="F62" i="1"/>
  <c r="I73" i="1"/>
  <c r="I100" i="1" s="1"/>
  <c r="F74" i="1"/>
  <c r="C424" i="5"/>
  <c r="C426" i="5"/>
  <c r="E27" i="4"/>
  <c r="F64" i="4"/>
  <c r="F94" i="4" s="1"/>
  <c r="F240" i="1"/>
  <c r="C240" i="1"/>
  <c r="F43" i="4" l="1"/>
  <c r="D67" i="1"/>
  <c r="F66" i="1"/>
  <c r="D240" i="1"/>
  <c r="F230" i="1"/>
  <c r="W300" i="1"/>
  <c r="AB300" i="1"/>
  <c r="F227" i="1" l="1"/>
  <c r="F226" i="1"/>
  <c r="F223" i="1"/>
  <c r="F199" i="1"/>
  <c r="P48" i="4"/>
  <c r="F83" i="1"/>
  <c r="K111" i="1"/>
  <c r="F111" i="1"/>
  <c r="N15" i="1"/>
  <c r="C66" i="1"/>
  <c r="U66" i="1"/>
  <c r="J46" i="1"/>
  <c r="O46" i="1"/>
  <c r="P46" i="1"/>
  <c r="Q46" i="1"/>
  <c r="R46" i="1"/>
  <c r="S46" i="1"/>
  <c r="T46" i="1"/>
  <c r="U46" i="1"/>
  <c r="V46" i="1"/>
  <c r="W46" i="1"/>
  <c r="X46" i="1"/>
  <c r="Y46" i="1"/>
  <c r="AA46" i="1"/>
  <c r="AB46" i="1"/>
  <c r="AC46" i="1"/>
  <c r="I46" i="1"/>
  <c r="H46" i="1"/>
  <c r="G46" i="1"/>
  <c r="C48" i="1"/>
  <c r="C47" i="1"/>
  <c r="F48" i="1"/>
  <c r="D48" i="1" s="1"/>
  <c r="F47" i="1"/>
  <c r="F46" i="1" s="1"/>
  <c r="D46" i="1" s="1"/>
  <c r="J11" i="1"/>
  <c r="F239" i="1"/>
  <c r="C239" i="1"/>
  <c r="Q48" i="4"/>
  <c r="L48" i="4"/>
  <c r="I300" i="1"/>
  <c r="F47" i="4" s="1"/>
  <c r="Z123" i="1"/>
  <c r="P124" i="1"/>
  <c r="P123" i="1"/>
  <c r="D123" i="1" l="1"/>
  <c r="D111" i="1"/>
  <c r="D66" i="1"/>
  <c r="P278" i="1"/>
  <c r="D47" i="1"/>
  <c r="D239" i="1"/>
  <c r="Z138" i="1"/>
  <c r="Z140" i="1"/>
  <c r="Z142" i="1"/>
  <c r="Z144" i="1"/>
  <c r="Z146" i="1"/>
  <c r="Z143" i="1"/>
  <c r="Z139" i="1"/>
  <c r="Z141" i="1"/>
  <c r="Z145" i="1"/>
  <c r="Z137" i="1"/>
  <c r="Z282" i="1" l="1"/>
  <c r="U282" i="1"/>
  <c r="P282" i="1"/>
  <c r="F282" i="1"/>
  <c r="C282" i="1"/>
  <c r="Z281" i="1"/>
  <c r="U281" i="1"/>
  <c r="P281" i="1"/>
  <c r="F281" i="1"/>
  <c r="C281" i="1"/>
  <c r="Z280" i="1"/>
  <c r="U280" i="1"/>
  <c r="P280" i="1"/>
  <c r="F280" i="1"/>
  <c r="C280" i="1"/>
  <c r="Z279" i="1"/>
  <c r="U279" i="1"/>
  <c r="P279" i="1"/>
  <c r="F279" i="1"/>
  <c r="C279" i="1"/>
  <c r="Z278" i="1"/>
  <c r="U278" i="1"/>
  <c r="F278" i="1"/>
  <c r="C278" i="1"/>
  <c r="Z277" i="1"/>
  <c r="U277" i="1"/>
  <c r="P277" i="1"/>
  <c r="F277" i="1"/>
  <c r="C277" i="1"/>
  <c r="Z275" i="1"/>
  <c r="U275" i="1"/>
  <c r="P275" i="1"/>
  <c r="F275" i="1"/>
  <c r="C275" i="1"/>
  <c r="Z274" i="1"/>
  <c r="U274" i="1"/>
  <c r="P274" i="1"/>
  <c r="F274" i="1"/>
  <c r="C274" i="1"/>
  <c r="Z273" i="1"/>
  <c r="U273" i="1"/>
  <c r="P273" i="1"/>
  <c r="F273" i="1"/>
  <c r="C273" i="1"/>
  <c r="Z272" i="1"/>
  <c r="U272" i="1"/>
  <c r="P272" i="1"/>
  <c r="F272" i="1"/>
  <c r="C272" i="1"/>
  <c r="Z271" i="1"/>
  <c r="U271" i="1"/>
  <c r="P271" i="1"/>
  <c r="F271" i="1"/>
  <c r="C271" i="1"/>
  <c r="Z270" i="1"/>
  <c r="U270" i="1"/>
  <c r="P270" i="1"/>
  <c r="F270" i="1"/>
  <c r="C270" i="1"/>
  <c r="Z269" i="1"/>
  <c r="U269" i="1"/>
  <c r="F269" i="1"/>
  <c r="C269" i="1"/>
  <c r="F267" i="1"/>
  <c r="X54" i="4"/>
  <c r="X52" i="4" s="1"/>
  <c r="AC54" i="4"/>
  <c r="AC52" i="4" s="1"/>
  <c r="I54" i="4"/>
  <c r="N54" i="4"/>
  <c r="N52" i="4" s="1"/>
  <c r="S54" i="4"/>
  <c r="S52" i="4" s="1"/>
  <c r="AB48" i="4"/>
  <c r="R48" i="4"/>
  <c r="O48" i="4" s="1"/>
  <c r="M48" i="4"/>
  <c r="J48" i="4" s="1"/>
  <c r="H48" i="4"/>
  <c r="AB46" i="4"/>
  <c r="Y46" i="4" s="1"/>
  <c r="W46" i="4"/>
  <c r="T46" i="4" s="1"/>
  <c r="R46" i="4"/>
  <c r="O46" i="4" s="1"/>
  <c r="Y48" i="4" l="1"/>
  <c r="X92" i="4"/>
  <c r="N92" i="4"/>
  <c r="AC92" i="4"/>
  <c r="S92" i="4"/>
  <c r="I92" i="4"/>
  <c r="I52" i="4"/>
  <c r="D267" i="1"/>
  <c r="D279" i="1"/>
  <c r="D281" i="1"/>
  <c r="D282" i="1"/>
  <c r="D278" i="1"/>
  <c r="D275" i="1"/>
  <c r="D280" i="1"/>
  <c r="D277" i="1"/>
  <c r="D271" i="1"/>
  <c r="D270" i="1"/>
  <c r="D272" i="1"/>
  <c r="D274" i="1"/>
  <c r="D269" i="1"/>
  <c r="D273" i="1"/>
  <c r="AH92" i="4" l="1"/>
  <c r="H47" i="4"/>
  <c r="AA47" i="4" l="1"/>
  <c r="E118" i="8" l="1"/>
  <c r="P133" i="1" l="1"/>
  <c r="W404" i="5"/>
  <c r="R404" i="5"/>
  <c r="AB404" i="5" l="1"/>
  <c r="Z124" i="1"/>
  <c r="Z64" i="1"/>
  <c r="Z65" i="1"/>
  <c r="AB58" i="1"/>
  <c r="Z63" i="1"/>
  <c r="Z60" i="1"/>
  <c r="Z61" i="1"/>
  <c r="D63" i="1" l="1"/>
  <c r="Z62" i="1"/>
  <c r="Z58" i="1"/>
  <c r="U29" i="1"/>
  <c r="U30" i="1"/>
  <c r="U28" i="1"/>
  <c r="W23" i="1"/>
  <c r="X23" i="1"/>
  <c r="Z71" i="1" l="1"/>
  <c r="U27" i="1"/>
  <c r="C555" i="1"/>
  <c r="F555" i="1"/>
  <c r="K555" i="1"/>
  <c r="P555" i="1"/>
  <c r="U555" i="1"/>
  <c r="Z555" i="1"/>
  <c r="I559" i="1"/>
  <c r="D555" i="1" l="1"/>
  <c r="F48" i="4" l="1"/>
  <c r="E48" i="4" s="1"/>
  <c r="AD48" i="4" s="1"/>
  <c r="Z464" i="1"/>
  <c r="P464" i="1"/>
  <c r="D464" i="1" l="1"/>
  <c r="F15" i="8"/>
  <c r="AB51" i="4" l="1"/>
  <c r="AB54" i="4" s="1"/>
  <c r="AB52" i="4" s="1"/>
  <c r="AA51" i="4"/>
  <c r="Z51" i="4"/>
  <c r="W51" i="4"/>
  <c r="W54" i="4" s="1"/>
  <c r="W52" i="4" s="1"/>
  <c r="V51" i="4"/>
  <c r="U51" i="4"/>
  <c r="Q51" i="4"/>
  <c r="R54" i="4"/>
  <c r="R52" i="4" s="1"/>
  <c r="P51" i="4"/>
  <c r="M51" i="4"/>
  <c r="H51" i="4"/>
  <c r="G51" i="4"/>
  <c r="Z559" i="1"/>
  <c r="U559" i="1"/>
  <c r="F559" i="1"/>
  <c r="C559" i="1"/>
  <c r="Z558" i="1"/>
  <c r="U558" i="1"/>
  <c r="P558" i="1"/>
  <c r="K558" i="1"/>
  <c r="F558" i="1"/>
  <c r="C558" i="1"/>
  <c r="E300" i="1"/>
  <c r="G300" i="1"/>
  <c r="G47" i="4"/>
  <c r="E47" i="4" s="1"/>
  <c r="L300" i="1"/>
  <c r="Q300" i="1"/>
  <c r="V300" i="1"/>
  <c r="AA300" i="1"/>
  <c r="Y51" i="4" l="1"/>
  <c r="T51" i="4"/>
  <c r="O51" i="4"/>
  <c r="R92" i="4"/>
  <c r="W92" i="4"/>
  <c r="AB92" i="4"/>
  <c r="E51" i="4"/>
  <c r="J51" i="4"/>
  <c r="D559" i="1"/>
  <c r="D558" i="1"/>
  <c r="Z89" i="1"/>
  <c r="U89" i="1"/>
  <c r="P89" i="1"/>
  <c r="F89" i="1"/>
  <c r="Z88" i="1"/>
  <c r="U88" i="1"/>
  <c r="P88" i="1"/>
  <c r="F88" i="1"/>
  <c r="Z87" i="1"/>
  <c r="U87" i="1"/>
  <c r="P87" i="1"/>
  <c r="K87" i="1"/>
  <c r="F87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4" i="1"/>
  <c r="C232" i="1"/>
  <c r="C235" i="1"/>
  <c r="C236" i="1"/>
  <c r="C237" i="1"/>
  <c r="C233" i="1"/>
  <c r="C238" i="1"/>
  <c r="C116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4" i="1"/>
  <c r="F225" i="1"/>
  <c r="F228" i="1"/>
  <c r="F229" i="1"/>
  <c r="F234" i="1"/>
  <c r="F235" i="1"/>
  <c r="F236" i="1"/>
  <c r="F237" i="1"/>
  <c r="F233" i="1"/>
  <c r="F238" i="1"/>
  <c r="P116" i="1"/>
  <c r="P238" i="1"/>
  <c r="P233" i="1"/>
  <c r="P237" i="1"/>
  <c r="P236" i="1"/>
  <c r="P235" i="1"/>
  <c r="P232" i="1"/>
  <c r="P234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K86" i="1"/>
  <c r="K85" i="1"/>
  <c r="K82" i="1"/>
  <c r="K83" i="1"/>
  <c r="K84" i="1"/>
  <c r="K79" i="1"/>
  <c r="K80" i="1"/>
  <c r="K78" i="1"/>
  <c r="K74" i="1"/>
  <c r="K100" i="1" l="1"/>
  <c r="AD51" i="4"/>
  <c r="D88" i="1"/>
  <c r="D236" i="1"/>
  <c r="D229" i="1"/>
  <c r="D222" i="1"/>
  <c r="D214" i="1"/>
  <c r="D89" i="1"/>
  <c r="D116" i="1"/>
  <c r="D231" i="1"/>
  <c r="D225" i="1"/>
  <c r="D218" i="1"/>
  <c r="D233" i="1"/>
  <c r="D87" i="1"/>
  <c r="D210" i="1"/>
  <c r="D206" i="1"/>
  <c r="D202" i="1"/>
  <c r="D198" i="1"/>
  <c r="D194" i="1"/>
  <c r="D190" i="1"/>
  <c r="D186" i="1"/>
  <c r="D182" i="1"/>
  <c r="D178" i="1"/>
  <c r="D174" i="1"/>
  <c r="D238" i="1"/>
  <c r="D235" i="1"/>
  <c r="D228" i="1"/>
  <c r="D224" i="1"/>
  <c r="D221" i="1"/>
  <c r="D217" i="1"/>
  <c r="D213" i="1"/>
  <c r="D209" i="1"/>
  <c r="D205" i="1"/>
  <c r="D201" i="1"/>
  <c r="D197" i="1"/>
  <c r="D193" i="1"/>
  <c r="D189" i="1"/>
  <c r="D185" i="1"/>
  <c r="D181" i="1"/>
  <c r="D177" i="1"/>
  <c r="D173" i="1"/>
  <c r="D232" i="1"/>
  <c r="D227" i="1"/>
  <c r="D223" i="1"/>
  <c r="D220" i="1"/>
  <c r="D216" i="1"/>
  <c r="D212" i="1"/>
  <c r="D208" i="1"/>
  <c r="D204" i="1"/>
  <c r="D200" i="1"/>
  <c r="D196" i="1"/>
  <c r="D192" i="1"/>
  <c r="D188" i="1"/>
  <c r="D184" i="1"/>
  <c r="D180" i="1"/>
  <c r="D176" i="1"/>
  <c r="D172" i="1"/>
  <c r="D237" i="1"/>
  <c r="D234" i="1"/>
  <c r="D230" i="1"/>
  <c r="D226" i="1"/>
  <c r="D219" i="1"/>
  <c r="D215" i="1"/>
  <c r="D211" i="1"/>
  <c r="D207" i="1"/>
  <c r="D203" i="1"/>
  <c r="D199" i="1"/>
  <c r="D195" i="1"/>
  <c r="D191" i="1"/>
  <c r="D187" i="1"/>
  <c r="D183" i="1"/>
  <c r="D179" i="1"/>
  <c r="D175" i="1"/>
  <c r="Z86" i="1"/>
  <c r="U86" i="1"/>
  <c r="P86" i="1"/>
  <c r="F86" i="1"/>
  <c r="Z85" i="1"/>
  <c r="U85" i="1"/>
  <c r="P85" i="1"/>
  <c r="F85" i="1"/>
  <c r="D86" i="1" l="1"/>
  <c r="D85" i="1"/>
  <c r="C45" i="1" l="1"/>
  <c r="P45" i="1"/>
  <c r="K45" i="1"/>
  <c r="F45" i="1"/>
  <c r="F44" i="1"/>
  <c r="K44" i="1"/>
  <c r="P44" i="1"/>
  <c r="H46" i="4"/>
  <c r="M46" i="4"/>
  <c r="D45" i="1" l="1"/>
  <c r="D44" i="1"/>
  <c r="C44" i="1"/>
  <c r="C255" i="1"/>
  <c r="F255" i="1"/>
  <c r="P255" i="1"/>
  <c r="U255" i="1"/>
  <c r="Z255" i="1"/>
  <c r="AD25" i="4"/>
  <c r="D255" i="1" l="1"/>
  <c r="R424" i="5"/>
  <c r="W424" i="5"/>
  <c r="M166" i="5"/>
  <c r="H166" i="5"/>
  <c r="C166" i="5"/>
  <c r="P36" i="4"/>
  <c r="F22" i="4"/>
  <c r="O15" i="1"/>
  <c r="AD27" i="4" l="1"/>
  <c r="AB424" i="5"/>
  <c r="R166" i="5"/>
  <c r="W166" i="5"/>
  <c r="AA43" i="1"/>
  <c r="F43" i="1"/>
  <c r="C43" i="1"/>
  <c r="F42" i="1"/>
  <c r="AB166" i="5" l="1"/>
  <c r="D43" i="1"/>
  <c r="Y77" i="4"/>
  <c r="P121" i="1" l="1"/>
  <c r="C121" i="1"/>
  <c r="S58" i="1" l="1"/>
  <c r="M15" i="1"/>
  <c r="S23" i="1"/>
  <c r="O62" i="1"/>
  <c r="R58" i="1"/>
  <c r="Z472" i="1"/>
  <c r="Z473" i="1"/>
  <c r="Z474" i="1"/>
  <c r="Z475" i="1"/>
  <c r="O476" i="1"/>
  <c r="F299" i="1" l="1"/>
  <c r="C256" i="1"/>
  <c r="P16" i="1" l="1"/>
  <c r="P15" i="1" s="1"/>
  <c r="S15" i="1"/>
  <c r="Z299" i="1" l="1"/>
  <c r="U299" i="1"/>
  <c r="P299" i="1"/>
  <c r="C299" i="1"/>
  <c r="D299" i="1" l="1"/>
  <c r="C42" i="1"/>
  <c r="C39" i="1"/>
  <c r="E39" i="1"/>
  <c r="Z171" i="1" l="1"/>
  <c r="F171" i="1"/>
  <c r="C171" i="1"/>
  <c r="Z170" i="1"/>
  <c r="U170" i="1"/>
  <c r="P170" i="1"/>
  <c r="F170" i="1"/>
  <c r="C170" i="1"/>
  <c r="Z84" i="1"/>
  <c r="U84" i="1"/>
  <c r="P84" i="1"/>
  <c r="F84" i="1"/>
  <c r="Z83" i="1"/>
  <c r="U83" i="1"/>
  <c r="P83" i="1"/>
  <c r="Z82" i="1"/>
  <c r="U82" i="1"/>
  <c r="P82" i="1"/>
  <c r="F82" i="1"/>
  <c r="Z81" i="1"/>
  <c r="U81" i="1"/>
  <c r="P81" i="1"/>
  <c r="F81" i="1"/>
  <c r="U100" i="1" l="1"/>
  <c r="D170" i="1"/>
  <c r="D83" i="1"/>
  <c r="D171" i="1"/>
  <c r="D82" i="1"/>
  <c r="D84" i="1"/>
  <c r="D81" i="1"/>
  <c r="F79" i="1"/>
  <c r="AC96" i="4" l="1"/>
  <c r="AB96" i="4"/>
  <c r="AA96" i="4"/>
  <c r="Z96" i="4"/>
  <c r="X96" i="4"/>
  <c r="W96" i="4"/>
  <c r="V96" i="4"/>
  <c r="U96" i="4"/>
  <c r="S96" i="4"/>
  <c r="R96" i="4"/>
  <c r="Q96" i="4"/>
  <c r="N84" i="4"/>
  <c r="N96" i="4" s="1"/>
  <c r="M84" i="4"/>
  <c r="L96" i="4"/>
  <c r="I96" i="4"/>
  <c r="H84" i="4"/>
  <c r="G96" i="4"/>
  <c r="AH80" i="4"/>
  <c r="AG80" i="4"/>
  <c r="AF80" i="4"/>
  <c r="AE80" i="4"/>
  <c r="J79" i="4"/>
  <c r="P96" i="4"/>
  <c r="K96" i="4"/>
  <c r="J72" i="4"/>
  <c r="E72" i="4"/>
  <c r="J64" i="4"/>
  <c r="E64" i="4"/>
  <c r="AH62" i="4"/>
  <c r="AG62" i="4"/>
  <c r="AF62" i="4"/>
  <c r="E62" i="4"/>
  <c r="AH60" i="4"/>
  <c r="AG60" i="4"/>
  <c r="AF60" i="4"/>
  <c r="J60" i="4"/>
  <c r="AH59" i="4"/>
  <c r="AG59" i="4"/>
  <c r="AF59" i="4"/>
  <c r="J59" i="4"/>
  <c r="H45" i="4"/>
  <c r="H42" i="4"/>
  <c r="AC36" i="4"/>
  <c r="AC90" i="4" s="1"/>
  <c r="AB36" i="4"/>
  <c r="AB90" i="4" s="1"/>
  <c r="AA36" i="4"/>
  <c r="AA90" i="4" s="1"/>
  <c r="X36" i="4"/>
  <c r="X90" i="4" s="1"/>
  <c r="W36" i="4"/>
  <c r="W90" i="4" s="1"/>
  <c r="V36" i="4"/>
  <c r="V90" i="4" s="1"/>
  <c r="S36" i="4"/>
  <c r="S90" i="4" s="1"/>
  <c r="R36" i="4"/>
  <c r="R90" i="4" s="1"/>
  <c r="Q36" i="4"/>
  <c r="Q90" i="4" s="1"/>
  <c r="P90" i="4"/>
  <c r="N36" i="4"/>
  <c r="N90" i="4" s="1"/>
  <c r="M36" i="4"/>
  <c r="M90" i="4" s="1"/>
  <c r="L36" i="4"/>
  <c r="L90" i="4" s="1"/>
  <c r="K90" i="4"/>
  <c r="I36" i="4"/>
  <c r="I90" i="4" s="1"/>
  <c r="H36" i="4"/>
  <c r="H90" i="4" s="1"/>
  <c r="G36" i="4"/>
  <c r="G90" i="4" s="1"/>
  <c r="Z36" i="4"/>
  <c r="Z90" i="4" s="1"/>
  <c r="U36" i="4"/>
  <c r="U90" i="4" s="1"/>
  <c r="J35" i="4"/>
  <c r="E35" i="4"/>
  <c r="J29" i="4"/>
  <c r="E29" i="4"/>
  <c r="J28" i="4"/>
  <c r="E28" i="4"/>
  <c r="E26" i="4"/>
  <c r="AD26" i="4" s="1"/>
  <c r="E24" i="4"/>
  <c r="AD24" i="4" s="1"/>
  <c r="E23" i="4"/>
  <c r="AD23" i="4" s="1"/>
  <c r="E22" i="4"/>
  <c r="AD18" i="4"/>
  <c r="F36" i="4"/>
  <c r="F90" i="4" s="1"/>
  <c r="E16" i="4"/>
  <c r="AD16" i="4" s="1"/>
  <c r="E15" i="4"/>
  <c r="AD15" i="4" s="1"/>
  <c r="E13" i="4"/>
  <c r="AD13" i="4" s="1"/>
  <c r="Z553" i="1"/>
  <c r="P553" i="1"/>
  <c r="Z552" i="1"/>
  <c r="C552" i="1"/>
  <c r="P552" i="1"/>
  <c r="Z551" i="1"/>
  <c r="C551" i="1"/>
  <c r="P551" i="1"/>
  <c r="Z550" i="1"/>
  <c r="P550" i="1"/>
  <c r="Z549" i="1"/>
  <c r="C549" i="1"/>
  <c r="P549" i="1"/>
  <c r="Z548" i="1"/>
  <c r="P548" i="1"/>
  <c r="Z547" i="1"/>
  <c r="P547" i="1"/>
  <c r="Z546" i="1"/>
  <c r="P546" i="1"/>
  <c r="Z545" i="1"/>
  <c r="P545" i="1"/>
  <c r="Z544" i="1"/>
  <c r="P544" i="1"/>
  <c r="C543" i="1"/>
  <c r="P543" i="1"/>
  <c r="Z542" i="1"/>
  <c r="C542" i="1"/>
  <c r="P542" i="1"/>
  <c r="Z541" i="1"/>
  <c r="P541" i="1"/>
  <c r="Z540" i="1"/>
  <c r="P540" i="1"/>
  <c r="Z539" i="1"/>
  <c r="P539" i="1"/>
  <c r="Z538" i="1"/>
  <c r="P538" i="1"/>
  <c r="O534" i="1"/>
  <c r="Z537" i="1"/>
  <c r="P537" i="1"/>
  <c r="Z536" i="1"/>
  <c r="P536" i="1"/>
  <c r="Z535" i="1"/>
  <c r="P535" i="1"/>
  <c r="AB534" i="1"/>
  <c r="AA534" i="1"/>
  <c r="R534" i="1"/>
  <c r="Q534" i="1"/>
  <c r="N534" i="1"/>
  <c r="M534" i="1"/>
  <c r="L534" i="1"/>
  <c r="J534" i="1"/>
  <c r="I534" i="1"/>
  <c r="H534" i="1"/>
  <c r="G534" i="1"/>
  <c r="E534" i="1"/>
  <c r="Z533" i="1"/>
  <c r="P533" i="1"/>
  <c r="Z532" i="1"/>
  <c r="P532" i="1"/>
  <c r="Z531" i="1"/>
  <c r="P531" i="1"/>
  <c r="Z530" i="1"/>
  <c r="P530" i="1"/>
  <c r="Z529" i="1"/>
  <c r="P529" i="1"/>
  <c r="Z528" i="1"/>
  <c r="P528" i="1"/>
  <c r="Z527" i="1"/>
  <c r="P527" i="1"/>
  <c r="C527" i="1"/>
  <c r="Z526" i="1"/>
  <c r="P526" i="1"/>
  <c r="Z525" i="1"/>
  <c r="P525" i="1"/>
  <c r="Z524" i="1"/>
  <c r="P524" i="1"/>
  <c r="Z523" i="1"/>
  <c r="P523" i="1"/>
  <c r="Z522" i="1"/>
  <c r="P522" i="1"/>
  <c r="Z521" i="1"/>
  <c r="P521" i="1"/>
  <c r="Z520" i="1"/>
  <c r="P520" i="1"/>
  <c r="Z519" i="1"/>
  <c r="P519" i="1"/>
  <c r="Z518" i="1"/>
  <c r="P518" i="1"/>
  <c r="Z517" i="1"/>
  <c r="P517" i="1"/>
  <c r="Z516" i="1"/>
  <c r="P516" i="1"/>
  <c r="Z515" i="1"/>
  <c r="P515" i="1"/>
  <c r="Z514" i="1"/>
  <c r="P514" i="1"/>
  <c r="Z513" i="1"/>
  <c r="P513" i="1"/>
  <c r="Z512" i="1"/>
  <c r="P512" i="1"/>
  <c r="Z511" i="1"/>
  <c r="P511" i="1"/>
  <c r="Z510" i="1"/>
  <c r="P510" i="1"/>
  <c r="Z509" i="1"/>
  <c r="P509" i="1"/>
  <c r="Z508" i="1"/>
  <c r="P508" i="1"/>
  <c r="Z507" i="1"/>
  <c r="P507" i="1"/>
  <c r="Z506" i="1"/>
  <c r="P506" i="1"/>
  <c r="Z505" i="1"/>
  <c r="P505" i="1"/>
  <c r="Z504" i="1"/>
  <c r="P504" i="1"/>
  <c r="Z503" i="1"/>
  <c r="P503" i="1"/>
  <c r="Z502" i="1"/>
  <c r="P502" i="1"/>
  <c r="Z501" i="1"/>
  <c r="P501" i="1"/>
  <c r="Z500" i="1"/>
  <c r="P500" i="1"/>
  <c r="Z499" i="1"/>
  <c r="P499" i="1"/>
  <c r="Z498" i="1"/>
  <c r="P498" i="1"/>
  <c r="Z497" i="1"/>
  <c r="P497" i="1"/>
  <c r="Z496" i="1"/>
  <c r="P496" i="1"/>
  <c r="Z495" i="1"/>
  <c r="P495" i="1"/>
  <c r="Z494" i="1"/>
  <c r="P494" i="1"/>
  <c r="Z493" i="1"/>
  <c r="P493" i="1"/>
  <c r="Z492" i="1"/>
  <c r="P492" i="1"/>
  <c r="Z491" i="1"/>
  <c r="P491" i="1"/>
  <c r="Z490" i="1"/>
  <c r="P490" i="1"/>
  <c r="Z489" i="1"/>
  <c r="P489" i="1"/>
  <c r="Z488" i="1"/>
  <c r="P488" i="1"/>
  <c r="Z487" i="1"/>
  <c r="P487" i="1"/>
  <c r="Z486" i="1"/>
  <c r="P486" i="1"/>
  <c r="Z485" i="1"/>
  <c r="P485" i="1"/>
  <c r="Z484" i="1"/>
  <c r="P484" i="1"/>
  <c r="AB483" i="1"/>
  <c r="AA483" i="1"/>
  <c r="R483" i="1"/>
  <c r="Q483" i="1"/>
  <c r="M483" i="1"/>
  <c r="L483" i="1"/>
  <c r="J483" i="1"/>
  <c r="I483" i="1"/>
  <c r="H483" i="1"/>
  <c r="G483" i="1"/>
  <c r="E483" i="1"/>
  <c r="Z482" i="1"/>
  <c r="P482" i="1"/>
  <c r="Z481" i="1"/>
  <c r="P481" i="1"/>
  <c r="Z480" i="1"/>
  <c r="P480" i="1"/>
  <c r="Z479" i="1"/>
  <c r="P479" i="1"/>
  <c r="Z478" i="1"/>
  <c r="P478" i="1"/>
  <c r="Z477" i="1"/>
  <c r="P477" i="1"/>
  <c r="AB476" i="1"/>
  <c r="AA476" i="1"/>
  <c r="Y476" i="1"/>
  <c r="S476" i="1"/>
  <c r="R476" i="1"/>
  <c r="Q476" i="1"/>
  <c r="N476" i="1"/>
  <c r="M476" i="1"/>
  <c r="L476" i="1"/>
  <c r="J476" i="1"/>
  <c r="I476" i="1"/>
  <c r="H476" i="1"/>
  <c r="G476" i="1"/>
  <c r="E476" i="1"/>
  <c r="P475" i="1"/>
  <c r="D475" i="1" s="1"/>
  <c r="P474" i="1"/>
  <c r="D474" i="1" s="1"/>
  <c r="P473" i="1"/>
  <c r="D473" i="1" s="1"/>
  <c r="P472" i="1"/>
  <c r="D472" i="1" s="1"/>
  <c r="Z471" i="1"/>
  <c r="C471" i="1"/>
  <c r="P471" i="1"/>
  <c r="AB470" i="1"/>
  <c r="AA470" i="1"/>
  <c r="S470" i="1"/>
  <c r="R470" i="1"/>
  <c r="Q470" i="1"/>
  <c r="O470" i="1"/>
  <c r="N470" i="1"/>
  <c r="M470" i="1"/>
  <c r="L470" i="1"/>
  <c r="J470" i="1"/>
  <c r="I470" i="1"/>
  <c r="H470" i="1"/>
  <c r="G470" i="1"/>
  <c r="E470" i="1"/>
  <c r="Z463" i="1"/>
  <c r="P463" i="1"/>
  <c r="Z462" i="1"/>
  <c r="P462" i="1"/>
  <c r="Z461" i="1"/>
  <c r="P461" i="1"/>
  <c r="Z460" i="1"/>
  <c r="P460" i="1"/>
  <c r="Z459" i="1"/>
  <c r="P459" i="1"/>
  <c r="Z458" i="1"/>
  <c r="P458" i="1"/>
  <c r="Z457" i="1"/>
  <c r="P457" i="1"/>
  <c r="Z456" i="1"/>
  <c r="P456" i="1"/>
  <c r="Z455" i="1"/>
  <c r="P455" i="1"/>
  <c r="Z454" i="1"/>
  <c r="P454" i="1"/>
  <c r="Z453" i="1"/>
  <c r="P453" i="1"/>
  <c r="Z452" i="1"/>
  <c r="P452" i="1"/>
  <c r="Z451" i="1"/>
  <c r="P451" i="1"/>
  <c r="Z450" i="1"/>
  <c r="P450" i="1"/>
  <c r="Z449" i="1"/>
  <c r="P449" i="1"/>
  <c r="Z448" i="1"/>
  <c r="P448" i="1"/>
  <c r="Z447" i="1"/>
  <c r="P447" i="1"/>
  <c r="Z446" i="1"/>
  <c r="P446" i="1"/>
  <c r="Z445" i="1"/>
  <c r="P445" i="1"/>
  <c r="Z444" i="1"/>
  <c r="P444" i="1"/>
  <c r="Z443" i="1"/>
  <c r="P443" i="1"/>
  <c r="Z442" i="1"/>
  <c r="P442" i="1"/>
  <c r="K440" i="1"/>
  <c r="Z439" i="1"/>
  <c r="P439" i="1"/>
  <c r="Z438" i="1"/>
  <c r="P438" i="1"/>
  <c r="W437" i="1"/>
  <c r="V437" i="1"/>
  <c r="S437" i="1"/>
  <c r="R437" i="1"/>
  <c r="Q437" i="1"/>
  <c r="O437" i="1"/>
  <c r="N437" i="1"/>
  <c r="M437" i="1"/>
  <c r="L437" i="1"/>
  <c r="J437" i="1"/>
  <c r="I437" i="1"/>
  <c r="I468" i="1" s="1"/>
  <c r="H437" i="1"/>
  <c r="G437" i="1"/>
  <c r="E437" i="1"/>
  <c r="Z436" i="1"/>
  <c r="D436" i="1" s="1"/>
  <c r="Z435" i="1"/>
  <c r="D435" i="1" s="1"/>
  <c r="Z434" i="1"/>
  <c r="D434" i="1" s="1"/>
  <c r="C434" i="1"/>
  <c r="Z433" i="1"/>
  <c r="D433" i="1" s="1"/>
  <c r="C433" i="1"/>
  <c r="Z432" i="1"/>
  <c r="D432" i="1" s="1"/>
  <c r="Z431" i="1"/>
  <c r="D431" i="1" s="1"/>
  <c r="Z430" i="1"/>
  <c r="D430" i="1" s="1"/>
  <c r="Z429" i="1"/>
  <c r="D429" i="1" s="1"/>
  <c r="Z428" i="1"/>
  <c r="D428" i="1" s="1"/>
  <c r="Z427" i="1"/>
  <c r="D427" i="1" s="1"/>
  <c r="C427" i="1"/>
  <c r="Z426" i="1"/>
  <c r="D426" i="1" s="1"/>
  <c r="C426" i="1"/>
  <c r="Z425" i="1"/>
  <c r="D425" i="1" s="1"/>
  <c r="Z424" i="1"/>
  <c r="D424" i="1" s="1"/>
  <c r="Z423" i="1"/>
  <c r="D423" i="1" s="1"/>
  <c r="C423" i="1"/>
  <c r="Z422" i="1"/>
  <c r="D422" i="1" s="1"/>
  <c r="Z421" i="1"/>
  <c r="D421" i="1" s="1"/>
  <c r="Z420" i="1"/>
  <c r="D420" i="1" s="1"/>
  <c r="C420" i="1"/>
  <c r="Z419" i="1"/>
  <c r="D419" i="1" s="1"/>
  <c r="Z418" i="1"/>
  <c r="D418" i="1" s="1"/>
  <c r="Z417" i="1"/>
  <c r="D417" i="1" s="1"/>
  <c r="Z416" i="1"/>
  <c r="D416" i="1" s="1"/>
  <c r="C416" i="1"/>
  <c r="Z415" i="1"/>
  <c r="D415" i="1" s="1"/>
  <c r="Z414" i="1"/>
  <c r="D414" i="1" s="1"/>
  <c r="C414" i="1"/>
  <c r="Z413" i="1"/>
  <c r="D413" i="1" s="1"/>
  <c r="Z412" i="1"/>
  <c r="D412" i="1" s="1"/>
  <c r="Z411" i="1"/>
  <c r="D411" i="1" s="1"/>
  <c r="C411" i="1"/>
  <c r="Z410" i="1"/>
  <c r="D410" i="1" s="1"/>
  <c r="C410" i="1"/>
  <c r="Z409" i="1"/>
  <c r="D409" i="1" s="1"/>
  <c r="Z408" i="1"/>
  <c r="D408" i="1" s="1"/>
  <c r="Z407" i="1"/>
  <c r="D407" i="1" s="1"/>
  <c r="Z406" i="1"/>
  <c r="D406" i="1" s="1"/>
  <c r="C406" i="1"/>
  <c r="Z405" i="1"/>
  <c r="D405" i="1" s="1"/>
  <c r="C405" i="1"/>
  <c r="Z404" i="1"/>
  <c r="D404" i="1" s="1"/>
  <c r="C404" i="1"/>
  <c r="Z403" i="1"/>
  <c r="D403" i="1" s="1"/>
  <c r="C403" i="1"/>
  <c r="Z402" i="1"/>
  <c r="D402" i="1" s="1"/>
  <c r="C402" i="1"/>
  <c r="Z401" i="1"/>
  <c r="D401" i="1" s="1"/>
  <c r="C401" i="1"/>
  <c r="Z400" i="1"/>
  <c r="D400" i="1" s="1"/>
  <c r="Z399" i="1"/>
  <c r="D399" i="1" s="1"/>
  <c r="Z398" i="1"/>
  <c r="D398" i="1" s="1"/>
  <c r="C398" i="1"/>
  <c r="Z397" i="1"/>
  <c r="D397" i="1" s="1"/>
  <c r="C397" i="1"/>
  <c r="Z396" i="1"/>
  <c r="D396" i="1" s="1"/>
  <c r="Z395" i="1"/>
  <c r="D395" i="1" s="1"/>
  <c r="C395" i="1"/>
  <c r="Z394" i="1"/>
  <c r="D394" i="1" s="1"/>
  <c r="Z393" i="1"/>
  <c r="D393" i="1" s="1"/>
  <c r="Z392" i="1"/>
  <c r="D392" i="1" s="1"/>
  <c r="Z391" i="1"/>
  <c r="D391" i="1" s="1"/>
  <c r="Z390" i="1"/>
  <c r="D390" i="1" s="1"/>
  <c r="C390" i="1"/>
  <c r="Z389" i="1"/>
  <c r="D389" i="1" s="1"/>
  <c r="C389" i="1"/>
  <c r="Z388" i="1"/>
  <c r="D388" i="1" s="1"/>
  <c r="Z387" i="1"/>
  <c r="D387" i="1" s="1"/>
  <c r="Z386" i="1"/>
  <c r="D386" i="1" s="1"/>
  <c r="Z385" i="1"/>
  <c r="D385" i="1" s="1"/>
  <c r="Z384" i="1"/>
  <c r="D384" i="1" s="1"/>
  <c r="Z383" i="1"/>
  <c r="D383" i="1" s="1"/>
  <c r="Z382" i="1"/>
  <c r="D382" i="1" s="1"/>
  <c r="Z381" i="1"/>
  <c r="D381" i="1" s="1"/>
  <c r="Z380" i="1"/>
  <c r="D380" i="1" s="1"/>
  <c r="C380" i="1"/>
  <c r="Z379" i="1"/>
  <c r="D379" i="1" s="1"/>
  <c r="Z378" i="1"/>
  <c r="D378" i="1" s="1"/>
  <c r="C378" i="1"/>
  <c r="Z377" i="1"/>
  <c r="D377" i="1" s="1"/>
  <c r="C377" i="1"/>
  <c r="Z376" i="1"/>
  <c r="D376" i="1" s="1"/>
  <c r="C376" i="1"/>
  <c r="Z375" i="1"/>
  <c r="D375" i="1" s="1"/>
  <c r="Z374" i="1"/>
  <c r="D374" i="1" s="1"/>
  <c r="Z373" i="1"/>
  <c r="D373" i="1" s="1"/>
  <c r="C373" i="1"/>
  <c r="Z372" i="1"/>
  <c r="D372" i="1" s="1"/>
  <c r="Z371" i="1"/>
  <c r="D371" i="1" s="1"/>
  <c r="Z370" i="1"/>
  <c r="D370" i="1" s="1"/>
  <c r="Z369" i="1"/>
  <c r="D369" i="1" s="1"/>
  <c r="Z368" i="1"/>
  <c r="D368" i="1" s="1"/>
  <c r="Z367" i="1"/>
  <c r="D367" i="1" s="1"/>
  <c r="C367" i="1"/>
  <c r="Z366" i="1"/>
  <c r="D366" i="1" s="1"/>
  <c r="C366" i="1"/>
  <c r="Z365" i="1"/>
  <c r="D365" i="1" s="1"/>
  <c r="Z364" i="1"/>
  <c r="D364" i="1" s="1"/>
  <c r="Z363" i="1"/>
  <c r="D363" i="1" s="1"/>
  <c r="C363" i="1"/>
  <c r="Z362" i="1"/>
  <c r="D362" i="1" s="1"/>
  <c r="Z361" i="1"/>
  <c r="D361" i="1" s="1"/>
  <c r="Z360" i="1"/>
  <c r="D360" i="1" s="1"/>
  <c r="Z359" i="1"/>
  <c r="D359" i="1" s="1"/>
  <c r="C358" i="1"/>
  <c r="Z357" i="1"/>
  <c r="D357" i="1" s="1"/>
  <c r="C357" i="1"/>
  <c r="Z356" i="1"/>
  <c r="D356" i="1" s="1"/>
  <c r="Z355" i="1"/>
  <c r="D355" i="1" s="1"/>
  <c r="C355" i="1"/>
  <c r="Z354" i="1"/>
  <c r="D354" i="1" s="1"/>
  <c r="Z353" i="1"/>
  <c r="D353" i="1" s="1"/>
  <c r="C353" i="1"/>
  <c r="Z352" i="1"/>
  <c r="D352" i="1" s="1"/>
  <c r="C352" i="1"/>
  <c r="Z351" i="1"/>
  <c r="D351" i="1" s="1"/>
  <c r="Z350" i="1"/>
  <c r="D350" i="1" s="1"/>
  <c r="C350" i="1"/>
  <c r="Z349" i="1"/>
  <c r="D349" i="1" s="1"/>
  <c r="C349" i="1"/>
  <c r="Z348" i="1"/>
  <c r="D348" i="1" s="1"/>
  <c r="Z347" i="1"/>
  <c r="D347" i="1" s="1"/>
  <c r="Z346" i="1"/>
  <c r="D346" i="1" s="1"/>
  <c r="C346" i="1"/>
  <c r="Z345" i="1"/>
  <c r="D345" i="1" s="1"/>
  <c r="C345" i="1"/>
  <c r="Z344" i="1"/>
  <c r="D344" i="1" s="1"/>
  <c r="Z343" i="1"/>
  <c r="D343" i="1" s="1"/>
  <c r="Z342" i="1"/>
  <c r="D342" i="1" s="1"/>
  <c r="C342" i="1"/>
  <c r="Z341" i="1"/>
  <c r="D341" i="1" s="1"/>
  <c r="Z340" i="1"/>
  <c r="D340" i="1" s="1"/>
  <c r="C340" i="1"/>
  <c r="Z339" i="1"/>
  <c r="D339" i="1" s="1"/>
  <c r="C339" i="1"/>
  <c r="Z338" i="1"/>
  <c r="D338" i="1" s="1"/>
  <c r="Z337" i="1"/>
  <c r="D337" i="1" s="1"/>
  <c r="Z336" i="1"/>
  <c r="D336" i="1" s="1"/>
  <c r="C336" i="1"/>
  <c r="Z335" i="1"/>
  <c r="D335" i="1" s="1"/>
  <c r="C335" i="1"/>
  <c r="Z334" i="1"/>
  <c r="D334" i="1" s="1"/>
  <c r="Z333" i="1"/>
  <c r="D333" i="1" s="1"/>
  <c r="C333" i="1"/>
  <c r="Z332" i="1"/>
  <c r="D332" i="1" s="1"/>
  <c r="Z331" i="1"/>
  <c r="D331" i="1" s="1"/>
  <c r="Z330" i="1"/>
  <c r="D330" i="1" s="1"/>
  <c r="C330" i="1"/>
  <c r="Z329" i="1"/>
  <c r="D329" i="1" s="1"/>
  <c r="Z328" i="1"/>
  <c r="D328" i="1" s="1"/>
  <c r="C328" i="1"/>
  <c r="Z327" i="1"/>
  <c r="D327" i="1" s="1"/>
  <c r="Z326" i="1"/>
  <c r="D326" i="1" s="1"/>
  <c r="Z325" i="1"/>
  <c r="D325" i="1" s="1"/>
  <c r="Z324" i="1"/>
  <c r="D324" i="1" s="1"/>
  <c r="Z323" i="1"/>
  <c r="D323" i="1" s="1"/>
  <c r="C323" i="1"/>
  <c r="Z322" i="1"/>
  <c r="D322" i="1" s="1"/>
  <c r="C322" i="1"/>
  <c r="Z321" i="1"/>
  <c r="D321" i="1" s="1"/>
  <c r="Z320" i="1"/>
  <c r="D320" i="1" s="1"/>
  <c r="Z319" i="1"/>
  <c r="D319" i="1" s="1"/>
  <c r="Z318" i="1"/>
  <c r="D318" i="1" s="1"/>
  <c r="Z317" i="1"/>
  <c r="D317" i="1" s="1"/>
  <c r="Z316" i="1"/>
  <c r="D316" i="1" s="1"/>
  <c r="Z315" i="1"/>
  <c r="D315" i="1" s="1"/>
  <c r="C315" i="1"/>
  <c r="Z314" i="1"/>
  <c r="D314" i="1" s="1"/>
  <c r="C314" i="1"/>
  <c r="Z313" i="1"/>
  <c r="D313" i="1" s="1"/>
  <c r="C313" i="1"/>
  <c r="Z312" i="1"/>
  <c r="D312" i="1" s="1"/>
  <c r="Z311" i="1"/>
  <c r="D311" i="1" s="1"/>
  <c r="C311" i="1"/>
  <c r="Z310" i="1"/>
  <c r="D310" i="1" s="1"/>
  <c r="C310" i="1"/>
  <c r="Z309" i="1"/>
  <c r="D309" i="1" s="1"/>
  <c r="Z308" i="1"/>
  <c r="C308" i="1"/>
  <c r="AB307" i="1"/>
  <c r="AA307" i="1"/>
  <c r="W307" i="1"/>
  <c r="V307" i="1"/>
  <c r="S307" i="1"/>
  <c r="R307" i="1"/>
  <c r="Q307" i="1"/>
  <c r="O307" i="1"/>
  <c r="N307" i="1"/>
  <c r="M307" i="1"/>
  <c r="L307" i="1"/>
  <c r="J307" i="1"/>
  <c r="H307" i="1"/>
  <c r="G307" i="1"/>
  <c r="E307" i="1"/>
  <c r="AA304" i="1"/>
  <c r="Y304" i="1"/>
  <c r="V304" i="1"/>
  <c r="T304" i="1"/>
  <c r="S304" i="1"/>
  <c r="P49" i="4" s="1"/>
  <c r="R304" i="1"/>
  <c r="Q49" i="4" s="1"/>
  <c r="Q304" i="1"/>
  <c r="O304" i="1"/>
  <c r="N304" i="1"/>
  <c r="K49" i="4" s="1"/>
  <c r="M304" i="1"/>
  <c r="L49" i="4" s="1"/>
  <c r="L304" i="1"/>
  <c r="J304" i="1"/>
  <c r="I304" i="1"/>
  <c r="F49" i="4" s="1"/>
  <c r="H304" i="1"/>
  <c r="G49" i="4" s="1"/>
  <c r="G304" i="1"/>
  <c r="E304" i="1"/>
  <c r="Z303" i="1"/>
  <c r="D303" i="1" s="1"/>
  <c r="AC304" i="1"/>
  <c r="Z49" i="4" s="1"/>
  <c r="X304" i="1"/>
  <c r="U49" i="4" s="1"/>
  <c r="F302" i="1"/>
  <c r="F304" i="1" s="1"/>
  <c r="C304" i="1"/>
  <c r="Z169" i="1"/>
  <c r="F169" i="1"/>
  <c r="C169" i="1"/>
  <c r="Z259" i="1"/>
  <c r="U259" i="1"/>
  <c r="P259" i="1"/>
  <c r="F259" i="1"/>
  <c r="C259" i="1"/>
  <c r="Z265" i="1"/>
  <c r="U265" i="1"/>
  <c r="P265" i="1"/>
  <c r="F265" i="1"/>
  <c r="C265" i="1"/>
  <c r="Z264" i="1"/>
  <c r="U264" i="1"/>
  <c r="P264" i="1"/>
  <c r="F264" i="1"/>
  <c r="C264" i="1"/>
  <c r="Z266" i="1"/>
  <c r="U266" i="1"/>
  <c r="P266" i="1"/>
  <c r="F266" i="1"/>
  <c r="C266" i="1"/>
  <c r="Z256" i="1"/>
  <c r="U256" i="1"/>
  <c r="P256" i="1"/>
  <c r="F256" i="1"/>
  <c r="P165" i="1"/>
  <c r="K165" i="1"/>
  <c r="F165" i="1"/>
  <c r="P164" i="1"/>
  <c r="K164" i="1"/>
  <c r="F164" i="1"/>
  <c r="P163" i="1"/>
  <c r="K163" i="1"/>
  <c r="F163" i="1"/>
  <c r="P162" i="1"/>
  <c r="K162" i="1"/>
  <c r="F162" i="1"/>
  <c r="P161" i="1"/>
  <c r="K161" i="1"/>
  <c r="F161" i="1"/>
  <c r="C161" i="1"/>
  <c r="P160" i="1"/>
  <c r="K160" i="1"/>
  <c r="F160" i="1"/>
  <c r="C160" i="1"/>
  <c r="P159" i="1"/>
  <c r="K159" i="1"/>
  <c r="F159" i="1"/>
  <c r="C159" i="1"/>
  <c r="P158" i="1"/>
  <c r="K158" i="1"/>
  <c r="F158" i="1"/>
  <c r="C158" i="1"/>
  <c r="P157" i="1"/>
  <c r="K157" i="1"/>
  <c r="F157" i="1"/>
  <c r="C157" i="1"/>
  <c r="P156" i="1"/>
  <c r="K156" i="1"/>
  <c r="F156" i="1"/>
  <c r="C156" i="1"/>
  <c r="P155" i="1"/>
  <c r="K155" i="1"/>
  <c r="F155" i="1"/>
  <c r="C155" i="1"/>
  <c r="P154" i="1"/>
  <c r="K154" i="1"/>
  <c r="F154" i="1"/>
  <c r="C154" i="1"/>
  <c r="P153" i="1"/>
  <c r="K153" i="1"/>
  <c r="F153" i="1"/>
  <c r="P152" i="1"/>
  <c r="K152" i="1"/>
  <c r="F152" i="1"/>
  <c r="P151" i="1"/>
  <c r="K151" i="1"/>
  <c r="F151" i="1"/>
  <c r="P150" i="1"/>
  <c r="K150" i="1"/>
  <c r="F150" i="1"/>
  <c r="P149" i="1"/>
  <c r="K149" i="1"/>
  <c r="F149" i="1"/>
  <c r="P148" i="1"/>
  <c r="K148" i="1"/>
  <c r="F148" i="1"/>
  <c r="P147" i="1"/>
  <c r="K147" i="1"/>
  <c r="F147" i="1"/>
  <c r="K146" i="1"/>
  <c r="F146" i="1"/>
  <c r="C146" i="1"/>
  <c r="K145" i="1"/>
  <c r="F145" i="1"/>
  <c r="C145" i="1"/>
  <c r="K144" i="1"/>
  <c r="F144" i="1"/>
  <c r="C144" i="1"/>
  <c r="K143" i="1"/>
  <c r="F143" i="1"/>
  <c r="C143" i="1"/>
  <c r="K142" i="1"/>
  <c r="F142" i="1"/>
  <c r="C142" i="1"/>
  <c r="K141" i="1"/>
  <c r="F141" i="1"/>
  <c r="C141" i="1"/>
  <c r="K140" i="1"/>
  <c r="F140" i="1"/>
  <c r="C140" i="1"/>
  <c r="K139" i="1"/>
  <c r="F139" i="1"/>
  <c r="C139" i="1"/>
  <c r="K138" i="1"/>
  <c r="F138" i="1"/>
  <c r="C138" i="1"/>
  <c r="K137" i="1"/>
  <c r="F137" i="1"/>
  <c r="C137" i="1"/>
  <c r="K136" i="1"/>
  <c r="F136" i="1"/>
  <c r="S135" i="1"/>
  <c r="S300" i="1" s="1"/>
  <c r="R135" i="1"/>
  <c r="F135" i="1"/>
  <c r="D135" i="1" s="1"/>
  <c r="P134" i="1"/>
  <c r="F134" i="1"/>
  <c r="F133" i="1"/>
  <c r="D133" i="1" s="1"/>
  <c r="P132" i="1"/>
  <c r="F132" i="1"/>
  <c r="P131" i="1"/>
  <c r="F131" i="1"/>
  <c r="P130" i="1"/>
  <c r="F130" i="1"/>
  <c r="Z263" i="1"/>
  <c r="U263" i="1"/>
  <c r="P263" i="1"/>
  <c r="F263" i="1"/>
  <c r="C263" i="1"/>
  <c r="Z129" i="1"/>
  <c r="P129" i="1"/>
  <c r="K129" i="1"/>
  <c r="F129" i="1"/>
  <c r="C129" i="1"/>
  <c r="Z260" i="1"/>
  <c r="U260" i="1"/>
  <c r="P260" i="1"/>
  <c r="F260" i="1"/>
  <c r="C260" i="1"/>
  <c r="Z257" i="1"/>
  <c r="U257" i="1"/>
  <c r="P257" i="1"/>
  <c r="F257" i="1"/>
  <c r="C257" i="1"/>
  <c r="Z128" i="1"/>
  <c r="P128" i="1"/>
  <c r="K128" i="1"/>
  <c r="F128" i="1"/>
  <c r="C128" i="1"/>
  <c r="Z258" i="1"/>
  <c r="U258" i="1"/>
  <c r="P258" i="1"/>
  <c r="F258" i="1"/>
  <c r="C258" i="1"/>
  <c r="Z261" i="1"/>
  <c r="U261" i="1"/>
  <c r="P261" i="1"/>
  <c r="F261" i="1"/>
  <c r="C261" i="1"/>
  <c r="Z262" i="1"/>
  <c r="U262" i="1"/>
  <c r="P262" i="1"/>
  <c r="F262" i="1"/>
  <c r="C262" i="1"/>
  <c r="K109" i="1"/>
  <c r="D109" i="1" s="1"/>
  <c r="C109" i="1"/>
  <c r="K108" i="1"/>
  <c r="C108" i="1"/>
  <c r="K107" i="1"/>
  <c r="C107" i="1"/>
  <c r="C106" i="1"/>
  <c r="D105" i="1"/>
  <c r="K104" i="1"/>
  <c r="Z103" i="1"/>
  <c r="D103" i="1" s="1"/>
  <c r="P126" i="1"/>
  <c r="K113" i="1"/>
  <c r="C113" i="1"/>
  <c r="P45" i="4"/>
  <c r="Q45" i="4"/>
  <c r="K124" i="1"/>
  <c r="D124" i="1" s="1"/>
  <c r="C124" i="1"/>
  <c r="Z118" i="1"/>
  <c r="C118" i="1"/>
  <c r="Z43" i="4"/>
  <c r="AA43" i="4"/>
  <c r="U43" i="4"/>
  <c r="V43" i="4"/>
  <c r="Q43" i="4"/>
  <c r="L43" i="4"/>
  <c r="Z80" i="1"/>
  <c r="P80" i="1"/>
  <c r="P79" i="1"/>
  <c r="Z77" i="1"/>
  <c r="P74" i="1"/>
  <c r="F73" i="1"/>
  <c r="F100" i="1" s="1"/>
  <c r="C100" i="1"/>
  <c r="P65" i="1"/>
  <c r="D65" i="1" s="1"/>
  <c r="P64" i="1"/>
  <c r="D64" i="1" s="1"/>
  <c r="AC71" i="1"/>
  <c r="AB62" i="1"/>
  <c r="AB71" i="1" s="1"/>
  <c r="AA62" i="1"/>
  <c r="Y62" i="1"/>
  <c r="S62" i="1"/>
  <c r="R62" i="1"/>
  <c r="Q62" i="1"/>
  <c r="N62" i="1"/>
  <c r="M62" i="1"/>
  <c r="L62" i="1"/>
  <c r="J62" i="1"/>
  <c r="I62" i="1"/>
  <c r="H62" i="1"/>
  <c r="G62" i="1"/>
  <c r="E62" i="1"/>
  <c r="P61" i="1"/>
  <c r="K61" i="1"/>
  <c r="P60" i="1"/>
  <c r="K60" i="1"/>
  <c r="P59" i="1"/>
  <c r="M59" i="1"/>
  <c r="K59" i="1" s="1"/>
  <c r="AA58" i="1"/>
  <c r="Y58" i="1"/>
  <c r="Q58" i="1"/>
  <c r="O58" i="1"/>
  <c r="L58" i="1"/>
  <c r="J58" i="1"/>
  <c r="I58" i="1"/>
  <c r="H58" i="1"/>
  <c r="G58" i="1"/>
  <c r="H49" i="4" s="1"/>
  <c r="F58" i="1"/>
  <c r="E58" i="1"/>
  <c r="K57" i="1"/>
  <c r="K56" i="1"/>
  <c r="S55" i="1"/>
  <c r="S54" i="1" s="1"/>
  <c r="R55" i="1"/>
  <c r="R54" i="1" s="1"/>
  <c r="M55" i="1"/>
  <c r="K55" i="1" s="1"/>
  <c r="C55" i="1"/>
  <c r="C54" i="1" s="1"/>
  <c r="AA54" i="1"/>
  <c r="T54" i="1"/>
  <c r="Q54" i="1"/>
  <c r="P54" i="1"/>
  <c r="O54" i="1"/>
  <c r="N54" i="1"/>
  <c r="L54" i="1"/>
  <c r="J54" i="1"/>
  <c r="I54" i="1"/>
  <c r="H54" i="1"/>
  <c r="G54" i="1"/>
  <c r="F54" i="1"/>
  <c r="E54" i="1"/>
  <c r="F41" i="1"/>
  <c r="AC41" i="1"/>
  <c r="AB41" i="1"/>
  <c r="Z41" i="1"/>
  <c r="Y41" i="1"/>
  <c r="X41" i="1"/>
  <c r="W41" i="1"/>
  <c r="U41" i="1"/>
  <c r="T41" i="1"/>
  <c r="S41" i="1"/>
  <c r="R41" i="1"/>
  <c r="P41" i="1"/>
  <c r="O41" i="1"/>
  <c r="N41" i="1"/>
  <c r="M41" i="1"/>
  <c r="J41" i="1"/>
  <c r="I41" i="1"/>
  <c r="H41" i="1"/>
  <c r="G41" i="1"/>
  <c r="C41" i="1"/>
  <c r="D40" i="1"/>
  <c r="D39" i="1" s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L39" i="1"/>
  <c r="J39" i="1"/>
  <c r="I39" i="1"/>
  <c r="H39" i="1"/>
  <c r="G39" i="1"/>
  <c r="K38" i="1"/>
  <c r="C38" i="1"/>
  <c r="Z37" i="1"/>
  <c r="K37" i="1"/>
  <c r="C37" i="1"/>
  <c r="AC35" i="1"/>
  <c r="K36" i="1"/>
  <c r="C36" i="1"/>
  <c r="AA35" i="1"/>
  <c r="Y35" i="1"/>
  <c r="X35" i="1"/>
  <c r="W35" i="1"/>
  <c r="V35" i="1"/>
  <c r="U35" i="1"/>
  <c r="T35" i="1"/>
  <c r="R35" i="1"/>
  <c r="Q35" i="1"/>
  <c r="O35" i="1"/>
  <c r="N35" i="1"/>
  <c r="M35" i="1"/>
  <c r="L35" i="1"/>
  <c r="J35" i="1"/>
  <c r="I35" i="1"/>
  <c r="H35" i="1"/>
  <c r="G35" i="1"/>
  <c r="F35" i="1"/>
  <c r="E35" i="1"/>
  <c r="P34" i="1"/>
  <c r="K34" i="1"/>
  <c r="C34" i="1"/>
  <c r="P33" i="1"/>
  <c r="K33" i="1"/>
  <c r="C33" i="1"/>
  <c r="S31" i="1"/>
  <c r="R31" i="1"/>
  <c r="K32" i="1"/>
  <c r="D32" i="1" s="1"/>
  <c r="C32" i="1"/>
  <c r="AA31" i="1"/>
  <c r="Y31" i="1"/>
  <c r="V31" i="1"/>
  <c r="T31" i="1"/>
  <c r="Q31" i="1"/>
  <c r="N31" i="1"/>
  <c r="M31" i="1"/>
  <c r="L31" i="1"/>
  <c r="J31" i="1"/>
  <c r="I31" i="1"/>
  <c r="H31" i="1"/>
  <c r="G31" i="1"/>
  <c r="F31" i="1"/>
  <c r="E31" i="1"/>
  <c r="P30" i="1"/>
  <c r="D30" i="1" s="1"/>
  <c r="P29" i="1"/>
  <c r="K29" i="1"/>
  <c r="C29" i="1"/>
  <c r="M28" i="1"/>
  <c r="C28" i="1"/>
  <c r="AC27" i="1"/>
  <c r="AB27" i="1"/>
  <c r="AA27" i="1"/>
  <c r="Y27" i="1"/>
  <c r="X27" i="1"/>
  <c r="W27" i="1"/>
  <c r="V27" i="1"/>
  <c r="T27" i="1"/>
  <c r="S27" i="1"/>
  <c r="R27" i="1"/>
  <c r="Q27" i="1"/>
  <c r="O27" i="1"/>
  <c r="L27" i="1"/>
  <c r="J27" i="1"/>
  <c r="I27" i="1"/>
  <c r="H27" i="1"/>
  <c r="G27" i="1"/>
  <c r="F27" i="1"/>
  <c r="E27" i="1"/>
  <c r="D26" i="1"/>
  <c r="C26" i="1"/>
  <c r="D25" i="1"/>
  <c r="C25" i="1"/>
  <c r="M23" i="1"/>
  <c r="D24" i="1"/>
  <c r="C24" i="1"/>
  <c r="AC23" i="1"/>
  <c r="AB23" i="1"/>
  <c r="AA23" i="1"/>
  <c r="Z23" i="1"/>
  <c r="Y23" i="1"/>
  <c r="V23" i="1"/>
  <c r="U23" i="1"/>
  <c r="T23" i="1"/>
  <c r="R23" i="1"/>
  <c r="Q23" i="1"/>
  <c r="N23" i="1"/>
  <c r="L23" i="1"/>
  <c r="K23" i="1"/>
  <c r="J23" i="1"/>
  <c r="I23" i="1"/>
  <c r="H23" i="1"/>
  <c r="G23" i="1"/>
  <c r="F23" i="1"/>
  <c r="E23" i="1"/>
  <c r="AC22" i="1"/>
  <c r="Z22" i="1" s="1"/>
  <c r="AC21" i="1"/>
  <c r="C21" i="1"/>
  <c r="C20" i="1"/>
  <c r="X19" i="1"/>
  <c r="W19" i="1"/>
  <c r="K20" i="1"/>
  <c r="K19" i="1" s="1"/>
  <c r="AA19" i="1"/>
  <c r="V19" i="1"/>
  <c r="T19" i="1"/>
  <c r="R19" i="1"/>
  <c r="Q19" i="1"/>
  <c r="P19" i="1"/>
  <c r="M19" i="1"/>
  <c r="I19" i="1"/>
  <c r="H19" i="1"/>
  <c r="G19" i="1"/>
  <c r="F19" i="1"/>
  <c r="E19" i="1"/>
  <c r="K18" i="1"/>
  <c r="D18" i="1" s="1"/>
  <c r="E18" i="1"/>
  <c r="E15" i="1" s="1"/>
  <c r="K17" i="1"/>
  <c r="C17" i="1"/>
  <c r="D16" i="1"/>
  <c r="C16" i="1"/>
  <c r="AC15" i="1"/>
  <c r="AB15" i="1"/>
  <c r="AA15" i="1"/>
  <c r="Z15" i="1"/>
  <c r="Y15" i="1"/>
  <c r="X15" i="1"/>
  <c r="W15" i="1"/>
  <c r="V15" i="1"/>
  <c r="U15" i="1"/>
  <c r="T15" i="1"/>
  <c r="R15" i="1"/>
  <c r="Q15" i="1"/>
  <c r="L15" i="1"/>
  <c r="J15" i="1"/>
  <c r="I15" i="1"/>
  <c r="H15" i="1"/>
  <c r="G15" i="1"/>
  <c r="F15" i="1"/>
  <c r="Z14" i="1"/>
  <c r="U14" i="1"/>
  <c r="P14" i="1"/>
  <c r="K14" i="1"/>
  <c r="C14" i="1"/>
  <c r="Z13" i="1"/>
  <c r="U13" i="1"/>
  <c r="P13" i="1"/>
  <c r="K13" i="1"/>
  <c r="F13" i="1"/>
  <c r="C13" i="1"/>
  <c r="Z12" i="1"/>
  <c r="S11" i="1"/>
  <c r="R11" i="1"/>
  <c r="C12" i="1"/>
  <c r="AC11" i="1"/>
  <c r="AB11" i="1"/>
  <c r="AA11" i="1"/>
  <c r="Y11" i="1"/>
  <c r="W11" i="1"/>
  <c r="V11" i="1"/>
  <c r="T11" i="1"/>
  <c r="Q11" i="1"/>
  <c r="O11" i="1"/>
  <c r="M11" i="1"/>
  <c r="L11" i="1"/>
  <c r="I11" i="1"/>
  <c r="H11" i="1"/>
  <c r="G11" i="1"/>
  <c r="E11" i="1"/>
  <c r="C469" i="5"/>
  <c r="W426" i="5"/>
  <c r="R426" i="5"/>
  <c r="M426" i="5"/>
  <c r="W425" i="5"/>
  <c r="R425" i="5"/>
  <c r="M425" i="5"/>
  <c r="H425" i="5"/>
  <c r="C425" i="5"/>
  <c r="M416" i="5"/>
  <c r="H416" i="5"/>
  <c r="C416" i="5"/>
  <c r="M395" i="5"/>
  <c r="H395" i="5"/>
  <c r="C395" i="5"/>
  <c r="M360" i="5"/>
  <c r="H360" i="5"/>
  <c r="C360" i="5"/>
  <c r="W142" i="5"/>
  <c r="R142" i="5"/>
  <c r="M142" i="5"/>
  <c r="H142" i="5"/>
  <c r="M118" i="5"/>
  <c r="H118" i="5"/>
  <c r="C100" i="5"/>
  <c r="AB100" i="5" s="1"/>
  <c r="M29" i="5"/>
  <c r="H29" i="5"/>
  <c r="C29" i="5"/>
  <c r="M10" i="5"/>
  <c r="H10" i="5"/>
  <c r="C10" i="5"/>
  <c r="S52" i="1" l="1"/>
  <c r="T52" i="1"/>
  <c r="X52" i="1"/>
  <c r="U41" i="4" s="1"/>
  <c r="H96" i="4"/>
  <c r="E84" i="4"/>
  <c r="M96" i="4"/>
  <c r="J84" i="4"/>
  <c r="P100" i="1"/>
  <c r="Z100" i="1"/>
  <c r="S468" i="1"/>
  <c r="D542" i="1"/>
  <c r="J468" i="1"/>
  <c r="O468" i="1"/>
  <c r="P440" i="1"/>
  <c r="P437" i="1"/>
  <c r="J554" i="1"/>
  <c r="J556" i="1" s="1"/>
  <c r="D551" i="1"/>
  <c r="O43" i="4"/>
  <c r="Y43" i="4"/>
  <c r="O49" i="4"/>
  <c r="P11" i="1"/>
  <c r="M470" i="5"/>
  <c r="D497" i="1"/>
  <c r="D495" i="1"/>
  <c r="D493" i="1"/>
  <c r="D491" i="1"/>
  <c r="D489" i="1"/>
  <c r="D487" i="1"/>
  <c r="D485" i="1"/>
  <c r="D499" i="1"/>
  <c r="D501" i="1"/>
  <c r="D503" i="1"/>
  <c r="D505" i="1"/>
  <c r="D507" i="1"/>
  <c r="D509" i="1"/>
  <c r="D511" i="1"/>
  <c r="D513" i="1"/>
  <c r="D515" i="1"/>
  <c r="T43" i="4"/>
  <c r="O45" i="4"/>
  <c r="D517" i="1"/>
  <c r="D519" i="1"/>
  <c r="AD79" i="4"/>
  <c r="Y96" i="4"/>
  <c r="T96" i="4"/>
  <c r="D443" i="1"/>
  <c r="D445" i="1"/>
  <c r="D447" i="1"/>
  <c r="D449" i="1"/>
  <c r="D451" i="1"/>
  <c r="D453" i="1"/>
  <c r="D455" i="1"/>
  <c r="D457" i="1"/>
  <c r="D459" i="1"/>
  <c r="D461" i="1"/>
  <c r="D463" i="1"/>
  <c r="D484" i="1"/>
  <c r="D486" i="1"/>
  <c r="D488" i="1"/>
  <c r="D490" i="1"/>
  <c r="D492" i="1"/>
  <c r="D494" i="1"/>
  <c r="D496" i="1"/>
  <c r="D498" i="1"/>
  <c r="D500" i="1"/>
  <c r="D502" i="1"/>
  <c r="D504" i="1"/>
  <c r="D506" i="1"/>
  <c r="D508" i="1"/>
  <c r="D510" i="1"/>
  <c r="D512" i="1"/>
  <c r="D514" i="1"/>
  <c r="D516" i="1"/>
  <c r="Z534" i="1"/>
  <c r="D536" i="1"/>
  <c r="D545" i="1"/>
  <c r="D442" i="1"/>
  <c r="D444" i="1"/>
  <c r="D446" i="1"/>
  <c r="D448" i="1"/>
  <c r="D450" i="1"/>
  <c r="D452" i="1"/>
  <c r="D454" i="1"/>
  <c r="D456" i="1"/>
  <c r="D458" i="1"/>
  <c r="D460" i="1"/>
  <c r="D462" i="1"/>
  <c r="D544" i="1"/>
  <c r="D471" i="1"/>
  <c r="D470" i="1" s="1"/>
  <c r="K476" i="1"/>
  <c r="D549" i="1"/>
  <c r="D552" i="1"/>
  <c r="D528" i="1"/>
  <c r="D530" i="1"/>
  <c r="D538" i="1"/>
  <c r="D540" i="1"/>
  <c r="D527" i="1"/>
  <c r="D529" i="1"/>
  <c r="D531" i="1"/>
  <c r="D533" i="1"/>
  <c r="D539" i="1"/>
  <c r="D550" i="1"/>
  <c r="J94" i="4"/>
  <c r="D518" i="1"/>
  <c r="D520" i="1"/>
  <c r="D522" i="1"/>
  <c r="D524" i="1"/>
  <c r="D526" i="1"/>
  <c r="D547" i="1"/>
  <c r="D438" i="1"/>
  <c r="D477" i="1"/>
  <c r="D479" i="1"/>
  <c r="D481" i="1"/>
  <c r="D532" i="1"/>
  <c r="K58" i="1"/>
  <c r="D308" i="1"/>
  <c r="Z437" i="1"/>
  <c r="D521" i="1"/>
  <c r="D523" i="1"/>
  <c r="D525" i="1"/>
  <c r="D535" i="1"/>
  <c r="D537" i="1"/>
  <c r="D546" i="1"/>
  <c r="D548" i="1"/>
  <c r="D439" i="1"/>
  <c r="D478" i="1"/>
  <c r="D480" i="1"/>
  <c r="D482" i="1"/>
  <c r="D541" i="1"/>
  <c r="D553" i="1"/>
  <c r="AD28" i="4"/>
  <c r="W470" i="5"/>
  <c r="N468" i="1"/>
  <c r="K300" i="1"/>
  <c r="K43" i="4"/>
  <c r="J43" i="4" s="1"/>
  <c r="C62" i="1"/>
  <c r="N52" i="1"/>
  <c r="R470" i="5"/>
  <c r="H470" i="5"/>
  <c r="AD29" i="4"/>
  <c r="AD22" i="4"/>
  <c r="K126" i="1"/>
  <c r="N71" i="1"/>
  <c r="K42" i="4" s="1"/>
  <c r="J36" i="4"/>
  <c r="J90" i="4" s="1"/>
  <c r="J46" i="4"/>
  <c r="K45" i="4"/>
  <c r="K483" i="1"/>
  <c r="F440" i="1"/>
  <c r="D130" i="1"/>
  <c r="D132" i="1"/>
  <c r="AA71" i="1"/>
  <c r="U300" i="1"/>
  <c r="D107" i="1"/>
  <c r="D131" i="1"/>
  <c r="D60" i="1"/>
  <c r="R554" i="1"/>
  <c r="AC19" i="1"/>
  <c r="AC52" i="1" s="1"/>
  <c r="Y71" i="1"/>
  <c r="D59" i="1"/>
  <c r="D61" i="1"/>
  <c r="D113" i="1"/>
  <c r="D134" i="1"/>
  <c r="C307" i="1"/>
  <c r="AG96" i="4"/>
  <c r="F71" i="1"/>
  <c r="J71" i="1"/>
  <c r="I71" i="1"/>
  <c r="F42" i="4" s="1"/>
  <c r="O71" i="1"/>
  <c r="G71" i="1"/>
  <c r="H71" i="1"/>
  <c r="G42" i="4" s="1"/>
  <c r="D266" i="1"/>
  <c r="Z42" i="4"/>
  <c r="S71" i="1"/>
  <c r="P42" i="4" s="1"/>
  <c r="T71" i="1"/>
  <c r="AB142" i="5"/>
  <c r="AF90" i="4"/>
  <c r="AE90" i="4"/>
  <c r="F300" i="1"/>
  <c r="E71" i="1"/>
  <c r="L71" i="1"/>
  <c r="Q71" i="1"/>
  <c r="V71" i="1"/>
  <c r="AA42" i="4"/>
  <c r="R71" i="1"/>
  <c r="Q42" i="4" s="1"/>
  <c r="V42" i="4"/>
  <c r="O94" i="4"/>
  <c r="AH96" i="4"/>
  <c r="F126" i="1"/>
  <c r="AF96" i="4"/>
  <c r="AH90" i="4"/>
  <c r="AG90" i="4"/>
  <c r="AE84" i="4"/>
  <c r="F96" i="4"/>
  <c r="AE96" i="4" s="1"/>
  <c r="C470" i="5"/>
  <c r="H126" i="1"/>
  <c r="G45" i="4" s="1"/>
  <c r="C126" i="1"/>
  <c r="I126" i="1"/>
  <c r="F45" i="4" s="1"/>
  <c r="E94" i="4"/>
  <c r="U94" i="4"/>
  <c r="C440" i="1"/>
  <c r="Z440" i="1"/>
  <c r="I52" i="1"/>
  <c r="W52" i="1"/>
  <c r="R52" i="1"/>
  <c r="K15" i="1"/>
  <c r="D15" i="1" s="1"/>
  <c r="G52" i="1"/>
  <c r="H52" i="1"/>
  <c r="J52" i="1"/>
  <c r="H43" i="4"/>
  <c r="E43" i="4" s="1"/>
  <c r="Q42" i="1"/>
  <c r="Q41" i="1" s="1"/>
  <c r="Q52" i="1" s="1"/>
  <c r="E41" i="1"/>
  <c r="E52" i="1" s="1"/>
  <c r="C15" i="1"/>
  <c r="U54" i="1"/>
  <c r="U71" i="1" s="1"/>
  <c r="H554" i="1"/>
  <c r="I554" i="1"/>
  <c r="I556" i="1" s="1"/>
  <c r="N554" i="1"/>
  <c r="AA554" i="1"/>
  <c r="E554" i="1"/>
  <c r="Q554" i="1"/>
  <c r="AB554" i="1"/>
  <c r="M554" i="1"/>
  <c r="G554" i="1"/>
  <c r="L554" i="1"/>
  <c r="C437" i="1"/>
  <c r="Z45" i="4"/>
  <c r="K47" i="4"/>
  <c r="P47" i="4"/>
  <c r="V47" i="4"/>
  <c r="U47" i="4"/>
  <c r="C300" i="1"/>
  <c r="L47" i="4"/>
  <c r="R300" i="1"/>
  <c r="Q47" i="4" s="1"/>
  <c r="Z47" i="4"/>
  <c r="Y47" i="4" s="1"/>
  <c r="F39" i="1"/>
  <c r="AA45" i="4"/>
  <c r="H468" i="1"/>
  <c r="M468" i="1"/>
  <c r="AB468" i="1"/>
  <c r="Z147" i="1"/>
  <c r="D147" i="1" s="1"/>
  <c r="C27" i="1"/>
  <c r="Z148" i="1"/>
  <c r="D148" i="1" s="1"/>
  <c r="E468" i="1"/>
  <c r="AA468" i="1"/>
  <c r="AG84" i="4"/>
  <c r="Z36" i="1"/>
  <c r="AD64" i="4"/>
  <c r="AH67" i="4"/>
  <c r="AH84" i="4"/>
  <c r="X307" i="1"/>
  <c r="X468" i="1" s="1"/>
  <c r="X556" i="1" s="1"/>
  <c r="AB395" i="5"/>
  <c r="Z476" i="1"/>
  <c r="AF67" i="4"/>
  <c r="AB29" i="5"/>
  <c r="AB360" i="5"/>
  <c r="P142" i="1"/>
  <c r="D142" i="1" s="1"/>
  <c r="P146" i="1"/>
  <c r="D146" i="1" s="1"/>
  <c r="AF36" i="4"/>
  <c r="AD72" i="4"/>
  <c r="G468" i="1"/>
  <c r="Q468" i="1"/>
  <c r="Z11" i="1"/>
  <c r="K35" i="1"/>
  <c r="M54" i="1"/>
  <c r="P476" i="1"/>
  <c r="C58" i="1"/>
  <c r="D14" i="1"/>
  <c r="U19" i="1"/>
  <c r="AB425" i="5"/>
  <c r="AB118" i="5"/>
  <c r="AB426" i="5"/>
  <c r="AB416" i="5"/>
  <c r="AD76" i="4"/>
  <c r="E77" i="4"/>
  <c r="AF84" i="4"/>
  <c r="E17" i="4"/>
  <c r="AD17" i="4" s="1"/>
  <c r="Y36" i="4"/>
  <c r="Y90" i="4" s="1"/>
  <c r="AG36" i="4"/>
  <c r="I87" i="4"/>
  <c r="AH50" i="4"/>
  <c r="S87" i="4"/>
  <c r="AC87" i="4"/>
  <c r="T94" i="4"/>
  <c r="O36" i="4"/>
  <c r="O90" i="4" s="1"/>
  <c r="AH36" i="4"/>
  <c r="J77" i="4"/>
  <c r="AD63" i="4"/>
  <c r="AG67" i="4"/>
  <c r="U11" i="1"/>
  <c r="C18" i="1"/>
  <c r="D22" i="1"/>
  <c r="AE36" i="4"/>
  <c r="D12" i="1"/>
  <c r="Y19" i="1"/>
  <c r="D56" i="1"/>
  <c r="M58" i="1"/>
  <c r="D74" i="1"/>
  <c r="Z153" i="1"/>
  <c r="D153" i="1" s="1"/>
  <c r="Z154" i="1"/>
  <c r="D154" i="1" s="1"/>
  <c r="Z158" i="1"/>
  <c r="D158" i="1" s="1"/>
  <c r="W87" i="4"/>
  <c r="AB35" i="1"/>
  <c r="AB52" i="1" s="1"/>
  <c r="D78" i="1"/>
  <c r="Z151" i="1"/>
  <c r="D151" i="1" s="1"/>
  <c r="Z156" i="1"/>
  <c r="D156" i="1" s="1"/>
  <c r="Z160" i="1"/>
  <c r="D160" i="1" s="1"/>
  <c r="K437" i="1"/>
  <c r="T36" i="4"/>
  <c r="T90" i="4" s="1"/>
  <c r="N87" i="4"/>
  <c r="X87" i="4"/>
  <c r="AD60" i="4"/>
  <c r="AD62" i="4"/>
  <c r="AB10" i="5"/>
  <c r="Z165" i="1"/>
  <c r="D165" i="1" s="1"/>
  <c r="P307" i="1"/>
  <c r="R87" i="4"/>
  <c r="AB87" i="4"/>
  <c r="P31" i="1"/>
  <c r="D34" i="1"/>
  <c r="D29" i="1"/>
  <c r="P58" i="1"/>
  <c r="D79" i="1"/>
  <c r="C31" i="1"/>
  <c r="D38" i="1"/>
  <c r="P138" i="1"/>
  <c r="D138" i="1" s="1"/>
  <c r="P140" i="1"/>
  <c r="D140" i="1" s="1"/>
  <c r="P143" i="1"/>
  <c r="D143" i="1" s="1"/>
  <c r="Z149" i="1"/>
  <c r="D149" i="1" s="1"/>
  <c r="Z152" i="1"/>
  <c r="D152" i="1" s="1"/>
  <c r="Z163" i="1"/>
  <c r="D163" i="1" s="1"/>
  <c r="Z164" i="1"/>
  <c r="D164" i="1" s="1"/>
  <c r="D169" i="1"/>
  <c r="D57" i="1"/>
  <c r="K304" i="1"/>
  <c r="D261" i="1"/>
  <c r="D260" i="1"/>
  <c r="D263" i="1"/>
  <c r="D73" i="1"/>
  <c r="K11" i="1"/>
  <c r="L42" i="1"/>
  <c r="V42" i="1"/>
  <c r="V41" i="1" s="1"/>
  <c r="V52" i="1" s="1"/>
  <c r="P136" i="1"/>
  <c r="D136" i="1" s="1"/>
  <c r="P139" i="1"/>
  <c r="D139" i="1" s="1"/>
  <c r="P144" i="1"/>
  <c r="D144" i="1" s="1"/>
  <c r="Z150" i="1"/>
  <c r="D150" i="1" s="1"/>
  <c r="Z155" i="1"/>
  <c r="D155" i="1" s="1"/>
  <c r="Z157" i="1"/>
  <c r="D157" i="1" s="1"/>
  <c r="Z159" i="1"/>
  <c r="D159" i="1" s="1"/>
  <c r="Z161" i="1"/>
  <c r="D161" i="1" s="1"/>
  <c r="Z162" i="1"/>
  <c r="D162" i="1" s="1"/>
  <c r="D256" i="1"/>
  <c r="D265" i="1"/>
  <c r="D259" i="1"/>
  <c r="U304" i="1"/>
  <c r="Y307" i="1"/>
  <c r="Y468" i="1" s="1"/>
  <c r="K470" i="1"/>
  <c r="P470" i="1"/>
  <c r="P483" i="1"/>
  <c r="Z483" i="1"/>
  <c r="S534" i="1"/>
  <c r="S554" i="1" s="1"/>
  <c r="D128" i="1"/>
  <c r="D257" i="1"/>
  <c r="C11" i="1"/>
  <c r="D13" i="1"/>
  <c r="F11" i="1"/>
  <c r="Z21" i="1"/>
  <c r="P23" i="1"/>
  <c r="D23" i="1" s="1"/>
  <c r="AA42" i="1"/>
  <c r="AA41" i="1" s="1"/>
  <c r="AA52" i="1" s="1"/>
  <c r="D262" i="1"/>
  <c r="W304" i="1"/>
  <c r="K31" i="1"/>
  <c r="D33" i="1"/>
  <c r="D37" i="1"/>
  <c r="D77" i="1"/>
  <c r="D80" i="1"/>
  <c r="Z104" i="1"/>
  <c r="D104" i="1" s="1"/>
  <c r="D258" i="1"/>
  <c r="D129" i="1"/>
  <c r="P137" i="1"/>
  <c r="D137" i="1" s="1"/>
  <c r="P141" i="1"/>
  <c r="D141" i="1" s="1"/>
  <c r="P145" i="1"/>
  <c r="D145" i="1" s="1"/>
  <c r="D264" i="1"/>
  <c r="F307" i="1"/>
  <c r="W468" i="1"/>
  <c r="C476" i="1"/>
  <c r="U437" i="1"/>
  <c r="D55" i="1"/>
  <c r="K54" i="1"/>
  <c r="P62" i="1"/>
  <c r="D62" i="1" s="1"/>
  <c r="D118" i="1"/>
  <c r="V468" i="1"/>
  <c r="K534" i="1"/>
  <c r="F534" i="1"/>
  <c r="D17" i="1"/>
  <c r="K28" i="1"/>
  <c r="M27" i="1"/>
  <c r="M52" i="1" s="1"/>
  <c r="P27" i="1"/>
  <c r="C35" i="1"/>
  <c r="AB304" i="1"/>
  <c r="Z302" i="1"/>
  <c r="E49" i="4"/>
  <c r="L468" i="1"/>
  <c r="K307" i="1"/>
  <c r="R468" i="1"/>
  <c r="T307" i="1"/>
  <c r="T468" i="1" s="1"/>
  <c r="T556" i="1" s="1"/>
  <c r="Z358" i="1"/>
  <c r="D358" i="1" s="1"/>
  <c r="AC468" i="1"/>
  <c r="Z470" i="1"/>
  <c r="F483" i="1"/>
  <c r="O483" i="1"/>
  <c r="O554" i="1" s="1"/>
  <c r="C483" i="1"/>
  <c r="J49" i="4"/>
  <c r="C470" i="1"/>
  <c r="Y470" i="1"/>
  <c r="Y554" i="1" s="1"/>
  <c r="F470" i="1"/>
  <c r="F476" i="1"/>
  <c r="Z543" i="1"/>
  <c r="D543" i="1" s="1"/>
  <c r="AH54" i="4"/>
  <c r="P52" i="1" l="1"/>
  <c r="U52" i="1"/>
  <c r="D100" i="1"/>
  <c r="D437" i="1"/>
  <c r="D440" i="1"/>
  <c r="P300" i="1"/>
  <c r="O556" i="1"/>
  <c r="P468" i="1"/>
  <c r="Y42" i="4"/>
  <c r="O47" i="4"/>
  <c r="O42" i="4"/>
  <c r="T47" i="4"/>
  <c r="Y45" i="4"/>
  <c r="K71" i="1"/>
  <c r="O96" i="4"/>
  <c r="T562" i="1"/>
  <c r="T560" i="1" s="1"/>
  <c r="J562" i="1"/>
  <c r="J560" i="1" s="1"/>
  <c r="D483" i="1"/>
  <c r="D534" i="1"/>
  <c r="Z307" i="1"/>
  <c r="G41" i="4"/>
  <c r="V41" i="4"/>
  <c r="T41" i="4" s="1"/>
  <c r="D476" i="1"/>
  <c r="H41" i="4"/>
  <c r="I562" i="1"/>
  <c r="I560" i="1" s="1"/>
  <c r="D307" i="1"/>
  <c r="U50" i="4"/>
  <c r="AA556" i="1"/>
  <c r="AA562" i="1" s="1"/>
  <c r="AA560" i="1" s="1"/>
  <c r="Y556" i="1"/>
  <c r="AD35" i="4"/>
  <c r="AD36" i="4" s="1"/>
  <c r="AB469" i="5"/>
  <c r="AB470" i="5" s="1"/>
  <c r="AD43" i="4"/>
  <c r="L41" i="1"/>
  <c r="K42" i="1"/>
  <c r="D42" i="1" s="1"/>
  <c r="D41" i="1" s="1"/>
  <c r="J96" i="4"/>
  <c r="I98" i="4"/>
  <c r="I85" i="4"/>
  <c r="AC98" i="4"/>
  <c r="AC85" i="4"/>
  <c r="N98" i="4"/>
  <c r="N85" i="4"/>
  <c r="X98" i="4"/>
  <c r="X85" i="4"/>
  <c r="S98" i="4"/>
  <c r="S85" i="4"/>
  <c r="D36" i="1"/>
  <c r="Z35" i="1"/>
  <c r="D35" i="1" s="1"/>
  <c r="F468" i="1"/>
  <c r="C468" i="1"/>
  <c r="R98" i="4"/>
  <c r="R85" i="4"/>
  <c r="W98" i="4"/>
  <c r="W85" i="4"/>
  <c r="AB98" i="4"/>
  <c r="AB85" i="4"/>
  <c r="E96" i="4"/>
  <c r="Y52" i="1"/>
  <c r="Y50" i="1" s="1"/>
  <c r="AB556" i="1"/>
  <c r="AA50" i="4" s="1"/>
  <c r="D58" i="1"/>
  <c r="D21" i="1"/>
  <c r="Z19" i="1"/>
  <c r="S556" i="1"/>
  <c r="P50" i="4" s="1"/>
  <c r="O50" i="4" s="1"/>
  <c r="Z126" i="1"/>
  <c r="M71" i="1"/>
  <c r="L42" i="4" s="1"/>
  <c r="J42" i="4" s="1"/>
  <c r="E36" i="4"/>
  <c r="E90" i="4" s="1"/>
  <c r="C71" i="1"/>
  <c r="AE59" i="4"/>
  <c r="Z94" i="4"/>
  <c r="AE94" i="4" s="1"/>
  <c r="Y94" i="4"/>
  <c r="F52" i="1"/>
  <c r="Z300" i="1"/>
  <c r="J47" i="4"/>
  <c r="E46" i="4"/>
  <c r="AD46" i="4" s="1"/>
  <c r="N556" i="1"/>
  <c r="K50" i="4" s="1"/>
  <c r="J50" i="4" s="1"/>
  <c r="L556" i="1"/>
  <c r="G556" i="1"/>
  <c r="G562" i="1" s="1"/>
  <c r="R556" i="1"/>
  <c r="R562" i="1" s="1"/>
  <c r="V556" i="1"/>
  <c r="V562" i="1" s="1"/>
  <c r="Q556" i="1"/>
  <c r="Q562" i="1" s="1"/>
  <c r="H556" i="1"/>
  <c r="H562" i="1" s="1"/>
  <c r="W556" i="1"/>
  <c r="V50" i="4" s="1"/>
  <c r="M556" i="1"/>
  <c r="E556" i="1"/>
  <c r="E562" i="1" s="1"/>
  <c r="K554" i="1"/>
  <c r="F554" i="1"/>
  <c r="P554" i="1"/>
  <c r="AC554" i="1"/>
  <c r="Z554" i="1" s="1"/>
  <c r="P534" i="1"/>
  <c r="Q41" i="4"/>
  <c r="P41" i="4"/>
  <c r="F41" i="4"/>
  <c r="F54" i="4" s="1"/>
  <c r="F52" i="4" s="1"/>
  <c r="AD59" i="4"/>
  <c r="U307" i="1"/>
  <c r="C534" i="1"/>
  <c r="C554" i="1" s="1"/>
  <c r="AH87" i="4"/>
  <c r="AH98" i="4" s="1"/>
  <c r="D11" i="1"/>
  <c r="Z41" i="4"/>
  <c r="AA49" i="4"/>
  <c r="Y49" i="4" s="1"/>
  <c r="V49" i="4"/>
  <c r="T49" i="4" s="1"/>
  <c r="AD77" i="4"/>
  <c r="AD84" i="4" s="1"/>
  <c r="U42" i="4"/>
  <c r="T42" i="4" s="1"/>
  <c r="E45" i="4"/>
  <c r="AE62" i="4"/>
  <c r="AE60" i="4"/>
  <c r="D54" i="1"/>
  <c r="D31" i="1"/>
  <c r="E42" i="4"/>
  <c r="L41" i="4"/>
  <c r="K41" i="4"/>
  <c r="K468" i="1"/>
  <c r="Z304" i="1"/>
  <c r="D304" i="1" s="1"/>
  <c r="D302" i="1"/>
  <c r="K27" i="1"/>
  <c r="D28" i="1"/>
  <c r="D27" i="1" s="1"/>
  <c r="U468" i="1"/>
  <c r="U556" i="1" s="1"/>
  <c r="D20" i="1"/>
  <c r="AD67" i="4" l="1"/>
  <c r="AD94" i="4" s="1"/>
  <c r="S562" i="1"/>
  <c r="S560" i="1" s="1"/>
  <c r="D468" i="1"/>
  <c r="O41" i="4"/>
  <c r="T50" i="4"/>
  <c r="AD96" i="4"/>
  <c r="Y562" i="1"/>
  <c r="Y560" i="1" s="1"/>
  <c r="E560" i="1"/>
  <c r="AB562" i="1"/>
  <c r="AB560" i="1" s="1"/>
  <c r="Q560" i="1"/>
  <c r="M562" i="1"/>
  <c r="M560" i="1" s="1"/>
  <c r="V560" i="1"/>
  <c r="N562" i="1"/>
  <c r="N560" i="1" s="1"/>
  <c r="D554" i="1"/>
  <c r="Z52" i="1"/>
  <c r="L52" i="1"/>
  <c r="K41" i="1"/>
  <c r="K52" i="1" s="1"/>
  <c r="AC556" i="1"/>
  <c r="D300" i="1"/>
  <c r="AD47" i="4"/>
  <c r="AD90" i="4"/>
  <c r="AE67" i="4"/>
  <c r="AD42" i="4"/>
  <c r="AD49" i="4"/>
  <c r="K54" i="4"/>
  <c r="F556" i="1"/>
  <c r="Q54" i="4"/>
  <c r="Q52" i="4" s="1"/>
  <c r="L54" i="4"/>
  <c r="L52" i="4" s="1"/>
  <c r="K556" i="1"/>
  <c r="P556" i="1"/>
  <c r="P562" i="1" s="1"/>
  <c r="P560" i="1" s="1"/>
  <c r="C556" i="1"/>
  <c r="E41" i="4"/>
  <c r="P54" i="4"/>
  <c r="R560" i="1"/>
  <c r="H50" i="4"/>
  <c r="H54" i="4" s="1"/>
  <c r="H52" i="4" s="1"/>
  <c r="G560" i="1"/>
  <c r="G50" i="4"/>
  <c r="G54" i="4" s="1"/>
  <c r="G52" i="4" s="1"/>
  <c r="H560" i="1"/>
  <c r="AA41" i="4"/>
  <c r="AA54" i="4" s="1"/>
  <c r="AA52" i="4" s="1"/>
  <c r="Z468" i="1"/>
  <c r="Z556" i="1" s="1"/>
  <c r="D19" i="1"/>
  <c r="D52" i="1" s="1"/>
  <c r="J45" i="4"/>
  <c r="Y41" i="4" l="1"/>
  <c r="P52" i="4"/>
  <c r="O52" i="4" s="1"/>
  <c r="O54" i="4"/>
  <c r="D556" i="1"/>
  <c r="Z562" i="1"/>
  <c r="Z560" i="1" s="1"/>
  <c r="E52" i="4"/>
  <c r="M41" i="4"/>
  <c r="M54" i="4" s="1"/>
  <c r="M52" i="4" s="1"/>
  <c r="L562" i="1"/>
  <c r="L560" i="1" s="1"/>
  <c r="K87" i="4"/>
  <c r="K85" i="4" s="1"/>
  <c r="K52" i="4"/>
  <c r="F562" i="1"/>
  <c r="F560" i="1" s="1"/>
  <c r="AC562" i="1"/>
  <c r="AC560" i="1" s="1"/>
  <c r="Z50" i="4"/>
  <c r="Y50" i="4" s="1"/>
  <c r="P92" i="4"/>
  <c r="K92" i="4"/>
  <c r="AA92" i="4"/>
  <c r="H92" i="4"/>
  <c r="L87" i="4"/>
  <c r="L92" i="4"/>
  <c r="Q87" i="4"/>
  <c r="Q92" i="4"/>
  <c r="P87" i="4"/>
  <c r="E50" i="4"/>
  <c r="AA87" i="4"/>
  <c r="AA85" i="4" s="1"/>
  <c r="AG50" i="4"/>
  <c r="H87" i="4"/>
  <c r="O87" i="4" l="1"/>
  <c r="J41" i="4"/>
  <c r="J54" i="4" s="1"/>
  <c r="J87" i="4" s="1"/>
  <c r="J85" i="4" s="1"/>
  <c r="M87" i="4"/>
  <c r="M98" i="4" s="1"/>
  <c r="AG54" i="4"/>
  <c r="AG87" i="4" s="1"/>
  <c r="AG98" i="4" s="1"/>
  <c r="M92" i="4"/>
  <c r="AG92" i="4" s="1"/>
  <c r="J52" i="4"/>
  <c r="Z54" i="4"/>
  <c r="E54" i="4"/>
  <c r="E87" i="4" s="1"/>
  <c r="E85" i="4" s="1"/>
  <c r="AD50" i="4"/>
  <c r="AA98" i="4"/>
  <c r="P98" i="4"/>
  <c r="P85" i="4"/>
  <c r="Q98" i="4"/>
  <c r="Q85" i="4"/>
  <c r="K98" i="4"/>
  <c r="L98" i="4"/>
  <c r="L85" i="4"/>
  <c r="H98" i="4"/>
  <c r="H85" i="4"/>
  <c r="AE50" i="4"/>
  <c r="F92" i="4"/>
  <c r="AF50" i="4"/>
  <c r="G92" i="4"/>
  <c r="F87" i="4"/>
  <c r="G87" i="4"/>
  <c r="Y54" i="4"/>
  <c r="O85" i="4" l="1"/>
  <c r="J92" i="4"/>
  <c r="AD41" i="4"/>
  <c r="M85" i="4"/>
  <c r="Z52" i="4"/>
  <c r="Y52" i="4" s="1"/>
  <c r="Z92" i="4"/>
  <c r="Z87" i="4"/>
  <c r="G98" i="4"/>
  <c r="G85" i="4"/>
  <c r="F98" i="4"/>
  <c r="F85" i="4"/>
  <c r="J98" i="4"/>
  <c r="E92" i="4"/>
  <c r="E98" i="4"/>
  <c r="O92" i="4"/>
  <c r="Y92" i="4"/>
  <c r="W126" i="1"/>
  <c r="Z98" i="4" l="1"/>
  <c r="Y87" i="4"/>
  <c r="Y98" i="4" s="1"/>
  <c r="V45" i="4"/>
  <c r="V54" i="4" s="1"/>
  <c r="V52" i="4" s="1"/>
  <c r="W562" i="1"/>
  <c r="W560" i="1" s="1"/>
  <c r="Z85" i="4"/>
  <c r="Y85" i="4" s="1"/>
  <c r="O98" i="4"/>
  <c r="U108" i="1"/>
  <c r="D108" i="1" s="1"/>
  <c r="X126" i="1"/>
  <c r="AF54" i="4" l="1"/>
  <c r="AF87" i="4" s="1"/>
  <c r="AF98" i="4" s="1"/>
  <c r="V87" i="4"/>
  <c r="V98" i="4" s="1"/>
  <c r="V92" i="4"/>
  <c r="AF92" i="4" s="1"/>
  <c r="U45" i="4"/>
  <c r="T45" i="4" s="1"/>
  <c r="X562" i="1"/>
  <c r="X560" i="1" s="1"/>
  <c r="D126" i="1"/>
  <c r="U126" i="1"/>
  <c r="V85" i="4" l="1"/>
  <c r="U54" i="4"/>
  <c r="U562" i="1"/>
  <c r="U560" i="1" s="1"/>
  <c r="AD45" i="4"/>
  <c r="AD54" i="4" s="1"/>
  <c r="AD87" i="4" s="1"/>
  <c r="U52" i="4" l="1"/>
  <c r="T54" i="4"/>
  <c r="T92" i="4" s="1"/>
  <c r="AE54" i="4"/>
  <c r="AE87" i="4" s="1"/>
  <c r="AE98" i="4" s="1"/>
  <c r="U87" i="4"/>
  <c r="U92" i="4"/>
  <c r="AE92" i="4" s="1"/>
  <c r="AD98" i="4"/>
  <c r="AD92" i="4"/>
  <c r="T52" i="4" l="1"/>
  <c r="AD52" i="4" s="1"/>
  <c r="U98" i="4"/>
  <c r="T87" i="4"/>
  <c r="T98" i="4" s="1"/>
  <c r="U85" i="4"/>
  <c r="T85" i="4" s="1"/>
  <c r="AD85" i="4" s="1"/>
  <c r="C23" i="1"/>
  <c r="C22" i="1"/>
  <c r="O19" i="1"/>
  <c r="O52" i="1" s="1"/>
  <c r="O562" i="1" s="1"/>
  <c r="O560" i="1" s="1"/>
  <c r="C19" i="1" l="1"/>
  <c r="C52" i="1" s="1"/>
  <c r="D562" i="1"/>
  <c r="D560" i="1" s="1"/>
  <c r="K562" i="1"/>
  <c r="K560" i="1" s="1"/>
</calcChain>
</file>

<file path=xl/comments1.xml><?xml version="1.0" encoding="utf-8"?>
<comments xmlns="http://schemas.openxmlformats.org/spreadsheetml/2006/main">
  <authors>
    <author>krasnova.ai</author>
  </authors>
  <commentList>
    <comment ref="B109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2022 года
</t>
        </r>
      </text>
    </comment>
  </commentList>
</comments>
</file>

<file path=xl/comments2.xml><?xml version="1.0" encoding="utf-8"?>
<comments xmlns="http://schemas.openxmlformats.org/spreadsheetml/2006/main">
  <authors>
    <author>krasnova.ai</author>
    <author>Щербакова Екатерина Александровна</author>
  </authors>
  <commentList>
    <comment ref="Y31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</t>
        </r>
      </text>
    </comment>
    <comment ref="A50" authorId="1" shapeId="0">
      <text>
        <r>
          <rPr>
            <b/>
            <sz val="9"/>
            <color indexed="81"/>
            <rFont val="Tahoma"/>
            <charset val="1"/>
          </rPr>
          <t>Щербакова Екатерина Александровна:</t>
        </r>
        <r>
          <rPr>
            <sz val="9"/>
            <color indexed="81"/>
            <rFont val="Tahoma"/>
            <charset val="1"/>
          </rPr>
          <t xml:space="preserve">
Добавили новое мероприятие</t>
        </r>
      </text>
    </comment>
    <comment ref="B92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наименование!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2 проекта (когда добавят областное финансирование добавить 1 индикатор)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3 проекта</t>
        </r>
      </text>
    </comment>
  </commentList>
</comments>
</file>

<file path=xl/comments3.xml><?xml version="1.0" encoding="utf-8"?>
<comments xmlns="http://schemas.openxmlformats.org/spreadsheetml/2006/main">
  <authors>
    <author>krasnova.ai</author>
    <author>Щербакова Екатерина Александровна</author>
  </authors>
  <commentList>
    <comment ref="G88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ремонт и дворы</t>
        </r>
      </text>
    </comment>
    <comment ref="I91" authorId="1" shapeId="0">
      <text>
        <r>
          <rPr>
            <b/>
            <sz val="9"/>
            <color indexed="81"/>
            <rFont val="Tahoma"/>
            <family val="2"/>
            <charset val="204"/>
          </rPr>
          <t>Щербакова Екатерина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=5,8-5,8
</t>
        </r>
      </text>
    </comment>
  </commentList>
</comments>
</file>

<file path=xl/sharedStrings.xml><?xml version="1.0" encoding="utf-8"?>
<sst xmlns="http://schemas.openxmlformats.org/spreadsheetml/2006/main" count="2634" uniqueCount="1832">
  <si>
    <t>Наименование мероприятий по объектам</t>
  </si>
  <si>
    <t>1.1.</t>
  </si>
  <si>
    <t>2.1.</t>
  </si>
  <si>
    <t>4.2.</t>
  </si>
  <si>
    <t>Капитальный ремонт автодороги по ул. Радищева (от ул. Октябрьская до ул. Новозаводская)</t>
  </si>
  <si>
    <t>всего, тыс.руб.</t>
  </si>
  <si>
    <t>областной бюджет, тыс.руб.</t>
  </si>
  <si>
    <t>Осуществление строительного контроля на объекте: Капитальный ремонт автодороги по ул. Радищева (от ул. Октябрьская до ул. Новозаводская)</t>
  </si>
  <si>
    <t>1.1.1.</t>
  </si>
  <si>
    <t>2.1.1.</t>
  </si>
  <si>
    <t>1.2.</t>
  </si>
  <si>
    <t>1.2.1.</t>
  </si>
  <si>
    <t>1.2.2.</t>
  </si>
  <si>
    <t>местный бюджет, тыс.руб.</t>
  </si>
  <si>
    <t>Южное шоссе (от ул. Полякова до ул. Тополиной)</t>
  </si>
  <si>
    <t>Южное шоссе (от ул. Тополиной до Автозаводского шоссе)</t>
  </si>
  <si>
    <t>пр-т Степана Разина от проспекта Ленинский до ул. Спортивной, иск. КТР б-р Приморский - пр-т Степана Разина, пр-т Ленинский - пр-т Степана Разина</t>
  </si>
  <si>
    <t>ул. 40 лет Победы от Южного шоссе до ул. Дзержинского</t>
  </si>
  <si>
    <t>б-р 50 лет Октября (от ул. Новозаводская до Автозаводского шоссе)</t>
  </si>
  <si>
    <t>Хрящевское шоссе от Обводного шоссе до пересечения Южного и Автозаводского шоссе</t>
  </si>
  <si>
    <t>Хрящевское шоссе от Обводного шоссе до г.о. Тольятти</t>
  </si>
  <si>
    <t>Стоимость работ по годам, тыс.руб.</t>
  </si>
  <si>
    <t>ул. Диагональная от ул. Баныкина до ул. Кунеевская</t>
  </si>
  <si>
    <t>Комсомольское шоссе</t>
  </si>
  <si>
    <t>Южное шоссе от ул. Заставная до границы г.о. Тольятти</t>
  </si>
  <si>
    <t>1.1.2.</t>
  </si>
  <si>
    <t>1.3.</t>
  </si>
  <si>
    <t>1.2.3.</t>
  </si>
  <si>
    <t>Ремонт дворовых территорий многоквартирных домов и проездов к дворовым территориям многоквартирных домов городского округа Тольятти</t>
  </si>
  <si>
    <t>Оказание услуг по диагностике и оценке транспортно-эксплуатационного состояния автомобильных дорог общего пользования местного значения городского округа Тольятти</t>
  </si>
  <si>
    <t>Оказание услуг по техническому учету и паспортизации автомобильных дорог общего пользования местного значения городского округа Тольятти</t>
  </si>
  <si>
    <t>2021 год</t>
  </si>
  <si>
    <t>2022 год</t>
  </si>
  <si>
    <t>2023 год</t>
  </si>
  <si>
    <t>2024 год</t>
  </si>
  <si>
    <t>2025 год</t>
  </si>
  <si>
    <t>1.1.3.</t>
  </si>
  <si>
    <t xml:space="preserve">Строительство магистральной улицы общегородского значения регулируемого движения в продолжение ул. Фермерской до Южного шоссе </t>
  </si>
  <si>
    <t>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</si>
  <si>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</si>
  <si>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</si>
  <si>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Строительство улицы Казачья в жилой застройке  микрорайона Жигулевское море от ул. Ивана Красюка  до ул. Бориса Коваленко</t>
  </si>
  <si>
    <t>Осуществление строительного контроля на объекте: Строительство улицы Казачья в жилой застройке  микрорайона Жигулевское море от ул. Ивана Красюка  до ул. Бориса Коваленко</t>
  </si>
  <si>
    <t>Осуществление авторского надзора на объекте: Строительство улицы Казачья в жилой застройке  микрорайона Жигулевское море от ул. Ивана Красюка  до ул. Бориса Коваленко</t>
  </si>
  <si>
    <t>улица Нижнегородская от Майского проезда до ГСК "Полина"</t>
  </si>
  <si>
    <t>Капитальный ремонт автодороги по ул. Октябрьская (от ул. Комсомольская до б-ра 50 лет Октября, г. Тольятти, Самарской области)</t>
  </si>
  <si>
    <t>Осуществление строительного контроля на объекте: Капитальный ремонт автодороги по ул. Октябрьская (от ул. Комсомольская до б-ра 50 лет Октября, г. Тольятти, Самарской области)</t>
  </si>
  <si>
    <t>автодорога по улице Скрябина от улицы Олимпийская до улицы Вавилова</t>
  </si>
  <si>
    <t>автодорога к турбазе "Волна" от Комсомольского шоссе до турбазы "Волна"</t>
  </si>
  <si>
    <t>автодорога  Поволжское шоссе от улицы Громовой до СНТ "Наука"</t>
  </si>
  <si>
    <t>автодорога Поволжское шоссе от СНТ "Наука" до Тольятти - Азот</t>
  </si>
  <si>
    <t>автодорога по улице Ровная от ул. Железнодорожная до УР 65/16</t>
  </si>
  <si>
    <t>подъездная дорога к детскому саду "Олимпия" от улицы Коммунистическая до д/сада "Олимпия"</t>
  </si>
  <si>
    <t>автодорога по бульвару Островского от улицы Краснодонцев до улицы Коммунистическая</t>
  </si>
  <si>
    <t>Осуществление строительного контроля на объекте: Капитальный ремонт автодороги по улице Никонова от  улицы Железнодорожная  до улицы Ингельберга</t>
  </si>
  <si>
    <t>Капитальный ремонт автодороги по улице Никонова от  улицы Железнодорожная  до улицы Ингельберга</t>
  </si>
  <si>
    <t>Капитальный ремонт автодороги по улице Базовая от ул. Комсомольская до улицы Ларина</t>
  </si>
  <si>
    <t>Осуществление строительного контроля на объекте: Капитальный ремонт автодороги по улице Базовая от ул. Комсомольская до улицы Ларина</t>
  </si>
  <si>
    <t>автодорога по улице Революционная от улицы Дзержинского по проспекта Ленинский</t>
  </si>
  <si>
    <t>автодорога по улице Энергетиков от улицы Куйбышева до строения №23 по ул. Энергетиков</t>
  </si>
  <si>
    <t xml:space="preserve">автодорога по улице Менделеева от улицы Калужской до улицы Бориса Коваленко </t>
  </si>
  <si>
    <t>автодорога по улице Учительская от улицы Ингельберга до проезда Ученический</t>
  </si>
  <si>
    <t>автодорога по улице Грибоедова от улицы Ингельберга до улицы Краснознамённая</t>
  </si>
  <si>
    <t>автодорога по переулку 1 Горный от улицы Пионерской до улицы Попова</t>
  </si>
  <si>
    <t>автодорога по Лесопарковому шоссе от улицы Спортивной до Лесопаркового шоссе,42</t>
  </si>
  <si>
    <t>автодорога по улице Коммунистической от улицы Есенина до улицы Куйбышева</t>
  </si>
  <si>
    <t>автодорога по улице Никонова до границы шлюза 23-24</t>
  </si>
  <si>
    <t>автодорога по улице Академика Вавилова (от дома по улице Скрябина,13) до ул. Пескалинская</t>
  </si>
  <si>
    <t>автодорога по Обводной дороге в МКР Прибрежный</t>
  </si>
  <si>
    <t>автодорога к троллейбусному депо №30</t>
  </si>
  <si>
    <t>автодорога от улицы Громовой к проходной ООО "ТЗПО"</t>
  </si>
  <si>
    <t>автодорога от ул. Громовой до здания "Фабрика качества"</t>
  </si>
  <si>
    <t>местный бюджет, тыс. руб.</t>
  </si>
  <si>
    <t>4.1.</t>
  </si>
  <si>
    <t>4.3.</t>
  </si>
  <si>
    <t>Капитальный ремонт автодороги по ул. Северная от дома №39 по улице Северная до улицы Цеховая</t>
  </si>
  <si>
    <t>Осуществление строительного контроля на объекте: Капитальный ремонт автодороги по ул. Северная от дома №39 по улице Северная до улицы Цеховая</t>
  </si>
  <si>
    <t>2.1.2.</t>
  </si>
  <si>
    <t>Строительство улично-дорожной сети западнее Московского проспекта - первая очередь</t>
  </si>
  <si>
    <t>Осуществление строительного контроля на объекте: Строительство улично-дорожной сети западнее Московского проспекта - первая очередь</t>
  </si>
  <si>
    <t>Осуществление авторского надзора на объекте: Строительство улично-дорожной сети западнее Московского проспекта - первая очередь</t>
  </si>
  <si>
    <t>3.1.</t>
  </si>
  <si>
    <t>3.2.</t>
  </si>
  <si>
    <t>Строительство магистральной улицы общегородского значения регулируемого движения в продолжение ул. Фермерской до Южного шоссе</t>
  </si>
  <si>
    <t xml:space="preserve">Осуществление авторского надзора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</si>
  <si>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>Осуществление авторского надзора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</si>
  <si>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</si>
  <si>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Осуществление строительного контроля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</si>
  <si>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движения)</t>
  </si>
  <si>
    <t>ИТОГО ПО ПОДПРОГРАММЕ "РГПТ"</t>
  </si>
  <si>
    <t>2021-2025</t>
  </si>
  <si>
    <t xml:space="preserve">Департамент дорожного хозяйства и транспорта администрации городского округа Тольятти </t>
  </si>
  <si>
    <t xml:space="preserve">Изготовление и установка табличек на остановочных пунктах                                                     </t>
  </si>
  <si>
    <t>Цель подпрограммы: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</si>
  <si>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Департамент дорожного хозяйства и транспорта  администрации городского округа Тольятти</t>
  </si>
  <si>
    <t>Содержание МКУ "ЦОДД  ГОТ"</t>
  </si>
  <si>
    <t>Департамент дорожного хозяйства и транспорта            администрации городского округа Тольятти</t>
  </si>
  <si>
    <t>Департамент дорожного хозяйства и транспорта  администрации городского округа Тольятти                                                МКУ "ЦОДД ГОТ"</t>
  </si>
  <si>
    <t xml:space="preserve">Приобретение материалов для содержания ТСОДД, ремонта остановочных павильонов   </t>
  </si>
  <si>
    <t>Департамент дорожного хозяйства и транспорта  администрации городского округа Тольятти                                                    МКУ "ЦОДД ГОТ"</t>
  </si>
  <si>
    <t>Приобретение спецтехники</t>
  </si>
  <si>
    <t>Департамент дорожного хозяйства и транспорта администрации городского округа Тольятти</t>
  </si>
  <si>
    <t xml:space="preserve">Проектирование устройства и переноса остановок общественного транспорта, в т.ч. экспертиза выполненных работ   </t>
  </si>
  <si>
    <t>Устройство пешеходных дорожек</t>
  </si>
  <si>
    <t xml:space="preserve">Департамент дорожного хозяйства и транспорта  администрации городского округа Тольятти                           </t>
  </si>
  <si>
    <t>Устройство  искусственных дорожных неровностей, в т.ч. экспертиза выполненных работ</t>
  </si>
  <si>
    <t>Департамент дорожного хозяйства и транспорта  администрации городского округа Тольятти                              МКУ "ЦОДД ГОТ"</t>
  </si>
  <si>
    <t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</si>
  <si>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Задача 1 муниципальной 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</si>
  <si>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Внебюджетные средства</t>
  </si>
  <si>
    <t>федеральный   бюджет</t>
  </si>
  <si>
    <t>областной  бюджет</t>
  </si>
  <si>
    <t>местный      бюджет</t>
  </si>
  <si>
    <t>Всего</t>
  </si>
  <si>
    <t xml:space="preserve"> План на 2025 год</t>
  </si>
  <si>
    <t xml:space="preserve"> План на 2024 год</t>
  </si>
  <si>
    <t xml:space="preserve"> План на 2023 год</t>
  </si>
  <si>
    <t xml:space="preserve"> План на 2022 год</t>
  </si>
  <si>
    <t xml:space="preserve"> План на 2021 год</t>
  </si>
  <si>
    <t>Итого</t>
  </si>
  <si>
    <t>Финансовое обеспечение реализации муниципальной программы, тыс. руб.</t>
  </si>
  <si>
    <t>Ответственный 
исполнитель</t>
  </si>
  <si>
    <t xml:space="preserve">
Наименование целей, задач и мероприятий муниципальной программы</t>
  </si>
  <si>
    <t>№</t>
  </si>
  <si>
    <t>внебюд-жетные средства</t>
  </si>
  <si>
    <t>федераль-ный   бюджет</t>
  </si>
  <si>
    <t xml:space="preserve">Подпрограмма "Повышение безопасности дорожного движения на период 2021-2025 гг."                       </t>
  </si>
  <si>
    <t xml:space="preserve">ИТОГО ПО ПОДПРОГРАММЕ "ПБДД"   </t>
  </si>
  <si>
    <t>Реконструкция автомобильных дорог общего пользования местного значения городского округа Тольятти</t>
  </si>
  <si>
    <t>Выполнение работ по ремонту автомобильных  дорог общего пользования местного значения городского округа Тольятти</t>
  </si>
  <si>
    <t>Нанесение горизонтальной дорожной разметки</t>
  </si>
  <si>
    <t>ИТОГО ПО ПОДПРОГРАММЕ "СУДС"</t>
  </si>
  <si>
    <t>Сроки реали-зации</t>
  </si>
  <si>
    <t>Цель муниципальной программы: Развитие дорожно-транспортной инфраструктуры в городском округе Тольятти, обеспечение безопасных условий дорожного движения</t>
  </si>
  <si>
    <t>Центральный район:</t>
  </si>
  <si>
    <t xml:space="preserve">Автодорога по проезду Валентины Ступиной </t>
  </si>
  <si>
    <t xml:space="preserve">Автодорога по ул. Минской от ул. 50 лет Октября до ул. Мичурина </t>
  </si>
  <si>
    <t>Автодорога по улице Щорса</t>
  </si>
  <si>
    <t>Автодорога по улице 25 лет Октября</t>
  </si>
  <si>
    <t>Автодорога по ул. Интернациональная (от проезда Декабристов до ул. Ларина)</t>
  </si>
  <si>
    <t>Автодорога по проезду Ленский</t>
  </si>
  <si>
    <t>Автодорога по проезду Кутузова</t>
  </si>
  <si>
    <t>Автодорога по проезду Некрасова</t>
  </si>
  <si>
    <t>Автодорога по проезду Сызранский ( от ул. Октябрьская до ул. Самарская)</t>
  </si>
  <si>
    <t>Автодорога по проезду Урожайный</t>
  </si>
  <si>
    <t>Автодорога по проезду Профсоюзов (от ул. Гайдара до проезда Тургенева)</t>
  </si>
  <si>
    <t>Автодороги по переулкам Онежский (1-9)</t>
  </si>
  <si>
    <t>Автодорога по проезду Зеленому</t>
  </si>
  <si>
    <t xml:space="preserve">Автодорога по проезду Учительскому </t>
  </si>
  <si>
    <t xml:space="preserve">Автодорога по проезду Коммунальному </t>
  </si>
  <si>
    <t>Автодорога по улице Блюхера ( от ул. Садовая до проезда Коммунальный)</t>
  </si>
  <si>
    <t>Автодорога по ул. Жигулевская ( от ул. Первомайская до проезда Охотничий)</t>
  </si>
  <si>
    <t>Автодорога по проезду Алтайскому</t>
  </si>
  <si>
    <t>Автодорога по проезду Тургенева</t>
  </si>
  <si>
    <t xml:space="preserve">Автодорога по проезду Колхозному </t>
  </si>
  <si>
    <t xml:space="preserve">Автодорога по проезду Молодежному </t>
  </si>
  <si>
    <t>Автодорогу по проезду Енисейскому (от улицы Кирова до бульвара 50 лет Октября)</t>
  </si>
  <si>
    <t>Автодорога по проезду Печерскому  (от б-ра 50 лет октября до ул. Кирова;                         (от ул. Кирова до ул. Л. Толстого)</t>
  </si>
  <si>
    <t>Автодорога по проезду Бородинскому</t>
  </si>
  <si>
    <t>Автодорога по улице Маяковского</t>
  </si>
  <si>
    <t>Автодорога по проезду Свободы</t>
  </si>
  <si>
    <t>Автодорога по улице Марии Ульяновой</t>
  </si>
  <si>
    <t>Автодорога по улице Дмитрия Ульянова</t>
  </si>
  <si>
    <t>Автодорога по проезду Строителей</t>
  </si>
  <si>
    <t>Автодорога по улице Гайдара ( от ул. Чапаева до проезда Водников)</t>
  </si>
  <si>
    <t>Автодорога по переулку 1-й Парковый</t>
  </si>
  <si>
    <t>Автодорога по переулку 3-й Парковый</t>
  </si>
  <si>
    <t>Автодорога по переулку 5-й Парковый</t>
  </si>
  <si>
    <t>Автодорога по переулку6-й Парковый</t>
  </si>
  <si>
    <t>Автодорога по переулку 7-й Парковый</t>
  </si>
  <si>
    <t>Автодорога по проезду Линейный</t>
  </si>
  <si>
    <t>Автодорога по проезду Репина</t>
  </si>
  <si>
    <t>Автодорога по проезду2-й Сосновый</t>
  </si>
  <si>
    <t>Автодорога по проезду 1-й Пугачевский</t>
  </si>
  <si>
    <t>Автодорога по проезду 2-й Пугачевский</t>
  </si>
  <si>
    <t>Автодорога по проезду Донской (1- 7)</t>
  </si>
  <si>
    <t>Автодорога по проезду 1-й Минский</t>
  </si>
  <si>
    <t>Автодорога по проезду 2-й Минский</t>
  </si>
  <si>
    <t>Автодорога по проезду Ягодный</t>
  </si>
  <si>
    <t>Автодорога по проезду Амурский</t>
  </si>
  <si>
    <t>Автодорога по улице Чкалова (от ул. Кирова до д.94 по ул. Чкалова)</t>
  </si>
  <si>
    <t>Автодорога по проезду  9 января</t>
  </si>
  <si>
    <t>Автодорога по улице Уральская ( от ул. Мичурина до б-ра 50 лет Октября)</t>
  </si>
  <si>
    <t>Автодорога по проезду Тверской</t>
  </si>
  <si>
    <t>Автодорога по проезду Короткий</t>
  </si>
  <si>
    <t>Автодорога по проезду Кавалерийский</t>
  </si>
  <si>
    <t>Автодорога по проезду Солнечный</t>
  </si>
  <si>
    <t>Автодорога по проезду Лунный</t>
  </si>
  <si>
    <t>Автодорога по проезду Сосновый</t>
  </si>
  <si>
    <t>Проезд Яблоневый</t>
  </si>
  <si>
    <t>Автодорога по проезду Донской</t>
  </si>
  <si>
    <t>Автодорога по проезду Студенческий</t>
  </si>
  <si>
    <t>Автодорога по проезду Кирпичный</t>
  </si>
  <si>
    <t>Автодорога по проезду Добролюбова</t>
  </si>
  <si>
    <t>Автодорога по проезду Декабристов</t>
  </si>
  <si>
    <t>Автодорога по проезду Ключевой</t>
  </si>
  <si>
    <t>Автодорога по проезду Полярников</t>
  </si>
  <si>
    <t>Автодорога по проезду Молдавский</t>
  </si>
  <si>
    <t>Автодорога по проезду Камский</t>
  </si>
  <si>
    <t>Автодорога по проезду Торновый</t>
  </si>
  <si>
    <t>Автодорога по проезду Березовый</t>
  </si>
  <si>
    <t>Автодорога по проезду Озерный</t>
  </si>
  <si>
    <t>Автодорога по проезду Пехотный</t>
  </si>
  <si>
    <t>Автодорога по проезду Невский</t>
  </si>
  <si>
    <t>Автодорога по проезду Гастелло</t>
  </si>
  <si>
    <t>Автодорога по проезду 1-й Лесной</t>
  </si>
  <si>
    <t>Автодорога по проезду 2-й Лесной</t>
  </si>
  <si>
    <t>Автодорога по проезду 3-й Лесной</t>
  </si>
  <si>
    <t>Автодорога по проезду 4-й Лесной</t>
  </si>
  <si>
    <t>Автодорога по проезду 5-й Лесной</t>
  </si>
  <si>
    <t>Автодорога по проезду 6-й Лесной</t>
  </si>
  <si>
    <t>Автодорога по проезду 7-й Лесной</t>
  </si>
  <si>
    <t>Автодорога по проезду 8-й Лесной</t>
  </si>
  <si>
    <t>Автодорога по проезду Гражданский</t>
  </si>
  <si>
    <t>Автодорога по проезду Детский</t>
  </si>
  <si>
    <t>Переулок 1-й Заводской</t>
  </si>
  <si>
    <t>Переулок 2-й Заводской</t>
  </si>
  <si>
    <t>Автодорога по проезду Заводской</t>
  </si>
  <si>
    <t>Автодорога по проезду  Книжный</t>
  </si>
  <si>
    <t>Автодорога по проезду  Крымский</t>
  </si>
  <si>
    <t>Автодорога по проезду  Котельный</t>
  </si>
  <si>
    <t xml:space="preserve">ул. Клавдии Вавиловой                        </t>
  </si>
  <si>
    <t>Автодорога по проезду Славы</t>
  </si>
  <si>
    <t>Автодорога по переулку 2-й Парковый</t>
  </si>
  <si>
    <t>Автодорога по переулку 4-й Парковый</t>
  </si>
  <si>
    <t>Автодорога по переулку 8-й Парковый</t>
  </si>
  <si>
    <t>Автодорога по переулку 9-й Парковый</t>
  </si>
  <si>
    <t>Автодорога по переулку 10-й Парковый</t>
  </si>
  <si>
    <t>Автодорога по переулку 11-й Парковый</t>
  </si>
  <si>
    <t>Автодорога по переулку 12-й Парковый</t>
  </si>
  <si>
    <t>Автодорога по переулку Трудовой</t>
  </si>
  <si>
    <t>Автодорога по переулку Армейский</t>
  </si>
  <si>
    <t>Автодорога по проезду Дорожный</t>
  </si>
  <si>
    <t>Автодорога по проезду Фурманова</t>
  </si>
  <si>
    <t xml:space="preserve">Автодорога по проезду Степной </t>
  </si>
  <si>
    <t xml:space="preserve">Автодорога по проезду Гвардейский </t>
  </si>
  <si>
    <t>Автодорога по проезду Лесной  (переулок Спортивный)</t>
  </si>
  <si>
    <t>Автодорога по переулку Молодогвардейский</t>
  </si>
  <si>
    <t>Автодорога по проезду Луговой</t>
  </si>
  <si>
    <t>Автодорога по проезду Вишневый</t>
  </si>
  <si>
    <t>Автодорога по проезду 2-й Озерный</t>
  </si>
  <si>
    <t xml:space="preserve">Автодорога по проезду Пионерский </t>
  </si>
  <si>
    <t>Автодорога по проезду Красный</t>
  </si>
  <si>
    <t>Автодорога по проезду Кольцевой</t>
  </si>
  <si>
    <t>Автодорога по проезду Рыночный</t>
  </si>
  <si>
    <t>Автодорога по проезду Торговый  (от пр. Пожарского до ул. Комсомольская)</t>
  </si>
  <si>
    <t>Автодорога по проезду Колхозный ( от проезда Профсоюзов до ул. Чапаева)</t>
  </si>
  <si>
    <t>Автодорога по проезду Хлебный</t>
  </si>
  <si>
    <t>Автодорога по улице Киевская</t>
  </si>
  <si>
    <t>Автодорога по улице  Голоднова (от пр. Делового до границы Городского округа)</t>
  </si>
  <si>
    <t>Автодорога по улице  Лапшева;</t>
  </si>
  <si>
    <t xml:space="preserve"> Автодорога по проезду Ясный;</t>
  </si>
  <si>
    <t>Автодорога по проезду Веры;</t>
  </si>
  <si>
    <t>Автодорога по проезду Надежды;</t>
  </si>
  <si>
    <t xml:space="preserve"> Автодорога по проезду Крутой;</t>
  </si>
  <si>
    <t>Проезд Посадский;</t>
  </si>
  <si>
    <t>Автодорога по проезду Деловой</t>
  </si>
  <si>
    <t>Автодорога по проезду Звездный;</t>
  </si>
  <si>
    <t>Автодорога по проезду Большой;</t>
  </si>
  <si>
    <t>Автодорога по проезду Розовый;</t>
  </si>
  <si>
    <t>Автодорога по проезду Нежный;</t>
  </si>
  <si>
    <t>Автодорога по проезду Межевой;</t>
  </si>
  <si>
    <t>Комсомольский район:</t>
  </si>
  <si>
    <t>Автодорога по переулку Ученический</t>
  </si>
  <si>
    <t>Автодорога по улице Удалецкая</t>
  </si>
  <si>
    <t>Автодорога по улице Весенняя ( от ул. Вавилова до ул. Пескалинская)</t>
  </si>
  <si>
    <t>Автодорога по ул. Дворцовая</t>
  </si>
  <si>
    <t xml:space="preserve">Автодорога по ул. Осенняя </t>
  </si>
  <si>
    <t>Автодорога по проезду Памяти</t>
  </si>
  <si>
    <t>Автодорога по проезду Дымчатый</t>
  </si>
  <si>
    <t>Автодорога по улице Калужская</t>
  </si>
  <si>
    <t>Автодорога по проезду Розы Люксембург</t>
  </si>
  <si>
    <t xml:space="preserve">Автодорога по переулку Пионерский </t>
  </si>
  <si>
    <t>Автодорога по переулку Лобачевского</t>
  </si>
  <si>
    <t>Автодорога по ул. Телеграфная (от ООТ "Туберкулезный диспансер" до ул. Фадеева</t>
  </si>
  <si>
    <t>Автодорога по ул. 1-я линейная</t>
  </si>
  <si>
    <t xml:space="preserve">Автодорога по ул. 2-я Линейная                                                              </t>
  </si>
  <si>
    <t xml:space="preserve">Автодорога по проезду 1-й Тракторный  </t>
  </si>
  <si>
    <t>Проезд 3-й Тракторный</t>
  </si>
  <si>
    <t xml:space="preserve">Проезд 4-й Тракторный                </t>
  </si>
  <si>
    <t>Проезд 5-й Тракторный</t>
  </si>
  <si>
    <t>Автодорога по улице Наумова</t>
  </si>
  <si>
    <t>Автодорога по улице Задельная</t>
  </si>
  <si>
    <t>Автодорога по проезду Иркутский</t>
  </si>
  <si>
    <t>Автодорога по проезду Оренбургский</t>
  </si>
  <si>
    <t xml:space="preserve">Автодорога по улице Восточная </t>
  </si>
  <si>
    <t xml:space="preserve">Автодорога по ул. Фадеева       </t>
  </si>
  <si>
    <t>Автодорога по улице  Пушкина</t>
  </si>
  <si>
    <t>Автодорога по улице Дачная</t>
  </si>
  <si>
    <t>Автодорога по улице Горная</t>
  </si>
  <si>
    <t xml:space="preserve">Автодорога по улице Пионерская                                           </t>
  </si>
  <si>
    <t>Автодорога по улице Родниковая</t>
  </si>
  <si>
    <t>Автодорога по переулку Ростовскому</t>
  </si>
  <si>
    <t>Автодорога по улице  Тракторная</t>
  </si>
  <si>
    <t>Автодорога по улице  Заречная</t>
  </si>
  <si>
    <t>Автодорога по улице Воронежская</t>
  </si>
  <si>
    <t xml:space="preserve">Автодорога по улице Орловская </t>
  </si>
  <si>
    <t xml:space="preserve">Автодорога по ул. Песчаная                             </t>
  </si>
  <si>
    <t>Автодорога по проезду Сибирский</t>
  </si>
  <si>
    <t>Автодорога по проезду Западный</t>
  </si>
  <si>
    <t>Автодорога по проезду Достоевского</t>
  </si>
  <si>
    <t xml:space="preserve">Автодорога по проезду 1-й Мирный </t>
  </si>
  <si>
    <t>Автодорога по улице Пархоменко</t>
  </si>
  <si>
    <t xml:space="preserve">Автодорога по проезду 2-й Мирный </t>
  </si>
  <si>
    <t xml:space="preserve">Автодорога по проезду 3-й Мирный </t>
  </si>
  <si>
    <t>Автодорога по улице Брестская</t>
  </si>
  <si>
    <t>Автодорога по проезду Осиновый</t>
  </si>
  <si>
    <t>Автодорога по улице Федоровская</t>
  </si>
  <si>
    <t>Автодорога по переулку Гаражный</t>
  </si>
  <si>
    <t xml:space="preserve">Автодорога по улице  Димитрова         </t>
  </si>
  <si>
    <t>Автодорога по улице  Клары Цеткин</t>
  </si>
  <si>
    <t>Автодорога по переулку Учительскому</t>
  </si>
  <si>
    <t>Автодорога по ул. Краснознаменная</t>
  </si>
  <si>
    <t>Автодорога по улице  Попова</t>
  </si>
  <si>
    <t>Автодорога по переулку Луговой</t>
  </si>
  <si>
    <t>Автодорога по переулку Южный</t>
  </si>
  <si>
    <t>Автодорога по улице  Клубная</t>
  </si>
  <si>
    <t>Переулок между ул. Ингельберга и ул. Кооперативной</t>
  </si>
  <si>
    <t>Автодорога по проезду Малый</t>
  </si>
  <si>
    <t xml:space="preserve">Автодорога по улице  Окольная                                           </t>
  </si>
  <si>
    <t>Автодорога по переулку Одинокий</t>
  </si>
  <si>
    <t xml:space="preserve"> Автодорога по ул. Кооперативная  </t>
  </si>
  <si>
    <t>Автодорога по улице Академика Скрябина ( от ул. Вавилова до ул. Пескалинская)</t>
  </si>
  <si>
    <t xml:space="preserve">Автодорога по улице Сиреневая </t>
  </si>
  <si>
    <t>Автодорога по проезду Рижский</t>
  </si>
  <si>
    <t>Автодорога по улице Варваринская</t>
  </si>
  <si>
    <t>Автодорога по ул. Алексея Улесова</t>
  </si>
  <si>
    <t>Автодорога по ул. Казачья</t>
  </si>
  <si>
    <t>Автодорога по пер. Малый</t>
  </si>
  <si>
    <t>Автодорога по ул. Молодецкая</t>
  </si>
  <si>
    <t>Автодорога по ул. Ивана Красюка</t>
  </si>
  <si>
    <t>Автодорога по пер. Семейный</t>
  </si>
  <si>
    <t>Автодорога по пер. Новоселов</t>
  </si>
  <si>
    <t>Оказание услуг по подготовке экспертных заключений о соответствии результатов выполненных работ по отсыпке автомобильных дорог городского округа Тольятти, расположенных в зоне застройки индивидуальными жилыми домами асфальтогранулятом</t>
  </si>
  <si>
    <t>Итого по Комсомольскому району:</t>
  </si>
  <si>
    <t xml:space="preserve">Автодороги Центральной части Центрального района </t>
  </si>
  <si>
    <t>автодорога по ул. Рабочая</t>
  </si>
  <si>
    <t>Автодороги микрорайона Тимофеевка-2</t>
  </si>
  <si>
    <t xml:space="preserve">Автодорога по проезду Запорожский </t>
  </si>
  <si>
    <t xml:space="preserve">Автодорога по проезду Рабочий  </t>
  </si>
  <si>
    <t>Автодорога по проезду Сахалинский</t>
  </si>
  <si>
    <t xml:space="preserve">Автодорога по проезду Суворова </t>
  </si>
  <si>
    <t>Автодорога по проезду Шевченко</t>
  </si>
  <si>
    <t>Автодорога по проезду Пожарского</t>
  </si>
  <si>
    <t xml:space="preserve">Автодорога по проезду Пролетарский </t>
  </si>
  <si>
    <t xml:space="preserve">Автодорога по улице Крупской </t>
  </si>
  <si>
    <t xml:space="preserve">автодорога от ул. Рабочей до ул. Новозаводской </t>
  </si>
  <si>
    <t xml:space="preserve">Автодорога по ул. Белинского </t>
  </si>
  <si>
    <t>Автодороги микрорайона Федоровка</t>
  </si>
  <si>
    <t xml:space="preserve">Автодорога по ул. Саранская </t>
  </si>
  <si>
    <t>Автодороги микрорайона Новоматюшкино</t>
  </si>
  <si>
    <t>Автодороги микрорайона Поволжский</t>
  </si>
  <si>
    <t xml:space="preserve">Автодороги мкр. Жигулевское море </t>
  </si>
  <si>
    <t>Автодорога по ул. Кожевенная</t>
  </si>
  <si>
    <t>Итого Центральный район:</t>
  </si>
  <si>
    <t>Автодорога по проезду 8 Марта</t>
  </si>
  <si>
    <t>Автодорога по проезду от Хрящевского шоссе до ул. Грачева, 41</t>
  </si>
  <si>
    <t xml:space="preserve">Автодорога по проезду 2-й Тракторный                                               </t>
  </si>
  <si>
    <t>Автодороги микрорайона Загородный</t>
  </si>
  <si>
    <t>Автодорога по проезду 1-й Одесский (от ул. Кирова до ул. Ларина)</t>
  </si>
  <si>
    <t xml:space="preserve">ИТОГО ПО ПОДПРОГРАММЕ "ПБДД"  </t>
  </si>
  <si>
    <t>Задача 4 муниципальной 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</si>
  <si>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местный бюджет</t>
  </si>
  <si>
    <t>областной бюджет</t>
  </si>
  <si>
    <t>Финансовые ресурсы, тыс. руб.</t>
  </si>
  <si>
    <t>Наименование мероприятий</t>
  </si>
  <si>
    <t>Наименование целей, задач и мероприятий муниципальной программы</t>
  </si>
  <si>
    <t>Наименование показателей (индикаторов)</t>
  </si>
  <si>
    <t>Единица измере-ния</t>
  </si>
  <si>
    <t>Базовое значение</t>
  </si>
  <si>
    <t>Значение показателей (индикаторов) по годам</t>
  </si>
  <si>
    <t xml:space="preserve"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                       </t>
  </si>
  <si>
    <t>шт.</t>
  </si>
  <si>
    <t>-</t>
  </si>
  <si>
    <t>Устройство  искусственных дорожных  неровностей, в т.ч. экспертиза выполненных работ</t>
  </si>
  <si>
    <t>Количество устроенных искусственных дорожных неровностей</t>
  </si>
  <si>
    <t>Количество проведенных проверок достоверности определения сметной стоимости проекта</t>
  </si>
  <si>
    <t>Количество построенных пешеходных дорожек</t>
  </si>
  <si>
    <t>тыс.м.п.</t>
  </si>
  <si>
    <t>Количество обустроенных светофорных объектов</t>
  </si>
  <si>
    <t xml:space="preserve">Проектирование устройства и переноса остановок общественного транспорта, в т.ч. экспертиза выполненных работ </t>
  </si>
  <si>
    <t>Количество приобретенных единиц спецтехники</t>
  </si>
  <si>
    <t>ед.</t>
  </si>
  <si>
    <t>Приобретение материалов для содержания ТСОДД, ремонта остановочных павильонов</t>
  </si>
  <si>
    <t>Количество приобретенных видов материалов для содержания ТСОДД, ремонта остановочных павильонов</t>
  </si>
  <si>
    <t xml:space="preserve">Уровень исполнения бюджетной сметы расходов учреждения </t>
  </si>
  <si>
    <t>%</t>
  </si>
  <si>
    <t>Количество установленных табличек</t>
  </si>
  <si>
    <t>Количество автомобильных дорог общего пользования местного значения городского округа Тольятти, на которых проведён технический учёт и паспортизация</t>
  </si>
  <si>
    <t>км</t>
  </si>
  <si>
    <t>тыс. м2</t>
  </si>
  <si>
    <t>тыс.м2</t>
  </si>
  <si>
    <t>2 988,20</t>
  </si>
  <si>
    <t>1 222,64</t>
  </si>
  <si>
    <t>Площадь содержания автомобильных дорог</t>
  </si>
  <si>
    <t xml:space="preserve">Содержание надземных и подземных пешеходных переходов </t>
  </si>
  <si>
    <t>Количество типов дорожной разметки</t>
  </si>
  <si>
    <t xml:space="preserve">Устройство линий наружного электроосвещения мест концентрации ДТП     </t>
  </si>
  <si>
    <t xml:space="preserve">Количество устроенных линий наружного электроосвещения мест концентрации ДТП    </t>
  </si>
  <si>
    <t>Проектно-изыскательские работы по объекту: Реконструкция магистральной улицы городского значения регулируемого движения по ул.Спортивной на участке от ул.Степана Разина до ул. Юбилейная (строительство бокового проезда) в 8 квартале Автозаводского района г.Тольятти</t>
  </si>
  <si>
    <t>Осуществление строительного контроля на объекте: Капитальный ремонт  ул.Васильевская от ул.Калмыцкая до ул.Обводное шоссе</t>
  </si>
  <si>
    <t>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</si>
  <si>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 xml:space="preserve">Реконструкция магистральной улицы общегородского значения регулируемого движения по ул.Спортивной нра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</si>
  <si>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объекту: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</si>
  <si>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строительного контроля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</si>
  <si>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</si>
  <si>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</si>
  <si>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Осуществление авторского надзора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</si>
  <si>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2.1.3.</t>
  </si>
  <si>
    <t>1.3.1.</t>
  </si>
  <si>
    <t>общего пользования?</t>
  </si>
  <si>
    <t>Выполнение работ по осуществлению регулярных перевозок пассажиров и багажа по регулируемым тарифам</t>
  </si>
  <si>
    <t>Подпрограмма "Развитие  городского пассажирского транспорта в городском округе Тольятти на период 2021-2025 гг."</t>
  </si>
  <si>
    <t xml:space="preserve"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</si>
  <si>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</si>
  <si>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>отсыпка</t>
  </si>
  <si>
    <t xml:space="preserve"> -</t>
  </si>
  <si>
    <t>автодорога по улице Кунеевская от улицы Баныкина до улицы Громовой</t>
  </si>
  <si>
    <t>Регулярность выполнения перевозок по заключенным муниципальным контрактам</t>
  </si>
  <si>
    <t>Количество перевезенных пассажиров льготной категории граждан</t>
  </si>
  <si>
    <t>тыс.пас.</t>
  </si>
  <si>
    <t>2022-2025</t>
  </si>
  <si>
    <t>разные площади</t>
  </si>
  <si>
    <t>Устройство  искусственных дорожных неровностей, экспертиза выполненных работ, в т.ч.:</t>
  </si>
  <si>
    <t xml:space="preserve">план на 2021: </t>
  </si>
  <si>
    <t>план на 2022:</t>
  </si>
  <si>
    <t xml:space="preserve">ул. Офицерская (на участке от ул. Полякова до ул. Ботаническая); </t>
  </si>
  <si>
    <t>ул. Радищева (на участке от ул. Победы до ул. Новозаводская);</t>
  </si>
  <si>
    <t>ул. Северная (на участке от ул. Борковская до дома № 105 по ул. Северная);</t>
  </si>
  <si>
    <t>ул. Диагональная (на участке от ул. Баныкина до ул. Кунеевская);</t>
  </si>
  <si>
    <t>ул. Ларина (на участке от ул. Васильевская до ул. Ломоносова)</t>
  </si>
  <si>
    <t>Устройство пешеходных дорожек, в т.ч.:</t>
  </si>
  <si>
    <t>в районе ООТ "70 лет Октября" по ул.70 лет Октября;</t>
  </si>
  <si>
    <t>Проектирование устройства и переноса остановок общественного транспорта, в т.ч. экспертиза выполненных работ, в т.ч.:</t>
  </si>
  <si>
    <t>план на 2021:</t>
  </si>
  <si>
    <t>Устройство и перенос остановок общественного транспорта  на территории городского округа Тольятти, в т.ч.:</t>
  </si>
  <si>
    <t>ООТ "Молокозавод" на ул. Коммунальная;</t>
  </si>
  <si>
    <t>ООТ "Санаторий Волжские зори" на ул. Комзина</t>
  </si>
  <si>
    <t>Устройство парковочных площадок, карманов  и стоянок, в т.ч.:</t>
  </si>
  <si>
    <t xml:space="preserve">устройство парковочной площадки по пр-ту Степана Разина, в районе дома №93 </t>
  </si>
  <si>
    <t xml:space="preserve">в районе ООТ "Приморский бульвар" по ул.Революционная; </t>
  </si>
  <si>
    <t>в районе ООТ "Озерки" по Поволжскому шоссе;</t>
  </si>
  <si>
    <t xml:space="preserve">в районе ООТ "Сосновый бор" по Поволжскому шоссе; </t>
  </si>
  <si>
    <t>в районе пересечения бульвара 50 лет Октября - ул.Герцена - ул.Украинская;</t>
  </si>
  <si>
    <t>в районе ООТ "Гаражи" по ул.Ботаническая</t>
  </si>
  <si>
    <t>ООТ "Телецентр" по пр-ту Степана Разина</t>
  </si>
  <si>
    <t xml:space="preserve"> Ремонт дворовых территорий многоквартирных домов, проездов к дворовым территориям многоквартирных домов  городского округа Тольятти</t>
  </si>
  <si>
    <t>Цель подпрограммы: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</si>
  <si>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Задача 3 муниципальной 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</si>
  <si>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Количество разработанной проектно-сметной документации по капитальному ремонту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</si>
  <si>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ремонту автомобильных дорог общего пользования местного значения городского округа Тольятти</t>
  </si>
  <si>
    <t>Цель подпрограммы: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</si>
  <si>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2 муниципальной 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</si>
  <si>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</si>
  <si>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Площадь отремонтированных путем ремонта дворовых территорий многоквартирных домов, проездов к дворовым территориям многоквартирных домов городского округа Тольятти</t>
  </si>
  <si>
    <t>Автодорога по проезду Школьный (от Учительского проезда до ул. Пионерская)</t>
  </si>
  <si>
    <t>Автодорога по переулку Кирилла Белова</t>
  </si>
  <si>
    <t>Автодорога по проезду Охотничьему</t>
  </si>
  <si>
    <t>Автодорога по улице  Казачкова;</t>
  </si>
  <si>
    <t>Автодорога по улице Грачева</t>
  </si>
  <si>
    <t>Автодорога по улице Андреянова;</t>
  </si>
  <si>
    <t>Автодорога по проезду Любви;</t>
  </si>
  <si>
    <t>Автодорога по улице Еряшева;</t>
  </si>
  <si>
    <t>№   п./п.</t>
  </si>
  <si>
    <t>Общая стоимость работ (ориентировочная), тыс.руб.</t>
  </si>
  <si>
    <t>федеральный бюджет, тыс. руб.</t>
  </si>
  <si>
    <t>областной бюджет, тыс. руб.</t>
  </si>
  <si>
    <t xml:space="preserve">Строительство магистральной улицы  районного значения транспортно-пешеходной  ул. Механизаторов от ул. Громовой до ул. Лизы Чайкиной в Комсомольском районе города Тольятти </t>
  </si>
  <si>
    <t>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 города Тольятти</t>
  </si>
  <si>
    <t>Осуществление строительного контроля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</si>
  <si>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>Осуществление авторского надзора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</si>
  <si>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 xml:space="preserve">Осуществление строительного контроля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</si>
  <si>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 xml:space="preserve">Осуществление авторского надзора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</si>
  <si>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капитальному ремонту автомобильных дорог общего пользования местного значения городского округа Тольятти</t>
  </si>
  <si>
    <t>Проектно-изыскательские работы по реконструкции автомобильных дорог общего пользования местного значения городского округа Тольятти</t>
  </si>
  <si>
    <t>Проектно-изыскательские работы по ремонту автомобильных дорог общего пользования местного значения городского округа Тольятти</t>
  </si>
  <si>
    <t>Проектно-изыскательские работы по строительству автомобильных дорог общего пользования местного значения городского округа Тольятти</t>
  </si>
  <si>
    <t>Капитальный ремонт ул.Калмыцкая на участке от ж/д. переезда до ул.Васильевская</t>
  </si>
  <si>
    <t>Осуществление строительного контроля на объекте: Капитальный ремонт автодороги по улице  ул.Калмыцкая на участке от ж/д. переезда до ул.Васильевская</t>
  </si>
  <si>
    <t>Капитальный ремонт ул.Васильевская от ул.Калмыцкая до ул.Обводное шоссе</t>
  </si>
  <si>
    <t>автодорога по улице Пескалинская от улицы Удалецкой до улицы Весенней</t>
  </si>
  <si>
    <t>автодорога по переулку Лобачевского от улицы Пушкина до проезда Ученический</t>
  </si>
  <si>
    <t>автодорога по проезду Тенистый от улицы 60 лет СССР до улицы Олимпийская</t>
  </si>
  <si>
    <t>ул. Юбилейная от ул. Фрунзе до ул. Спортивная, вкл. пересечение с б-ром Приморский</t>
  </si>
  <si>
    <t>ул. Александра Кудашева</t>
  </si>
  <si>
    <t>шт</t>
  </si>
  <si>
    <t>Доля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общей площади автомобильных дорог с невысокой транспортной нагрузкой в городском округе Тольятти</t>
  </si>
  <si>
    <t>Удовлетворенность населения содержанием УДС (от числа опрошенных)</t>
  </si>
  <si>
    <t>Наименование показателя конечного результата</t>
  </si>
  <si>
    <t>Единица измерения</t>
  </si>
  <si>
    <t>Планируемые значения показателя конечного результата</t>
  </si>
  <si>
    <t>Пассажирооборот транспорта общего пользования</t>
  </si>
  <si>
    <t>млн.пассажиро-километров</t>
  </si>
  <si>
    <t>Доля подвижного состава автобусов, не превышающих нормативный срок эксплуатации</t>
  </si>
  <si>
    <t>Доля подвижного состава троллейбусов, не превышающих нормативный срок эксплуатации</t>
  </si>
  <si>
    <t>Обеспеченность парка транспортом с низким (пониженным) уровнем пола МП "ТТУ"</t>
  </si>
  <si>
    <t>базовое значение за 2018 год</t>
  </si>
  <si>
    <t>базовое значение 2018г.</t>
  </si>
  <si>
    <t xml:space="preserve">Доля протяженности дорожной сети городского округа Тольятти, находящейся в нормативном состоянии </t>
  </si>
  <si>
    <t>Протяженность автомобильных дорог общего пользования местного значения городского округа Тольятти, на которых проведена диагностика и оценка транспортно-эксплуатационного состояния</t>
  </si>
  <si>
    <t>Протяженность построенных автомобильных дорог общего пользования местного значения городского округа Тольятти</t>
  </si>
  <si>
    <t>Протяжённость реконструированных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</si>
  <si>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строительству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</si>
  <si>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реконструкции автомобильных дорог общего пользования местного значения городского округа Тольятти</t>
  </si>
  <si>
    <t>Количество заключенных контрактов на выполнение регулярных перевозок пассажиров и багажа по регулируемым тарифам</t>
  </si>
  <si>
    <t>Количество действующих маршрутов на выполнение регулярных перевозок пассажиров и багажа по регулируемым тарифам</t>
  </si>
  <si>
    <t>L(S) объекта, км (т.м2)</t>
  </si>
  <si>
    <t>Уровень дорожно-транспортного травматизма «Тяжесть последствий» (число погибших на 100 пострадавших) (обратный показатель)</t>
  </si>
  <si>
    <t>Количество зарегистрированных ДТП на территории городского округа Тольятти (обратный показатель)</t>
  </si>
  <si>
    <t>ул. Ленинградская, 28</t>
  </si>
  <si>
    <t>Рябиновый б-р, 1</t>
  </si>
  <si>
    <t>Рябиновый б-р, 13</t>
  </si>
  <si>
    <t>Московский пр-т - ул. Фрунзе</t>
  </si>
  <si>
    <t>ул. Олимпийская в районе д. 20 по ул. Полевая</t>
  </si>
  <si>
    <t>ул. Сиреневая, 24</t>
  </si>
  <si>
    <t>Внутриквартальный пр-д от пр-да Дорофеева до ул. Макарова</t>
  </si>
  <si>
    <t>Б-р Цветной, 24</t>
  </si>
  <si>
    <t>Б-р Цветной, 13</t>
  </si>
  <si>
    <t xml:space="preserve">ул. Ленина, ООТ "Дворец молодежи" </t>
  </si>
  <si>
    <t>ул. Л. Яшина, ООТ "Северовосточная"</t>
  </si>
  <si>
    <t>Приморский б-р пересечение с б-ром Буденного</t>
  </si>
  <si>
    <t>б-р Гая, 10</t>
  </si>
  <si>
    <t>ул. Юбилейная, ООТ "Кафе Салют"</t>
  </si>
  <si>
    <t>ул. Юбилейная, ООТ "Парк Победы"</t>
  </si>
  <si>
    <t>Ленинский пр-т, ООТ "б-р Туполева"</t>
  </si>
  <si>
    <t>пр-т Ст. Разина, ООТ "Театральная"</t>
  </si>
  <si>
    <t>ул. Л. Толстого пересечение с ул. Ленина</t>
  </si>
  <si>
    <t>ул. Победы пересечение с б-ром 50 лет Октября</t>
  </si>
  <si>
    <t>ул. Борковская, 51 (ООТ "Спецавтоцентр)</t>
  </si>
  <si>
    <t>Революционная, ООТ "Экзотика"</t>
  </si>
  <si>
    <t xml:space="preserve">Московский пр-т, ООТ "ул. Дзержинского" </t>
  </si>
  <si>
    <t>ул. Спортивная в районе д. 55 по Приморскому б-ру</t>
  </si>
  <si>
    <t>Московский пр-т, ООТ "Дом связи"</t>
  </si>
  <si>
    <t>ул. Цеховая,  ООТ "GM-АвтоВАЗ"</t>
  </si>
  <si>
    <t>ул. Родина пересечение с ул. Мира</t>
  </si>
  <si>
    <t>ул. Голосова пересечение с ул. Новозаводская</t>
  </si>
  <si>
    <t>Обводное шоссе пересечение с ул. Новозаводская</t>
  </si>
  <si>
    <t>Физкультурный проезд</t>
  </si>
  <si>
    <t>ул. Спортивная, ООТ "Вега"</t>
  </si>
  <si>
    <t>ул. Революционная, ООТ "1000 мелочей"</t>
  </si>
  <si>
    <t>ул. Свердлова, 8</t>
  </si>
  <si>
    <t>ул. Автостроителей, ООТ "40 лет Победы"</t>
  </si>
  <si>
    <t>ул. Борковская, ООТ "Южная база"</t>
  </si>
  <si>
    <t>ул. Горького, 46"А"</t>
  </si>
  <si>
    <t>ул. Матросова, 26</t>
  </si>
  <si>
    <t>ул. Революционная, 47</t>
  </si>
  <si>
    <t>ул. Гидротехническая пересечение с ул. Дорофеева</t>
  </si>
  <si>
    <t>ул. Ворошилова, ООТ "б-р Луначарского"</t>
  </si>
  <si>
    <t>ул. Л.Яшина, ООТ "Льва Яшина"</t>
  </si>
  <si>
    <t>Приморский б-р, ООТ "8 квартал"</t>
  </si>
  <si>
    <t>ул. Коммунистическая, ООТ "Тюленина"</t>
  </si>
  <si>
    <t>ул. Коммунистическая, ООТ "Космодемьянской"</t>
  </si>
  <si>
    <t>ул. Родина, ООТ"Автовокзал"</t>
  </si>
  <si>
    <t>ул. Юбилейная, 85 и ООТ "Вега"</t>
  </si>
  <si>
    <t>ул. Новозаводская, ООТ "Химико-технологический колледж"</t>
  </si>
  <si>
    <t>ул. Автостроителей, ООТ "Молодежная"</t>
  </si>
  <si>
    <t>ул. 70 лет Октября, 33Б, 38, ООТ "Магазин мир продуктов"</t>
  </si>
  <si>
    <t>Приморский б-р ООТ "Театр Дилижанс"</t>
  </si>
  <si>
    <t>ул. Комсомольская пересечение с ул. Новопромышленной</t>
  </si>
  <si>
    <t>ул. Гидротехническая пересечение с ул. Шлюзовая</t>
  </si>
  <si>
    <t>ул. Автостроителей, ООТ "Гостиница Лада"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</si>
  <si>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</t>
  </si>
  <si>
    <t>пр-д Фабричный</t>
  </si>
  <si>
    <t>ул. Дзержинского между ул. Революционная и световой опорой № 84 (89) по ул. Дзержинского</t>
  </si>
  <si>
    <t>ул. Тюленина от улицы Коммунистической до улицы Мурысева</t>
  </si>
  <si>
    <t>ул. Северная от улицы Цеховая до границы г.о. Тольятти (ул. Степная)</t>
  </si>
  <si>
    <t>Кольцевая транспортная развязка по Южному шоссе - ул.Полякова</t>
  </si>
  <si>
    <t>Устройство линий наружного электроосвещения мест концентрации ДТП</t>
  </si>
  <si>
    <t xml:space="preserve">Устройство и перенос остановок общественного транспорта  на территории городского округа Тольятти                                                                                                                                                        </t>
  </si>
  <si>
    <t>Строительство дороги по улице Владимира Высоцкого</t>
  </si>
  <si>
    <t>Строительство дороги местного значения и проездов в микрорайоне "Калина", Автозаводский район, г. Тольятти, Самарская область</t>
  </si>
  <si>
    <t>дорожка вдоль улицы Александра Кудашева на участке от ул. Льва Толстого до границы г.о.Тольятти</t>
  </si>
  <si>
    <t>Протяженность установленных пешеходных ограждений</t>
  </si>
  <si>
    <t xml:space="preserve">ул. Кудашева </t>
  </si>
  <si>
    <t>Перечень объектов подпрограммы "Повышение безопасности дорожного движения на период 2021 - 2025 гг." и финансовые ресурсы</t>
  </si>
  <si>
    <t xml:space="preserve">Устройство парковочных площадок, карманов и стоянок                                   </t>
  </si>
  <si>
    <t>ликвидация несанкционированного примыкания в районе ООТ "Автолюбитель" по б-ру 50 лет Октября</t>
  </si>
  <si>
    <t>по ул.Офицерской от ул.Полякова до ул.Ботанической</t>
  </si>
  <si>
    <t>островок безопасности и пешеходная дорожка в районе пересечения ул.Мичурина и ул.Герцена</t>
  </si>
  <si>
    <t>Строительство парковочных автостоянок вдоль Южных проходных ПАО "АВТОВАЗ" по Южному шоссе</t>
  </si>
  <si>
    <t>Осуществление строительного контроля на объекте: Строительство парковочных автостоянок вдоль Южных проходных ПАО "АВТОВАЗ" по Южному шоссе</t>
  </si>
  <si>
    <t>Осуществление авторского надзора на объекте: Строительство парковочных автостоянок вдоль Южных проходных ПАО "АВТОВАЗ" по Южному шоссе</t>
  </si>
  <si>
    <t>Проектно-изыскательские работы по объекту "Реконструкция пересечения Обводного и Хрящевского шоссе"</t>
  </si>
  <si>
    <t xml:space="preserve">Проектно-изыскательские работы по корректировке проектно-сметной документации "Строительство магистральной улицы районного значения транспортно-пешеходной ул. Механизаторов от ул. Лизы Чайкиной до ул. Громовой в Комсомольском районе города Тольятти" </t>
  </si>
  <si>
    <t>Проектно-изыскательские работы по устройству подъездной дороги к поликлинике на 1000 посещений в смену</t>
  </si>
  <si>
    <t>Ремонт автопарковки в районе поликлиники на 500 посещений в смену</t>
  </si>
  <si>
    <t xml:space="preserve">Устройство съездов для инвалидов и других маломобильных групп населения на территории городского округа Тольятти </t>
  </si>
  <si>
    <t>нераспределенный остаток</t>
  </si>
  <si>
    <t>Приложение № 2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</si>
  <si>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Обеспеченность парка транспортом с низким (пониженным) уровнем пола МП "ТПАТП № 3"</t>
  </si>
  <si>
    <t>Устройство и перенос остановок общественного транспорта на территории городского округа Тольятти</t>
  </si>
  <si>
    <t>Устройство парковочных площадок, карманов и стоянок</t>
  </si>
  <si>
    <t>Количество  вновь введенных в эксплуатацию (реконструируемых) парковочных площадок, карманов и стоянок</t>
  </si>
  <si>
    <t>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</t>
  </si>
  <si>
    <t>Устройство технических средств организации дорожного движения</t>
  </si>
  <si>
    <t>Устройство технических средств организации дорожного движения, в т.ч:</t>
  </si>
  <si>
    <t>Приобретение дорожных знаков (заготовок дорожных знаков)</t>
  </si>
  <si>
    <t>Количество установленных  дорожных знаков</t>
  </si>
  <si>
    <t>Количество приобретенных дорожных знаков (заготовок дорожных знаков)</t>
  </si>
  <si>
    <t>Проектирование устройства парковочных площадок (карманов и стоянок)</t>
  </si>
  <si>
    <t>2021 - 2025</t>
  </si>
  <si>
    <t>Количество диагностируемых надземных пешеходных переходов (мостов,путепроводов)</t>
  </si>
  <si>
    <t>ул. Дзержинского между ул. Ворошилова и ул. 40 лет Победы</t>
  </si>
  <si>
    <t>Борковский проезд от  ул. Вокзальная,54 до границы городского округа, южнее здания по адресу: ул. Вокзальная, 44Б</t>
  </si>
  <si>
    <t>ул.Офицерская от ул. Ботаническая до объекта недвижимости, имеющего адрес: ул. Офицерская, д.8, включая пересечение автодорог по ул.Полякова и ул.Офицерская</t>
  </si>
  <si>
    <t>улица Полякова от ул.Коммунальная до ул.Офицерская</t>
  </si>
  <si>
    <t>ул. Фрунзе между улицей Московским проспектом  и ул. Юбилейной</t>
  </si>
  <si>
    <t>ул. Мира между ул. Родины и ул. Победы</t>
  </si>
  <si>
    <t>ул. Крупской от бульвара 50 лет Октября до ул. Шлютова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</si>
  <si>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Западная часть квартала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</si>
  <si>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Восточная часть квартала</t>
  </si>
  <si>
    <t>Выполнение проектно-изыскательских работ по объекту: «Строительство магистральной улицы общегородского значения регулируемого движения в продолжение ул. Фермерской до Южного шоссе»</t>
  </si>
  <si>
    <t>Проектно- изыскательские работы на строительство подъездной автомобильной дороги (проезда) от внутриквартального проезда к земельному участку с кадастровым номером 63:09:0101159:10329 (Физкультурно-оздоровительный комплекс с универсальным игровым залом (36х18 м) по адресу: Самарская область, г. Тольятти, Автозаводский район, южнее здания №15 по бульвару Кулибина, для МБУДСДЮШОР № 8 «Союз»)</t>
  </si>
  <si>
    <t>Устройство  искусственных дорожных неровностей на ул.Матросова, д.37, д.60</t>
  </si>
  <si>
    <t>Установка дорожных знаков, ликвидация подхода к пешеходному переходу на ул. Матросова, в районе домов № 53, 134</t>
  </si>
  <si>
    <t>Устройство островка безопасности и дорожных знаков на ул. Карла Маркса - пересечение с ул. Максима Горького</t>
  </si>
  <si>
    <t>Устройство  искусственных неровностей трапецевидной формы по ул. Украинской перед пересечением с ул. Шлютова, устройство светофорного объекта,  установка дорожных знаков на ул. Шлютова - пересечение с ул. Украинская, ул.Шлютова д. № 108, д. № 110, д. 127</t>
  </si>
  <si>
    <t>Устройство пешеходного перехода, установка дорожных знаков, сокращение заездного кармана на ул. Новозаводская, в районе домов № 2, 2А, 2Е, 2Д.</t>
  </si>
  <si>
    <t>Устройство шумовых полос и информационных щитов индтвидуального проектирования на Автозаводском шоссе, в районе домов № 3, 5.</t>
  </si>
  <si>
    <t xml:space="preserve">Установка дорожных знаков при выезде с Цветного бульвара  и от дома №5 на
ул. Дзержинского
</t>
  </si>
  <si>
    <t>Установка дорожных знаков  в начале кривой сопряжения и дорожных знаков на разделительной полосе 4 проезда, ул. Транспортная  - пересечение с  4 проездом, ул. Транспортная, д.№  21Б</t>
  </si>
  <si>
    <t>Установка дорожных знаков   в районе д. № 52 по ул. Революционная</t>
  </si>
  <si>
    <t xml:space="preserve">Устройство  искусственных дорожных неровностей, установка дорожных знаков на б-ре Здоровья от ул. Свердлова до Ленинского пр-та </t>
  </si>
  <si>
    <t>Устройство  искусственных дорожных неровностей на ул. Фрунзе, д.2Г</t>
  </si>
  <si>
    <t>Устройство  искусственных дорожных неровностей на ул. Ленина, д.108, МБУ "№ 13", ООТ "Гагарина"</t>
  </si>
  <si>
    <t>Устройство  искусственных дорожных неровностей, установка дорожных знаков, устройство тротуара на ул. Льва Толстого, д.10</t>
  </si>
  <si>
    <t>Устройство искусственных дорожных неровностей, установка дорожных знаков на ул. Саратовская от ул. Самарской до ул. Украинской, д. 5</t>
  </si>
  <si>
    <t>Устройство  искусственных дорожных неровностей, установка дорожных знаков на дублере вдоль ул. Тополиная от ул. Дзержинского до Южного шоссе</t>
  </si>
  <si>
    <t>Устройство  искусственных дорожных неровностей, установка дорожных знаков на дублере вдоль ул. Ворошилова от ул. 40 лет Победы до ул.Дзержинского</t>
  </si>
  <si>
    <t>Устройство  искусственных дорожных неровностей, установка дорожных знаков на дублере вдоль ул.70 лет Октября от ул. Льва Яшина до ул. Офицерской</t>
  </si>
  <si>
    <t>Установка дорожных знаков, сокращение заездного кармана, установка пешеходных ограждений на ул. Матросова, в районе домов № 134</t>
  </si>
  <si>
    <t xml:space="preserve">Устройство  искусственных дорожных неровностей, установка дорожных знаков, нанесение дорожной разметки на ул.Ленина д.73 на пересечении с ул.Чапаева </t>
  </si>
  <si>
    <t>Устройство  искусственных дорожных неровностей, установка дорожных знаков на б-р Луначарского,2  (ул. Ворошилова, д.4)</t>
  </si>
  <si>
    <t>Устройство  искусственных дорожных неровностей, установка дорожных знаков на б-р Кулибина, д.2</t>
  </si>
  <si>
    <t xml:space="preserve">Ликвидация места разворота, сокращение заездного кармана, устройство тротуара, установка пешеходных ограждений на Московском пр-те, д.7                                                </t>
  </si>
  <si>
    <t>Устройство островков безопасности и установка дорожных знаков по пр-ту Степана Разина на пересечении с Ленинским проспектом</t>
  </si>
  <si>
    <t>Установка дорожных знаков и заездного кармана на ул.Новозаводская в районе д.6</t>
  </si>
  <si>
    <t>Установка П-образных опор и дорожных знаков на Южном шоссе, в районе д.№5</t>
  </si>
  <si>
    <t>Устройство световозвращателей дорожных на проезжей части Поволжского шоссе</t>
  </si>
  <si>
    <t>Устройство световозвращателей дорожных на проезжей части дороги от Московского пр-та до ул. Фермерской с. Подстепки</t>
  </si>
  <si>
    <t>Установка ограничивающих пешеходных ограждений на бульваре Ленина от ул. Ленинградская до ул.Баныкина (со стороны Краеведческого музея)</t>
  </si>
  <si>
    <t>Установка ограничивающих пешеходных ограждений на Молодежном б-ре от ул.Победы до ул.Ленина</t>
  </si>
  <si>
    <t>Установка ограничивающих пешеходных ограждений на ул.Жилина от пл.Свободы до ул.Ленинградская</t>
  </si>
  <si>
    <t>Устройство искусственных дорожных неровностей,  установка дорожных знаков  на внутриквартальном проезде вдоль ул. Железнодорожная от пр. Дорофеева до ул. Шлюзовая</t>
  </si>
  <si>
    <t>Устройство искусственных дорожных неровностей,  установка дорожных знаков на внутриквартальном проезде вдоль ул. 40 лет Победы (от Южное шоссе до ул. Тополиная)</t>
  </si>
  <si>
    <t>Установка дорожных знаков и перенос светофорного объекта на ул.Жилина в районе дома №24 (пересечение с ул.Мира)</t>
  </si>
  <si>
    <t>Ликвидация въезда (выезда), устройство дорожных знаков на бульваре Ленина в районе д.27 ул.Баныкина, д.16 "Г"</t>
  </si>
  <si>
    <t>Устройство искусственной дорожной неровности, установка дорожных знаков 
на проезде между ул. Баныкина и ул. Ленинградска ООШ №26 и Д/С "Тополек"</t>
  </si>
  <si>
    <t>Устройство островка безопасности, устройство искусственных дорожных неровностей, установка дорожных знаков на  перекрестке ул.М.Горького-ул.Октябрьская с/ш № 4</t>
  </si>
  <si>
    <t>Устройство искусственных дорожных неровностей на б-ре Космонавтов, д.17, с/ш № 79</t>
  </si>
  <si>
    <t>Устройство искусственных дорожных неровностей, установка дорожных знаков на ул. Шлютова, д.130 д/с "Соловушка"</t>
  </si>
  <si>
    <t>Устройство пешеходной дорожки на пересечении ул. Баныкина и ул. Жилина</t>
  </si>
  <si>
    <t>Перенос и устройство ООТ "улица Фрунзе" по Московскому проспекту</t>
  </si>
  <si>
    <t>Модернизация светофорного объекта и установка дорожных знаков  на  ул. Юбилейная - пересечение с ул. Фрунзе, ул.Фрунзе в районе домов 31а, 14 в</t>
  </si>
  <si>
    <t xml:space="preserve">Устройство светофорного объекта, установка дорожных знаков на ул. Громовой, д.1  ООТ "ул. Механизаторов"                                                                                                               </t>
  </si>
  <si>
    <t xml:space="preserve">Устройство светофорного объекта, установка дорожных знаков, устройство тротуара, установка пешеходных ограждений на ул. Матросова, д. 70                                                                                                                                            </t>
  </si>
  <si>
    <t>Устройство светофорного объекта, установка дорожных знаков на ул. Автостроителей, д.13 А ООТ "Гостиница Лада"</t>
  </si>
  <si>
    <t>Устройство светофорного объекта, установка дорожных знаков на ул. Автостроителей, д. 11 ООТ "Солнечный б-р"</t>
  </si>
  <si>
    <t>Установка дополнительных секций светофорного объекта с дорожными знаками по  ул. Ленинградской, перед пересечением с ул.Жилина</t>
  </si>
  <si>
    <t>Устройство светофорного объекта, установка дорожных знаков и устройство пешеходной дорожки на Южном шоссе в районе дома №36 ООТ "3-я вставка"</t>
  </si>
  <si>
    <t>Устройство светофорного объекта, установка дорожных знаков на Южном шоссе в районе дома №36 ООТ "Жигулевская долина"</t>
  </si>
  <si>
    <t>Модернизация светофорного объекта, установка дорожных знаков на ул. Заставная, д.№1, ООТ "Учебный центр"</t>
  </si>
  <si>
    <t xml:space="preserve">Устройство светофорных объектов, установка П-образных опор и дорожных знаков , устройство тротуара, установка пешеходных ограждений на пересечении ул. Спортивная д.3, д.5 и автодороги - продолжения пр-та Ст.Разина со стороны Лесопаркового шоссе </t>
  </si>
  <si>
    <t>Выполнение проектно-изыскательских работ по устройству линии наружного электроосвещения, в т.ч.инженерные изыскания по б-ру Буденного (от ул. Фрунзе до с/о №1) в Автозаводском районе городского округа Тольятти</t>
  </si>
  <si>
    <t>Проектирование устройства остановки общественного транспорта ООТ "Лыжная база" по ул.М. Жукова.</t>
  </si>
  <si>
    <t>Проектирование линий наружного освещения ООТ "Парк-хаус"</t>
  </si>
  <si>
    <t>Проектирование переноса  ООТ "Лесопитомник" по ул. Дзержинского.</t>
  </si>
  <si>
    <t>Проектирование устройства пешеходной дорожки вдоль ул. Шлютова от ул. Родины до ул. Победы</t>
  </si>
  <si>
    <t>Проектирование устройства пешеходной дорожки вдоль ул. Украинской</t>
  </si>
  <si>
    <t>Выполнение проектно-изыскательских работ по устройству линий наружного электроосвещения, в т.ч. инженерные изыскания по Хрящевскому шоссе (на участке от Южного шоссе до Обводного шоссе).</t>
  </si>
  <si>
    <t>Устройство наружного освещения на  Южном шоссе (на участке от опоры №501 до ул. Цеховая и от ул. Цеховая до опоры № 490)</t>
  </si>
  <si>
    <t>Выполнение работ по капитальному ремонту объекта: «Подземный пешеходный переход: подземный переход через автомобильную дорогу по адресу: Самарская область, г. Тольятти,
ул. Свердлова, в районе дома №80 (капитальный ремонт)»</t>
  </si>
  <si>
    <t>Установка дорожных знаков на  ул.Жилина, д. № 1</t>
  </si>
  <si>
    <t>Проектно-изыскательские работы на капитальный ремонт магистральной улицы общегородского значения регулируемого движения ул. Калмыцкая от ж/д переезда до ул. Васильевская</t>
  </si>
  <si>
    <t>Проектно-изыскательские работы на капитальный ремонт магистральной улицы общегородского значения регулируемого движения ул. Васильевская от ул. Калмыцкая до Обводного шоссе</t>
  </si>
  <si>
    <t>Проектно-изыскательские работы на устройство линии наружного освещения вдоль магистральной улицы общегородского значения регулируемого движения ул. Калмыцкая</t>
  </si>
  <si>
    <t>Ремонт дворовых территорий многоквартирных домов, проездов к дворовым территориям многоквартирных домов  городского округа Тольятти</t>
  </si>
  <si>
    <t xml:space="preserve">Количество устроенных линий наружного электроосвещения  </t>
  </si>
  <si>
    <t>Строительство магистральной улицы общегородского значения регулируемого движения ул. Офицерской</t>
  </si>
  <si>
    <t>Автодорога по улице Бузыцкова от Хрящевского шоссе до дома № 47 по ул.Бузыцкова</t>
  </si>
  <si>
    <t>ул. Грачева от Хрящевского шоссе до пересечения с ул. Бузыцкова</t>
  </si>
  <si>
    <t>Количество установленных дорожных знаков</t>
  </si>
  <si>
    <t>Количество вновь введенных (перенесенных) в эксплуатацию остановок общественного транспорта</t>
  </si>
  <si>
    <t>тыс. м.п.</t>
  </si>
  <si>
    <t xml:space="preserve">Подпрограмма "Повышение безопасности дорожного движения на период 2021-2025 гг."                      </t>
  </si>
  <si>
    <t xml:space="preserve">Перечень мероприятий муниципальной программы "Развитие транспортной системы и дорожного хозяйства городского округа Тольятти на 2021-2025 гг." </t>
  </si>
  <si>
    <r>
      <t xml:space="preserve">ПОКАЗАТЕЛИ (ИНДИКАТОРЫ)
</t>
    </r>
    <r>
      <rPr>
        <sz val="11.5"/>
        <rFont val="Times New Roman"/>
        <family val="1"/>
        <charset val="204"/>
      </rPr>
      <t>МУНИЦИПАЛЬНОЙ ПРОГРАММЫ "РАЗВИТИЕ ТРАНСПОРТНОЙ СИСТЕМЫ И ДОРОЖНОГО ХОЗЯЙСТВА ГОРОДСКОГО ОКРУГА ТОЛЬЯТТИ</t>
    </r>
    <r>
      <rPr>
        <sz val="12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НА 2021 - 2025 ГГ."</t>
    </r>
    <r>
      <rPr>
        <sz val="12"/>
        <rFont val="Times New Roman"/>
        <family val="1"/>
        <charset val="204"/>
      </rPr>
      <t xml:space="preserve">
</t>
    </r>
  </si>
  <si>
    <t>Показатели конечного результата муниципальной программы</t>
  </si>
  <si>
    <t>Площадь дорожных сооружений, находящихся на содержании</t>
  </si>
  <si>
    <t>Строительство автомобильных дорог общего пользования местного значения городского округа Тольятти, в т. ч. строительный контроль и авторский надзор</t>
  </si>
  <si>
    <t>объектов</t>
  </si>
  <si>
    <t>ул. Родины от ул. Баныкина до ул. Комзина</t>
  </si>
  <si>
    <t>ул. Коммунальная от ул. Борковская до Обводного шоссе</t>
  </si>
  <si>
    <t>ул. Мичурина от ул. Ленина д. №48 до Енисейского пр-да д. № 54А</t>
  </si>
  <si>
    <t>ул. Железнодорожная от ул. Никонова до М-5 Урал</t>
  </si>
  <si>
    <t>ул. Офицерская от ул. Борковская до ул. Ботаническая</t>
  </si>
  <si>
    <t>ул. Ушакова от ул. Мира до ул. Баныкина</t>
  </si>
  <si>
    <t>ул. Дорофеева от ул. Железнодорожная до ул. Гидротехническая</t>
  </si>
  <si>
    <t>ул. Тополиная от ул. 70 лет Октября до ул. Дзержинского</t>
  </si>
  <si>
    <t>ул. Макарова от ул. Никонова до ул. Гидротехническая</t>
  </si>
  <si>
    <t>ул. Ботаническая от Южного шоссе до ул.Дзержинского</t>
  </si>
  <si>
    <t>ул. Жилина от ул. Мира до площади Свободы</t>
  </si>
  <si>
    <t>Проектирование устройства пешеходных дорожек, в т.ч. экспертиза проектов</t>
  </si>
  <si>
    <t>Предоставление транспортных услуг населению</t>
  </si>
  <si>
    <t>Перечень объектов подпрограммы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гг" и финансовые ресурсы</t>
  </si>
  <si>
    <t>Проектно-изыскательские работы по устройству линий наружного электроосвещения</t>
  </si>
  <si>
    <t>нераспр.остаток</t>
  </si>
  <si>
    <t xml:space="preserve">Содержание автомобильных дорог местного значения и внутриквартальных проездов </t>
  </si>
  <si>
    <t>Площадь содержания автомобильных дорог местного значения и внутриквартальных проездов</t>
  </si>
  <si>
    <t>Содержание автомобильных дорог местного значения и внутриквартальных проездов</t>
  </si>
  <si>
    <t>Строительный контроль и авторский надзор на объекте: "Строительство магистральной улицы общегородского значения регулируемого движения ул. Офицерской"</t>
  </si>
  <si>
    <t>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</si>
  <si>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</si>
  <si>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Строительный контроль на объектах капитального строительства</t>
  </si>
  <si>
    <t>г.о.Тольятти, ул. Революционная ООТ"Сатурн" и ООТ "1000 мелочей"</t>
  </si>
  <si>
    <t>г.о. Тольятти, ул. Революционная ООТ "Универсам"</t>
  </si>
  <si>
    <t>г.о.Тольятти, ул. Революционная пересечение с Ленинским проспектом</t>
  </si>
  <si>
    <t xml:space="preserve">г.о. Тольятти, Ленинский проспект, д. №54Б/3 по ул.Революционная </t>
  </si>
  <si>
    <t>г.о.Тольятти ул. Кудашева, начало населенного пункта</t>
  </si>
  <si>
    <t>г.о.Тольятти, ул.Васильевская в районе перекрестка с Обводным шоссе, начало населенного пункта</t>
  </si>
  <si>
    <t>г.о. Тольятти, ж/д переезд ул. Вокзальная, д.№101</t>
  </si>
  <si>
    <t>г.о. Тольятти, ж/д переезд ул. Железнодорожная,д.№ 34 и д.34 ст.1 (два переезда)</t>
  </si>
  <si>
    <t>г.о. Тольятти, ж/д переезд, ул. Железнодорожная, д.№ 42</t>
  </si>
  <si>
    <t>г.о. Тольятти, ж/д переезд ул. Индустриальная, пикет 0-500 (2,5 переезда)</t>
  </si>
  <si>
    <t>г.о. Тольятти, ж/д переезд ул. Индустриальная, пикет 500- 1000 (1,5 переезда)</t>
  </si>
  <si>
    <t>г.о. Тольятти, ж/д переезд ул. Индустриальная, пикет 1000-1500</t>
  </si>
  <si>
    <t>г.о. Тольятти, ж/д переезд проезд перед ул. Калмыцкой (два переезда)</t>
  </si>
  <si>
    <t>г.о. Тольятти, ж/д переезд ул. Калмыцкая между ул. Новозаводской и ул. Васильевской</t>
  </si>
  <si>
    <t>г.о. Тольятти, ж/д переезд ул. Коммунистическая, д. № 102 "а" (два переезда)</t>
  </si>
  <si>
    <t>г.о. Тольятти, ж/д переезд ул. Ларина, д.№ 148</t>
  </si>
  <si>
    <t>г.о. Тольятти, ж/д переезд ул. Ларина, д.№ 151</t>
  </si>
  <si>
    <t>г.о. Тольятти, ж/д переезд ул. Ларина, д.№ 169</t>
  </si>
  <si>
    <t>г.о. Тольятти, ж/д переезд ул. Коммунистическая, д.№ 115</t>
  </si>
  <si>
    <t>г.о. Тольятти, ж/д переезд ул. Никонова, д. № 43</t>
  </si>
  <si>
    <t>г.о. Тольятти, ж/д переезд ул. Окраинная, д.№ 85 по ул. Северной</t>
  </si>
  <si>
    <t>г.о. Тольятти, ж/д переезд ул. Окраинная, д. № 100 по ул. Вокзальной</t>
  </si>
  <si>
    <t>г.о. Тольятти, ж/д переезд Поволжское шоссе, д.№ 34</t>
  </si>
  <si>
    <t>г.о. Тольятти, ж/д переезд ул. Подгорная, д.№ 25 (перегон канал-Пискалы)</t>
  </si>
  <si>
    <t>г.о. Тольятти, ж/д переезд Хрящевское шоссе, д. № 13</t>
  </si>
  <si>
    <t>г.о. Тольятти, ул.40 лет Победы ООТ "ЖК "Лесной""</t>
  </si>
  <si>
    <t>г.о. Тольятти, ул.40 лет Победы, ООТ "14 "а" квартал"</t>
  </si>
  <si>
    <t>г.о. Тольятти, ул.40 лет Победы  ООТ "Медучилище"</t>
  </si>
  <si>
    <t>г.о. Тольятти, ул.40 лет Победы ООТ "Школа №86"</t>
  </si>
  <si>
    <t>г.о. Тольятти, ул.Гидротехническая - ул.Макарова перекресток</t>
  </si>
  <si>
    <t>г.о. Тольятти, ул.Дзержинского ООТ "Бульвар Кулибина"</t>
  </si>
  <si>
    <t>г.о. Тольятти, ул. Ингельберга,  д.№ 52 Школа №15</t>
  </si>
  <si>
    <t>г.о. Тольятти, Комзина-Комсомольское шоссе перекресток</t>
  </si>
  <si>
    <t>г.о. Тольятти, ул.Матросова,  д. №134 ООТ "МТЦ"</t>
  </si>
  <si>
    <t>г.о. Тольятти, Обводная дорога пос.Приморский</t>
  </si>
  <si>
    <t>г.о. Тольятти, Поволжское шоссе, ул.Раздольная, ( подземный газопровод)</t>
  </si>
  <si>
    <t>г.о. Тольятти, ул. Украинская от бульвара 50 лет Октября до ул. Шлютова</t>
  </si>
  <si>
    <t>г.о. Тольятти, ул.Фрунзе, д. №22, д.№47 перекресток с Московским проспектом</t>
  </si>
  <si>
    <t>г.о. Тольятти, ул.40 лет Победы,  д. №15 по Южному шоссе</t>
  </si>
  <si>
    <t>г.о. Тольятти, Победы-Шлютова перекресток</t>
  </si>
  <si>
    <t>г.о.Тольятти ул. Кудашева</t>
  </si>
  <si>
    <t>г.о. Тольятти, ул.40 лет Победы, д. № 26</t>
  </si>
  <si>
    <t>г.о. Тольятти, ул.Автостроителей, д.№ 9</t>
  </si>
  <si>
    <t>г.о. Тольятти, ул.Автостроителей, д. №17, 38 ООТ "Школа №82"</t>
  </si>
  <si>
    <t>г.о. Тольятти, ул.Баныкина ООТ "72-й квартал"</t>
  </si>
  <si>
    <t>г.о. Тольятти, ул.Баныкина ООТ "Магазин "Юность""</t>
  </si>
  <si>
    <t>г.о. Тольятти, ул.Баныкина ООТ  "Спецавтохозяйство"</t>
  </si>
  <si>
    <t>г.о. Тольятти, ул.Баныкина ООТ "Школа №1"</t>
  </si>
  <si>
    <t>г.о. Тольятти, ул.Голосова,д.№ 105 "а"  ООТ "АТС-26"</t>
  </si>
  <si>
    <t>г.о. Тольятти, ул.Коммунальная, д. №23 ООТ "Военный госпиталь"</t>
  </si>
  <si>
    <t>г.о. Тольятти, ул.Коммунальная, д. №33 ООТ "Пивзавод"</t>
  </si>
  <si>
    <t>г.о. Тольятти, ул.Комсомольская ООТ "Информцентр"</t>
  </si>
  <si>
    <t>г.о. Тольятти, Ленинский проспект перед примыканием к Московскому  проспекту, д. 33 по Московскому проспекту</t>
  </si>
  <si>
    <t>г.о. Тольятти, ул.Базовая, д. №7</t>
  </si>
  <si>
    <t>г.о. Тольятти, Ленинский проспект, д. №40, д.№31</t>
  </si>
  <si>
    <t>г.о. Тольятти, бульвар Луначарского, д. №1, №3</t>
  </si>
  <si>
    <t>г.о. Тольятти, бульвар Луначарского,  д. №21</t>
  </si>
  <si>
    <t>г.о. Тольятти, бульвар Луначарского,  д. №15, д.№17</t>
  </si>
  <si>
    <t>г.о. Тольятти, ул. Маршала Жукова, д. № 56  ООТ "Прилесье"</t>
  </si>
  <si>
    <t>г.о. Тольятти, проспект Ст. Разина, д.№ 80</t>
  </si>
  <si>
    <t>г.о. Тольятти, ул. Транспортная - Аптечный проезд перекресток</t>
  </si>
  <si>
    <t>г.о. Тольятти, ул.Шлюзовая, д. №14, д.№35</t>
  </si>
  <si>
    <t>план на 2023:</t>
  </si>
  <si>
    <t>в районе ООТ "Аптека" по ул. Революционная</t>
  </si>
  <si>
    <t>в районе ООТ "Универсам" по ул. Революционная</t>
  </si>
  <si>
    <t>б-р Здоровья</t>
  </si>
  <si>
    <t>Устройство искусственных дорожных неровностей на Яблоневом проезде (от ул. Кирова до ул. Добролюбова)</t>
  </si>
  <si>
    <t>Устройство искусственных дорожных неровностей в районе досугового центра "Русич по ул. Никонова" (Устройство искусственных дорожных неровностей).</t>
  </si>
  <si>
    <t>Устройство искусственных дорожных неровностей на проезде вдоль территории СОШ №61 (ул.Свердлова,23), д/с №115 "Салют" (ул. Свердлова, 27)</t>
  </si>
  <si>
    <t>Устройство искусственных дорожных неровностей по б-ру Орджоникидзе до дома №20 по пр-ту Ст. Разина</t>
  </si>
  <si>
    <t>Устройство искусственных дорожных неровностей по ул. Патрульная</t>
  </si>
  <si>
    <t>Устройство искусственных дорожных неровностей на внутриквартальном проезде от ул. Баныкина до ул. Мира вдоль территории д/с №49 "Веселые нотки"</t>
  </si>
  <si>
    <t>Устройство искусственных дорожных неровностей по внутриквартальному проезду от пр. Ст. Разина до ул. Юбилейная в районе ОЦ "Школа", "Школа №73", "Школа №76"</t>
  </si>
  <si>
    <t>Устройство искусственных дорожных неровностей в районе дома №102 на ул. Ставропольская (д/с №100 "Островок").</t>
  </si>
  <si>
    <t xml:space="preserve">Диагностика надземных пешеходных переходов (мостов,путепроводов) (путепровод через а/д на пересечении ул. Громовой – Поволжское шоссе г.о. Тольятти; путепровод через а/д на пересечении ул. Революционная – Ленинский проспект г.о. Тольятти)
</t>
  </si>
  <si>
    <t>Устройство искусственных дорожных неровностей в районе МБУ "Школа № 89" (ул.Дзержинского д. №39)</t>
  </si>
  <si>
    <t>Проектно-изыскательские работы по объекту "Реконструкция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Приморский" (1 этап)</t>
  </si>
  <si>
    <t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</t>
  </si>
  <si>
    <t xml:space="preserve"> 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</t>
  </si>
  <si>
    <t>Количество отремонтированных путем капитального ремонта и ремонта надземных и подземных пешеходных переходов</t>
  </si>
  <si>
    <t>Количество разработанной документации по строительному контролю при капитальном ремонте</t>
  </si>
  <si>
    <t>Ремонт автомобильных дорог местного значения</t>
  </si>
  <si>
    <t>Осуществление строительного контроля на объекте: 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</si>
  <si>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Подземный пешеходный переход: подземный переход через автомобильную дорогу по адресу: Самарская область, г. Тольятти, ул. Свердлова, в районе дома № 80 (капитальный ремонт)</t>
  </si>
  <si>
    <t>Устройство разворотной площадки из асфальтогранулята в мкр.Северный</t>
  </si>
  <si>
    <t>Осуществление технологического присоединения к электрическим сетям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</si>
  <si>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 xml:space="preserve">ООТ "14 квартал" </t>
  </si>
  <si>
    <t>ООТ "ВЦМ"</t>
  </si>
  <si>
    <t>ООТ "МТЦ"</t>
  </si>
  <si>
    <t>вдоль ул. Пескалинская на участке от ул. Удалецкая до ул. Весенняя</t>
  </si>
  <si>
    <t>ООТ "Дилижанс"</t>
  </si>
  <si>
    <t>ПБДД</t>
  </si>
  <si>
    <t>МРАД</t>
  </si>
  <si>
    <t>СУДС</t>
  </si>
  <si>
    <t>РГПТ</t>
  </si>
  <si>
    <t>Количество разработанной документации по технологическому присоединению к электрическим сетям объектов капитального ремонта автомобильных дорог общего пользования местного значения городского округа Тольятти</t>
  </si>
  <si>
    <t>Предоставление субсидии на возмещение недополученных доходов и  финансовое обеспечение (возмещение) затрат в связи с выполнением работ по перевозке отдельных категорий граждан по социальной карте жителя Самарской области в связи с сокращением пассажиропотока в условиях угрозы распространения новой коронавирусной инфекции (COVID-19)</t>
  </si>
  <si>
    <t>Предоставление субсидий исполнителям, выполняющим работы по перевозке пассажиров и багажа транспортом общего пользования</t>
  </si>
  <si>
    <t>Экспертиза работ, выполняемых по объекту: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</si>
  <si>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ул. 40 лет Победы, ООТ "Школа №70"</t>
  </si>
  <si>
    <t>ул. Громовой, ООТ "УТЭП"</t>
  </si>
  <si>
    <t>ул. Фрунзе, ООТ "11 квартал"</t>
  </si>
  <si>
    <t>ул. Вокзальная, ООТ "Кузнечно-прессовый цех</t>
  </si>
  <si>
    <t>ул. Железнодорожная, ООТ "Поликлиника"</t>
  </si>
  <si>
    <t>г.о. Тольятти, ул. Революционная ООТ "Ателье мод"</t>
  </si>
  <si>
    <t>Количество разработанной документации по строительному контролю и авторскому надзору по реконструкции объектов дорожного хозяйства</t>
  </si>
  <si>
    <t>Оказание услуг по проведению проверки сметной стоимости</t>
  </si>
  <si>
    <t>Количество заключений о достоверности определения сметной стоимости</t>
  </si>
  <si>
    <t>Количество разработанной документации по строительному контролю и авторскому надзору по строительству объектов дорожного хозяйства</t>
  </si>
  <si>
    <t>Доля отечественного оборудования (товаров, работ, услуг) в общем объеме закупок</t>
  </si>
  <si>
    <t>Ремонт автомобильной дороги по боковому проезду ул. Маршала Жукова от дома №1 до дома №35 по ул.Маршала Жукова</t>
  </si>
  <si>
    <t>Ремонт автомобильной дороги по ул. Тополиная (от  ул. 70 лет Октября до ул.40 лет Победы)</t>
  </si>
  <si>
    <t>Проектно-изыскательские работы на строительство улицы Ивана Красюка в жилой застройке микрорайона Жигулевское море от ул. Казачьей до пересечения ул. Молодецкая и проезда Оренбургский</t>
  </si>
  <si>
    <t>Проектно-изыскательские работы на строительство улицы Казачья в жилой застройке микрорайона Жигулевское море от ул. Ивана Красюка до ул. Бориса Коваленко</t>
  </si>
  <si>
    <t>Устройство искусственных дорожных неровностей на ул. Советская, 53 д/с "Жар-Птица"</t>
  </si>
  <si>
    <t>Устройство искусственных дорожных неровностей по ул. Фрунзе в районе ООТ "Маршала Жукова"</t>
  </si>
  <si>
    <t xml:space="preserve">Замена опор и установка подсветки, дублирующей сигналы светофоров на ул. 40 лет Победы, д.80 </t>
  </si>
  <si>
    <t>Установка светофоров Т7, сокращение заездного кармана, устройство тротуара на ул. Мира, д.170</t>
  </si>
  <si>
    <t>Устройство светофорного объекта с применением подсветки, дублирующий сигнал светофоров на ул. Голосова, д. 30А</t>
  </si>
  <si>
    <t>Устройство светофорного объекта, установка дорожных знаков и устройство пешеходной дорожки на Южном шоссе в районе дома №36 ООТ "1-я вставка"</t>
  </si>
  <si>
    <t>Устройство светофорного объекта, установка дорожных знаков, установка пешеходных ограждений на Южном шоссе в районе ООТ "Машиностроительный колледж"</t>
  </si>
  <si>
    <t>Установка светофора Т7,  установка пешеходных ограждений на ул. Мира в районе домов № 96, 96 А,100 Б, ООТ "Дом природы"</t>
  </si>
  <si>
    <t>Устройство светофоров Т7, устройство пешеходного перехода, устройство ИДН, устройство пешеходной дорожки, установка дорожных знаков, установка пешеходных ограждений на б-ре Королева, д. № 12</t>
  </si>
  <si>
    <t xml:space="preserve">Установка секций транспортных светофоров,  установка дорожных знаков перед
пересечением проезжих частей, по ул. Ларина и по ул. Новозаводской </t>
  </si>
  <si>
    <t>Осуществление технологического присоединения энергопринимающих устройств к электрическим сетям, в т.ч.:</t>
  </si>
  <si>
    <t>ул. Северная (на участке от ул. Борковская до дома № 105 по ул. Северная)</t>
  </si>
  <si>
    <t>Осуществление технологического присоединения энергопринимающих устройств к электрическим сетям</t>
  </si>
  <si>
    <t>ООТ "АвтоВАЗагро" по ул.Ботаническая</t>
  </si>
  <si>
    <t>Устройство линий наружного электроосвещения мест концентрации ДТП, в т.ч.:</t>
  </si>
  <si>
    <t>ул. Октябрьская от ул. Комсомольская до здания 55 по ул. Октябрьская</t>
  </si>
  <si>
    <t>ул. Громовой, от ул. Матросова до ул.Куйбышева, северо-западнее объекта недвижимости, имеющего адрес: ул. Громовой, 92</t>
  </si>
  <si>
    <t>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 (I этап)</t>
  </si>
  <si>
    <t>Департамент дорожного хозяйства и транспорта администрации городского округа Тольятти, департамент градостроительной деятельности администрации городского округа Тольятти</t>
  </si>
  <si>
    <t>Уровень исполнения обязательств по лизингу (с нарастающим итогом)</t>
  </si>
  <si>
    <t>5,54 / -</t>
  </si>
  <si>
    <t>в том числе в рамках реализации национального проекта "Безопасные качественные дороги"</t>
  </si>
  <si>
    <t>устройство тротуара к поликлинике на 500 посещений в смену</t>
  </si>
  <si>
    <t>Приобретение диагностической дорожной лаборатории</t>
  </si>
  <si>
    <t>2021-2022</t>
  </si>
  <si>
    <t>2021-2024</t>
  </si>
  <si>
    <t>Проектно-изыскательские работы по капитальному ремонту автомобильной дороги к ОАО "Жито" от ул. Коммунистической</t>
  </si>
  <si>
    <t>Ремонт проезда Тупиковый, 2, строение, 3 до ул. Новозаводская</t>
  </si>
  <si>
    <t>Проектно-изыскательские работы на создание и эксплуатацию объекта: «Пункт автоматического весогабаритного контроля в г.Тольятти»</t>
  </si>
  <si>
    <t>Капитальный ремонт путепровода через автодорогу Восточная завода – часть улицы Борковской</t>
  </si>
  <si>
    <t>Проектно-изыскательские работы по строительству улично-дорожной сети в мкр. "Тимофеевка-2" (1 этап)</t>
  </si>
  <si>
    <t>Проектно-изыскательские работы по строительству улично-дорожной сети в мкр. Новоматюшкино (1 этап)</t>
  </si>
  <si>
    <t>б-р Буденного;</t>
  </si>
  <si>
    <t>ул. Калмыцкая</t>
  </si>
  <si>
    <t>Хрящёвское шоссе на участке от Южного шоссе до Обводного шоссе;</t>
  </si>
  <si>
    <t>план на 2024:</t>
  </si>
  <si>
    <t>ООТ по ул. Лесная на участке от бульвара 50 лет Октября до ул. Комсомольской</t>
  </si>
  <si>
    <t>ООТ по ул. Льва Толстого</t>
  </si>
  <si>
    <t>ООТ по Ленинскому проспету на участке от ул. Революционной до Московского проспекта</t>
  </si>
  <si>
    <t>ООТ по ул. Телеграфная</t>
  </si>
  <si>
    <t>ООТ по ул. Нижегородская</t>
  </si>
  <si>
    <t>ООТ "Административный центр" по ул. Фрунзе</t>
  </si>
  <si>
    <t>ООТ "Медсанчасть №8" по ул. Лизы Чайкиной</t>
  </si>
  <si>
    <t>ООТ "Управление кадров ВАЗа по Южному шоссе"</t>
  </si>
  <si>
    <t>ООТ "ГАИ Комсомольского района" по ул. Коммунистическая</t>
  </si>
  <si>
    <t>ООТ "Детский городок"</t>
  </si>
  <si>
    <t>ООТ "Грузовое автохозяйство"</t>
  </si>
  <si>
    <t>ООТ "Гидротехническая" по ул. Гидротехническая</t>
  </si>
  <si>
    <t>ООТ "Русь" по ул.Революционная.</t>
  </si>
  <si>
    <t>ООТ "Учебный центр" по ул. Воскресенской</t>
  </si>
  <si>
    <t>ООТ "Стоматологическая поликлиника" по ул. Свердлова</t>
  </si>
  <si>
    <t>ООТ "Вега" по ул. Спортивной</t>
  </si>
  <si>
    <t>ООТ "Дворец спорта Волгарь" по Приморскому бульвару</t>
  </si>
  <si>
    <t>ООТ "Магазин "Восход" по ул. Свердлова</t>
  </si>
  <si>
    <t>ООТ "По требованию" на ул. Новозаводская между ООТ "КуйбышевАзот" и ООТ "Химэнергострой"</t>
  </si>
  <si>
    <t>ООТ "По требованию" по ул. Ушакова</t>
  </si>
  <si>
    <t>ООТ "3-я проходная СК" на ул. Ларина</t>
  </si>
  <si>
    <t>ООТ " ул.Железнодорожная" по проезду Дорофеева</t>
  </si>
  <si>
    <t>ООТ в районе ТД "Жигулевское море" (ул. Куйбышева, 18а)</t>
  </si>
  <si>
    <t>ООТ "ХимЭнергоСтрой" в районе дома №6 по ул. Новозаводская.</t>
  </si>
  <si>
    <t>"Туб. Диспансер" по ул. Телеграфная,34</t>
  </si>
  <si>
    <t>ул. Макарова, в районе дома №22)</t>
  </si>
  <si>
    <t>ул. Жилина (сторона Тольяттинской городской клинической больницы им. В.В. Баныкина)</t>
  </si>
  <si>
    <t>ул. Советской (сторона Тольяттинской городской клинической больницы им. В.В. Баныкина)</t>
  </si>
  <si>
    <t>в районе спортивного комплекса "СТАРТ" (ул. Республиканская,1)</t>
  </si>
  <si>
    <t>Ликвидация выезда от ГСК на ул. Дзержинского</t>
  </si>
  <si>
    <t>Проектирование устройства парковочных площадок (карманов и стоянок), в т.ч.:</t>
  </si>
  <si>
    <t>Устройство островка безопасности в районе пересечения ул. Коммунальной и ул. Полякова</t>
  </si>
  <si>
    <t>Ликвидация въездов и парковочных карманов в районе домов 74,76 по ул. Дзержинского</t>
  </si>
  <si>
    <t>ул. Калинина</t>
  </si>
  <si>
    <t>нечетная сторона ул. Первомайской</t>
  </si>
  <si>
    <t>ул. Горького на участке от ул. Карла Маркса до ул. Лесной</t>
  </si>
  <si>
    <t>пешеходная дорожка из плит ПБ вдоль ул. Садовая</t>
  </si>
  <si>
    <t>с четной и нечетной стороны по ул. Ботаническая</t>
  </si>
  <si>
    <t>вдоль улицы Льва Толстого от ул. Герцена до ул. Ленина (с обеих сторон)</t>
  </si>
  <si>
    <t>вдоль ул. Фёдоровские луга</t>
  </si>
  <si>
    <t>ООТ "Лыжная база" по М. Жукова</t>
  </si>
  <si>
    <t>ул.Матросова в районе дома №26 (д/с №69 "Веточка")</t>
  </si>
  <si>
    <t>внутрикварталькый проезд по ул.Комсомольская 165</t>
  </si>
  <si>
    <t>ул.Голосова д.57, д.59, д.61</t>
  </si>
  <si>
    <t>ул.Л.Чайкиной, д.69 и д.71</t>
  </si>
  <si>
    <t>в районе дома №66 по ул.Ларина (Центр технического творчества)</t>
  </si>
  <si>
    <t>по проезду Почтовый, в районе нома №95 по ул.Ленина (Д/с №41 "Огонек").</t>
  </si>
  <si>
    <t>в районе дома №84 по ул.Мурысева (Педколледж)</t>
  </si>
  <si>
    <t>в районе дома №10 и №14 по бульвару Татищева</t>
  </si>
  <si>
    <t>по ул.40 лет Победы №106, ул.Ворошилова №61</t>
  </si>
  <si>
    <t>ул. Ингельберга, 52 в районе СШ № 15</t>
  </si>
  <si>
    <t>ул. Карла Маркса, 59 в районе Лицей № 19</t>
  </si>
  <si>
    <t>ул. Ленина, 108 в районе СОШ № 24</t>
  </si>
  <si>
    <t>ул. Олимпийская, 24 (по ул. Сиреневая) в районе СШ № 25</t>
  </si>
  <si>
    <t>ул. Комсомольская, 141 в районе д/с "Яблонька"</t>
  </si>
  <si>
    <t>б-р Туполева, 12 в районе СОШ № 47</t>
  </si>
  <si>
    <t>б-р Кулибина, 17 в районе Гимназия № 35</t>
  </si>
  <si>
    <t>ул. Баныкина, 12 в районе СОШ № 26</t>
  </si>
  <si>
    <t>ул. Советская, 53 в районе д/с "Жар-Птица"</t>
  </si>
  <si>
    <t>ул. Октябрьская, 57 в районе Школа № 4 (корпус)</t>
  </si>
  <si>
    <t>ул. Мурысева, 89а в районе С/Ш № 18</t>
  </si>
  <si>
    <t>ул. Шлюзовая, 8 в районе Школа интернат № 1</t>
  </si>
  <si>
    <t>ул. Первомайская (в районе домов 21, 23 по б-ру 50 лет Октября) в районе СОШ № 21, д/с № 90 "Золотое зернышко", д/с № 27 "Лесовичек"</t>
  </si>
  <si>
    <t>ул. Ставропольская, 19 в районе СОШ № 23</t>
  </si>
  <si>
    <t>ул. Матросова, 33, 37 в районе Техникум, колледж</t>
  </si>
  <si>
    <t>проезд от Ст. разина до ул. Ворошилова (9 кв) в районе д/с № 22 "Лучик"</t>
  </si>
  <si>
    <t>Ленинский пр-т 42, 35 в районе МБУ Школа № 40 и МБОУ "Элегия"</t>
  </si>
  <si>
    <t>ул. Юбилейная, 81 в районе МБУ Школа № 73</t>
  </si>
  <si>
    <t>Цветной б-р, 13 МБУ Школа № 82</t>
  </si>
  <si>
    <t>ул. Дзержинского, 1, ул. 40 лет Победы, 74 в районе МБУ Д/С № 200 "Волшебный башмачок", Д/С № 193 "Земляничка", СОШ № 70, Д/С № 187 "Солнышко"</t>
  </si>
  <si>
    <t>ул. Чуковского, 3 в районе МБУ Д/С № 20 "Снежок"</t>
  </si>
  <si>
    <t>ул. Баныкина, 38 в районе МБУ ДМО "Шанс"</t>
  </si>
  <si>
    <t>Количество разработанной проектно-сметной документации по капитальному ремонту путепроводов</t>
  </si>
  <si>
    <t>Проектно-изыскательские работы по капитальному ремонту путепроводов, подземных пешеходных переходов и мостов</t>
  </si>
  <si>
    <t>Количество разработанной проектно-сметной документации по капитальному ремонту подземных пешеходных переходов</t>
  </si>
  <si>
    <t>ул.Коммунистическая от д.№9 до д.17 по ул.Куйбышева</t>
  </si>
  <si>
    <t>ул.Заставная от Южного шоссе до ул.Дзержинского</t>
  </si>
  <si>
    <t>ул.Ларина от ул.Новозаводская до ул.Васильевская</t>
  </si>
  <si>
    <t>Тупиковый проезд от объекта, имеющего адрес: проезд Тупиковый, 2 строение 3, до улицы Новозаводской, юго-восточнее объекта, имеющего адрес: проезд Тупиковый, 2, строение 3</t>
  </si>
  <si>
    <t xml:space="preserve">Количество разработанной проектно-сметной документации по устройству линии наружного освещения </t>
  </si>
  <si>
    <t>Протяженность автомобильных дорог, на которых выполнена диагностика и оценка транспортно-эксплуатационного состояния дорог</t>
  </si>
  <si>
    <t>переход в районе ООТ «Парк Хаус»;</t>
  </si>
  <si>
    <t>ИТОГО ПО ПОДПРОГРАММЕ "МРАД"                                                   с учетом оплаты ранее принятых обязательств</t>
  </si>
  <si>
    <t>ИТОГО ПО ПОДПРОГРАММЕ "МРАД"                                                   без учета оплаты ранее принятых обязательств</t>
  </si>
  <si>
    <t>оплата ранее принятых обязательств</t>
  </si>
  <si>
    <t>ИТОГО ПО МУНИЦИПАЛЬНОЙ ПРОГРАММЕ                                                   без учета оплаты ранее принятых обязательств</t>
  </si>
  <si>
    <t>ИТОГО ПО МУНИЦИПАЛЬНОЙ ПРОГРАММЕ                                                   с учетом оплаты ранее принятых обязательств</t>
  </si>
  <si>
    <t>Оплата ранее принятых обязательств</t>
  </si>
  <si>
    <t>ул. Цеховая от ул.Вокзальной до ул.Северной</t>
  </si>
  <si>
    <t>ул.Цеховая от Южного шоссе до ул.Вокзальной</t>
  </si>
  <si>
    <t>Количество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</si>
  <si>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ул.Грачева от д.30 по ул.Грачева до д.46 по ул.Грачева</t>
  </si>
  <si>
    <t>Количество приобретенных передвижных специализированных дорожных лабораторий</t>
  </si>
  <si>
    <t>Количество устроенных островков безопасности, пандусов и замененных остановок общественного транспорта</t>
  </si>
  <si>
    <t>Количество перевезенных пассажиров льготной категории граждан за которых выплачена субсидия перевозчикам  в условиях угрозы распространения новой коронавирусной инфекции</t>
  </si>
  <si>
    <t>Количество разработанной проектной документации по устройству пункта автоматического весогабаритного контроля</t>
  </si>
  <si>
    <t>Протяженность дорог, находящихся в нормативном состоянии,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</si>
  <si>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построенных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</si>
  <si>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реконструированных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</si>
  <si>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Доля отремонтированных за счет капитального ремонта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</si>
  <si>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</t>
  </si>
  <si>
    <t>2022, 2025</t>
  </si>
  <si>
    <t>ул. Революционная от Ленинского пр-та до Приморского бульвара</t>
  </si>
  <si>
    <t>Лесопарковое шоссе, от пр-та Степана Разина до ул. Комзина, западнее здания, имеющего адрес: Комзина, 12</t>
  </si>
  <si>
    <t>Доля объектов, на которых предусматривается использование новых наилучших технологий, включенных в Реестр наилучших технологий</t>
  </si>
  <si>
    <t>270,51 / 247,61</t>
  </si>
  <si>
    <t xml:space="preserve">Техническое присоединение к централизованной системе водоотведения объекта: "Строительство магистральной улицы общегородского значения регулируемого движения ул. Офицерской" </t>
  </si>
  <si>
    <t xml:space="preserve">Осуществление строительного контроля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</si>
  <si>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 xml:space="preserve">план на 2021-2022: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</si>
  <si>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</si>
  <si>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2
к муниципальной программе
"Развитие транспортной системы
и дорожного хозяйства
городского округа Тольятти
на 2021 - 2025 гг."
</t>
  </si>
  <si>
    <t>Выполнение работ по ремонту съездов с Поволжского шоссе на Обводное шоссе</t>
  </si>
  <si>
    <t>Проектно-изыскательские работы по устройству линий наружного электроосвещения, в т.ч:</t>
  </si>
  <si>
    <t xml:space="preserve">Проектирование устройства пешеходных дорожек, в т.ч. экспертиза проектов, в т.ч: </t>
  </si>
  <si>
    <t>Количество разработанной документации по строительному контролю при капитальном ремонте надземных и подземных пешеходных переходов</t>
  </si>
  <si>
    <t>ул. Фрунзе, в районе домов №№ 26,47 (перекресток улицы Фрунзе и Московского проспекта)</t>
  </si>
  <si>
    <t>Осуществление технологического присоединения к электрическим сетям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</si>
  <si>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Проектирование установки РМП на пересечении Московского пр-та и ул. Дзержинского</t>
  </si>
  <si>
    <t>Выполнение работ по обеспечению безопасности участников дорожного движения</t>
  </si>
  <si>
    <t>По устройству бортового камня для изменения геометрии выезда в районе дома № 12  по ул. Автостроителей</t>
  </si>
  <si>
    <t>Выполнение работ по обеспечению безопасности участников дорожного движения, в т.ч.:</t>
  </si>
  <si>
    <t>По устройству бортового камня для изменения геометрии выезда в районе дома № 58 по ул. Баныкина</t>
  </si>
  <si>
    <t>По устройству бортового камня для изменения геометрии выезда в районе дома №7 по ул. Ботанической</t>
  </si>
  <si>
    <t>По установке дорожных удерживающих боковых ограждении по внутреннему радиусу на Комсомольском шоссе в районе опор №145,146,149 и 150</t>
  </si>
  <si>
    <t>По устройству тротуара перекресток ул. Ленина и ул. М. Горького</t>
  </si>
  <si>
    <t>По устройству бортового камня для изменения геометрии разделительной полосы на пересечении ул. Победы и ул. Комсомольской</t>
  </si>
  <si>
    <t>По устройству бортового камня для изменения геометрии разворота на ул. Фрунзе в районе дома №35</t>
  </si>
  <si>
    <t>По устройству поперечных шумовых полос по ул. Шлютова  перекресток с улицей Украинской</t>
  </si>
  <si>
    <t>По установке щитов "Аварийно-опасный участок" по адресу Южное шоссе пересечение с Хрящевским и Автозаводским шоссе</t>
  </si>
  <si>
    <t>г.о. Тольятти, ул. Революционная от Ленинского проспекта до ул. Дзержинского</t>
  </si>
  <si>
    <t>Количество разработанной документации по технологическому присоединению к электрическим сетям объектов реконструкции автомобильных дорог общего пользования местного значения городского округа Тольятти</t>
  </si>
  <si>
    <t>ул. Ларина (на участке от Автозаводское шоссе до ул. Тимирязева)</t>
  </si>
  <si>
    <t>план на 2025:</t>
  </si>
  <si>
    <t>Количество объектов по обеспечению безопасности участников дорожного движения</t>
  </si>
  <si>
    <t>Выполнение работ по устройству технических средств организации дорожного движения</t>
  </si>
  <si>
    <t>Выполнение работ по устройству технических средств организации дорожного движения, в т.ч.:</t>
  </si>
  <si>
    <t>По установке повторителей сигналов светофоров в районе дома № 12  по ул. Автостроителей</t>
  </si>
  <si>
    <t>По установке повторителей сигналов, устройство технических средств организации дорожного движения в районе дома № 58 по ул. Баныкина</t>
  </si>
  <si>
    <t>По устройству светофорного регулирования в районе дома №7 по ул. Ботанической</t>
  </si>
  <si>
    <t>По устройству светофорного объекта на Московском проспекте на пересечении с ул. Дзержинского</t>
  </si>
  <si>
    <t>По устройству светофорного объекта перекресток ул. Ленина и ул. М. Горького</t>
  </si>
  <si>
    <t>По установке повторителей сигналов на консольные опоры перекресток улиц Мира и Голосова</t>
  </si>
  <si>
    <t>По устройству светофорного объекта на пересечении ул. Победы и ул. Комсомольской</t>
  </si>
  <si>
    <t>По установке повторителей сигнала светофора на пересечении ул. Фрунзе и ул. Революционной</t>
  </si>
  <si>
    <t>По устройству светофорного объекта на перекрестке ул. Северной и ул. Борковской</t>
  </si>
  <si>
    <t>По устройству светофорного объекта по адресу Южное шоссе пересечение с Хрящевским и Автозаводским шоссе</t>
  </si>
  <si>
    <t>По устройству транспортного светофора на перекрестке Южное шоссе - ул. 40 лет Победы</t>
  </si>
  <si>
    <t>Количество отремонтированных путем капитального ремонта и ремонта путепроводов</t>
  </si>
  <si>
    <t>Автодорога по ул. Калинина (от ул. Шлютова до пр. Чернышевского)</t>
  </si>
  <si>
    <t>Автодорога по ул. Пугачевская от ул. Шлютова до б-ра 50 лет Октября</t>
  </si>
  <si>
    <t xml:space="preserve">Автодорога по переулку 1-й Горный </t>
  </si>
  <si>
    <t xml:space="preserve">Автодорога по переулку 2-й Горный </t>
  </si>
  <si>
    <t xml:space="preserve">Автодорога по переулку 3-й Горный </t>
  </si>
  <si>
    <t xml:space="preserve">Автодорога по переулку 4-й Горный </t>
  </si>
  <si>
    <t>ул.Дзержинского от световой опоры №84(89) до пр-та Степана Разина</t>
  </si>
  <si>
    <t>ул.Ботаническая от Южного шоссе до ул.Дзержинского</t>
  </si>
  <si>
    <t>ул.Борковская от Южного шоссе до ул.Дзержинского</t>
  </si>
  <si>
    <t>Ремонт автодороги от ул. Спортивная до Набережной Автозаводского района</t>
  </si>
  <si>
    <t xml:space="preserve">Подпрограмма "Содержание улично-дорожной сети на 2021-2025 гг."                      </t>
  </si>
  <si>
    <t>Подпрограмма "Содержание улично-дорожной сети на 2021 - 2025 гг."</t>
  </si>
  <si>
    <t>Количество представленных актов об осуществлении технологического присоединения энергопринимающих устройств к электрическим сетям</t>
  </si>
  <si>
    <t>Количество представленных экспертных заключений на соответствие выполненных работ условиям муниципальных контрактов</t>
  </si>
  <si>
    <t>Количество разработанной проектно-сметной документации на устройство пешеходных дорожек</t>
  </si>
  <si>
    <t>Количество разработанной проектно-сметной документации на устройство и перенос остановок общественного транспорта</t>
  </si>
  <si>
    <t>Количество разработанной проектно-сметной документации на строительство и реконструкцию парковочных площадок (карманов и стоянок)</t>
  </si>
  <si>
    <t>Количество разработанной проектно-сметной документации на установку РМП</t>
  </si>
  <si>
    <t>Количество ликвидируемых мест разворота транспортных средств,  подходов к пешеходным переходам, разрывов в разделительной полосе, несанкционированных примыканий, заездных карманов, парковок, устроенных пешеходных дорожек, пешеходных переходов, островков безопасности, искусственных дорожных неровностей, шумовых полос , информационных щитов индивидуального проектирования, световозвращателей дорожных</t>
  </si>
  <si>
    <t>Количество разработанной проектно-сметной документации на устройство линий наружного электроосвещения, в том числе на осуществление технологического присоединения к электрическим сетям</t>
  </si>
  <si>
    <t>Количество установленных светофорных объектов</t>
  </si>
  <si>
    <t>Количество представленных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</si>
  <si>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Целевые показатели (индикаторы) национального проекта "Безопасные качественные дороги", в части касающейся городского округа Тольятти</t>
  </si>
  <si>
    <t xml:space="preserve">Показатели (индикаторы) Стратегии, определенные Планом мероприятий по реализации Стратегии </t>
  </si>
  <si>
    <t>Площадь отремонтированных путем капитального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</si>
  <si>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Площадь отремонтированных путем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</si>
  <si>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</t>
  </si>
  <si>
    <t xml:space="preserve"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 </t>
  </si>
  <si>
    <t>Количество разработанной проектно-сметной документации по устройству линий наружного электроосвещения</t>
  </si>
  <si>
    <t>Устройство островков безопасности, пандусов, замена остановок общественного транспорта, в т.ч.:</t>
  </si>
  <si>
    <t>Устройство островков безопасности, пандусов, замена остановок общественного транспорта</t>
  </si>
  <si>
    <t xml:space="preserve">устройство пешеходной дорожки вдоль ул. Революционная в районе ул. Фрунзе </t>
  </si>
  <si>
    <r>
      <t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</t>
    </r>
    <r>
      <rPr>
        <sz val="14"/>
        <rFont val="Arial"/>
        <family val="2"/>
        <charset val="204"/>
      </rPr>
      <t xml:space="preserve"> </t>
    </r>
  </si>
  <si>
    <t xml:space="preserve">устройство пешеходных дорожек на пересечении ул. Спортивная - пр- т Степана Разина </t>
  </si>
  <si>
    <t xml:space="preserve">Приложение № 3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</si>
  <si>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4
к муниципальной программе
"Развитие транспортной системы
и дорожного хозяйства
городского округа Тольятти
на 2021 - 2025 гг."
</t>
  </si>
  <si>
    <t>3.1.1.</t>
  </si>
  <si>
    <t>3.2.1.</t>
  </si>
  <si>
    <t>4.1.1.</t>
  </si>
  <si>
    <t>4.2.1.</t>
  </si>
  <si>
    <t>4.3.1.</t>
  </si>
  <si>
    <t>Задача 3 подпрограммы 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</si>
  <si>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1 подпрограммы: проведение организационных и инженерных мер, направленных на предупреждение причин возникновения дорожно-транспортных происшествий</t>
  </si>
  <si>
    <t>1.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</si>
  <si>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</si>
  <si>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2.</t>
  </si>
  <si>
    <t>2.1.4.</t>
  </si>
  <si>
    <t>2.1.5.</t>
  </si>
  <si>
    <t>2.1.6.</t>
  </si>
  <si>
    <t>2.1.7.</t>
  </si>
  <si>
    <t>2.1.8.</t>
  </si>
  <si>
    <t>1.1.4.</t>
  </si>
  <si>
    <t>1.1.5.</t>
  </si>
  <si>
    <t>1.1.6.</t>
  </si>
  <si>
    <t>1.1.7.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</si>
  <si>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 и автоматизированных систем управления дорожным движением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</si>
  <si>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</si>
  <si>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</si>
  <si>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</si>
  <si>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</si>
  <si>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</si>
  <si>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</si>
  <si>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</si>
  <si>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</si>
  <si>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</si>
  <si>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3.</t>
  </si>
  <si>
    <t>Задача 1 подпрограммы: выполнение мероприятий по уходу за автомобильными дорогами общего пользования местного значения и объектами дорожного хозяйства городского округа Тольятти</t>
  </si>
  <si>
    <t>3.1.2.</t>
  </si>
  <si>
    <t>3.2.2.</t>
  </si>
  <si>
    <t>3.2.3.</t>
  </si>
  <si>
    <t>3.2.4.</t>
  </si>
  <si>
    <t xml:space="preserve">4. </t>
  </si>
  <si>
    <t>Задача 1 подпрограммы: совершенствование технического и технологического обеспечения транспортного обслуживания</t>
  </si>
  <si>
    <t>Задача 2 подпрограммы: обеспечение регулярных перевозок пассажиров по регулируемым тарифам</t>
  </si>
  <si>
    <t>4.2.2.</t>
  </si>
  <si>
    <t>4.2.3.</t>
  </si>
  <si>
    <t>4.2.4.</t>
  </si>
  <si>
    <t>Задача 3 подпрограммы: оптимизация структуры парков транспортных средств и ускорение обновления их состава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</si>
  <si>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и автоматизированных систем управления дорожным движением</t>
  </si>
  <si>
    <t>Задача 3 подпрограммы: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</si>
  <si>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 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</si>
  <si>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2 подпрограммы: выполнение мероприятий по организации дорожного движения</t>
  </si>
  <si>
    <t>4.</t>
  </si>
  <si>
    <t xml:space="preserve">2.1.1. </t>
  </si>
  <si>
    <t>Строительство автомобильных дорог общего пользования местного значения городского округа Тольятти, в т. ч. строительный контроль и авторский надзор:</t>
  </si>
  <si>
    <t>2.1.1.1.</t>
  </si>
  <si>
    <t>2.1.1.1.1.</t>
  </si>
  <si>
    <t>2.1.1.1.2.</t>
  </si>
  <si>
    <t>2.1.1.1.3.</t>
  </si>
  <si>
    <t>2.1.1.2.</t>
  </si>
  <si>
    <t>2.1.1.2.1.</t>
  </si>
  <si>
    <t>2.1.1.2.2.</t>
  </si>
  <si>
    <t>2.1.1.2.3.</t>
  </si>
  <si>
    <t>2.1.1.3.</t>
  </si>
  <si>
    <t>2.1.1.3.1.</t>
  </si>
  <si>
    <t>2.1.1.3.2.</t>
  </si>
  <si>
    <t>2.1.1.3.3.</t>
  </si>
  <si>
    <t>2.1.1.4.</t>
  </si>
  <si>
    <t>2.1.1.4.1.</t>
  </si>
  <si>
    <t>2.1.1.4.2.</t>
  </si>
  <si>
    <t>2.1.1.4.3.</t>
  </si>
  <si>
    <t>2.1.1.5.</t>
  </si>
  <si>
    <t>2.1.1.5.1.</t>
  </si>
  <si>
    <t>2.1.1.5.2.</t>
  </si>
  <si>
    <t>2.1.1.5.3.</t>
  </si>
  <si>
    <t>2.1.1.6.</t>
  </si>
  <si>
    <t>2.1.1.6.1.</t>
  </si>
  <si>
    <t>2.1.1.6.2.</t>
  </si>
  <si>
    <t>2.1.1.6.3.</t>
  </si>
  <si>
    <t>2.1.1.7.</t>
  </si>
  <si>
    <t>2.1.1.7.1.</t>
  </si>
  <si>
    <t>2.1.1.7.2.</t>
  </si>
  <si>
    <t>2.1.1.7.3.</t>
  </si>
  <si>
    <t>2.1.1.8.</t>
  </si>
  <si>
    <t>2.1.1.8.1.</t>
  </si>
  <si>
    <t>2.1.1.9.</t>
  </si>
  <si>
    <t>2.1.1.9.1.</t>
  </si>
  <si>
    <t>2.1.1.10.</t>
  </si>
  <si>
    <t>2.1.1.11.</t>
  </si>
  <si>
    <t>2.1.1.12.</t>
  </si>
  <si>
    <t>2.1.1.13.</t>
  </si>
  <si>
    <t>2.1.1.13.1.</t>
  </si>
  <si>
    <t>2.1.1.13.2.</t>
  </si>
  <si>
    <t>2.1.1.13.3.</t>
  </si>
  <si>
    <t>Итого по объектам строительства по разделу 2.1.1:</t>
  </si>
  <si>
    <t>Реконструкция автомобильных дорог общего пользования местного значения городского округа Тольятти:</t>
  </si>
  <si>
    <t>2.1.2.1.</t>
  </si>
  <si>
    <t>2.1.2.1.1.</t>
  </si>
  <si>
    <t>2.1.2.1.2.</t>
  </si>
  <si>
    <t>2.1.2.1.3.</t>
  </si>
  <si>
    <t>2.1.2.2.</t>
  </si>
  <si>
    <t>2.1.2.2.1.</t>
  </si>
  <si>
    <t>2.1.2.2.2.</t>
  </si>
  <si>
    <t>2.1.2.2.3.</t>
  </si>
  <si>
    <t>2.1.2.3.</t>
  </si>
  <si>
    <t>2.1.2.3.1.</t>
  </si>
  <si>
    <t>2.1.2.3.2.</t>
  </si>
  <si>
    <t>2.1.2.3.3.</t>
  </si>
  <si>
    <t>2.1.2.4.</t>
  </si>
  <si>
    <t>2.1.2.4.1.</t>
  </si>
  <si>
    <t>2.1.2.4.2.</t>
  </si>
  <si>
    <t>2.1.2.5.</t>
  </si>
  <si>
    <t>Итого по объектам реконструкции по разделу 2.1.2: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</si>
  <si>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Тольятти:</t>
  </si>
  <si>
    <t>2.1.3.1.</t>
  </si>
  <si>
    <t>2.1.3.2.</t>
  </si>
  <si>
    <t>2.1.3.3.</t>
  </si>
  <si>
    <t>2.1.3.4.</t>
  </si>
  <si>
    <t>2.1.3.5.</t>
  </si>
  <si>
    <t>2.1.3.6.</t>
  </si>
  <si>
    <t>2.1.3.7.</t>
  </si>
  <si>
    <t>2.1.3.8.</t>
  </si>
  <si>
    <t>2.1.3.9.</t>
  </si>
  <si>
    <t>2.1.3.10.</t>
  </si>
  <si>
    <t>2.1.3.11.</t>
  </si>
  <si>
    <t>2.1.3.12.</t>
  </si>
  <si>
    <t>2.1.3.13.</t>
  </si>
  <si>
    <t>2.1.3.14.</t>
  </si>
  <si>
    <t>2.1.3.15.</t>
  </si>
  <si>
    <t>2.1.3.16.</t>
  </si>
  <si>
    <t>2.1.3.17.</t>
  </si>
  <si>
    <t>2.1.3.18.</t>
  </si>
  <si>
    <t>2.1.3.19.</t>
  </si>
  <si>
    <t>2.1.3.20.</t>
  </si>
  <si>
    <t>2.1.3.21.</t>
  </si>
  <si>
    <t>2.1.3.22.</t>
  </si>
  <si>
    <t>2.1.3.23.</t>
  </si>
  <si>
    <t>2.1.3.24.</t>
  </si>
  <si>
    <t>Итого по  объектам проектирования строительства, реконструкции, капитального ремонта и ремонта по разделу 2.1.3:</t>
  </si>
  <si>
    <t xml:space="preserve"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контроль: </t>
  </si>
  <si>
    <t>2.1.4.1.</t>
  </si>
  <si>
    <t>2.1.4.2.</t>
  </si>
  <si>
    <t>2.1.4.3.</t>
  </si>
  <si>
    <t>2.1.4.4.</t>
  </si>
  <si>
    <t>2.1.4.5.</t>
  </si>
  <si>
    <t>2.1.4.6.</t>
  </si>
  <si>
    <t>2.1.4.7.</t>
  </si>
  <si>
    <t>2.1.4.8.</t>
  </si>
  <si>
    <t>2.1.4.9.</t>
  </si>
  <si>
    <t>2.1.4.10.</t>
  </si>
  <si>
    <t>2.1.4.11.</t>
  </si>
  <si>
    <t>2.1.4.12.</t>
  </si>
  <si>
    <t>2.1.4.13.</t>
  </si>
  <si>
    <t>2.1.4.14.</t>
  </si>
  <si>
    <t>2.1.4.15.</t>
  </si>
  <si>
    <t>2.1.4.16.</t>
  </si>
  <si>
    <t>2.1.4.17.</t>
  </si>
  <si>
    <t>2.1.4.18.</t>
  </si>
  <si>
    <t>2.1.4.19.</t>
  </si>
  <si>
    <t>Итого по объектам капитального ремонта по разделу 2.1.4:</t>
  </si>
  <si>
    <t>Выполнение работ по ремонту автомобильных  дорог общего пользования местного значения городского округа Тольятти:</t>
  </si>
  <si>
    <t>2.1.5.1.</t>
  </si>
  <si>
    <t>2.1.5.2.</t>
  </si>
  <si>
    <t>2.1.5.3.</t>
  </si>
  <si>
    <t>2.1.5.4.</t>
  </si>
  <si>
    <t>2.1.5.5.</t>
  </si>
  <si>
    <t>2.1.5.6.</t>
  </si>
  <si>
    <t>2.1.5.7.</t>
  </si>
  <si>
    <t>2.1.5.8.</t>
  </si>
  <si>
    <t>2.1.5.9.</t>
  </si>
  <si>
    <t>2.1.5.10.</t>
  </si>
  <si>
    <t>2.1.5.11.</t>
  </si>
  <si>
    <t>2.1.5.12.</t>
  </si>
  <si>
    <t>2.1.5.13.</t>
  </si>
  <si>
    <t>2.1.5.14.</t>
  </si>
  <si>
    <t>2.1.5.15.</t>
  </si>
  <si>
    <t>2.1.5.16.</t>
  </si>
  <si>
    <t>2.1.5.17.</t>
  </si>
  <si>
    <t>2.1.5.18.</t>
  </si>
  <si>
    <t>2.1.5.19.</t>
  </si>
  <si>
    <t>2.1.5.20.</t>
  </si>
  <si>
    <t>2.1.5.21.</t>
  </si>
  <si>
    <t>2.1.5.22.</t>
  </si>
  <si>
    <t>2.1.5.23.</t>
  </si>
  <si>
    <t>2.1.5.24.</t>
  </si>
  <si>
    <t>2.1.5.25.</t>
  </si>
  <si>
    <t>2.1.5.26.</t>
  </si>
  <si>
    <t>2.1.5.27.</t>
  </si>
  <si>
    <t>2.1.5.28.</t>
  </si>
  <si>
    <t>2.1.5.29.</t>
  </si>
  <si>
    <t>2.1.5.30.</t>
  </si>
  <si>
    <t>2.1.5.31.</t>
  </si>
  <si>
    <t>2.1.5.32.</t>
  </si>
  <si>
    <t>2.1.5.33.</t>
  </si>
  <si>
    <t>2.1.5.35.</t>
  </si>
  <si>
    <t>2.1.5.34.</t>
  </si>
  <si>
    <t>2.1.5.36.</t>
  </si>
  <si>
    <t>2.1.5.37.</t>
  </si>
  <si>
    <t>2.1.5.38.</t>
  </si>
  <si>
    <t>2.1.5.39.</t>
  </si>
  <si>
    <t>2.1.5.40.</t>
  </si>
  <si>
    <t>2.1.5.41.</t>
  </si>
  <si>
    <t>2.1.5.42.</t>
  </si>
  <si>
    <t>2.1.5.43.</t>
  </si>
  <si>
    <t>2.1.5.44.</t>
  </si>
  <si>
    <t>2.1.5.45.</t>
  </si>
  <si>
    <t>2.1.5.46.</t>
  </si>
  <si>
    <t>2.1.5.47.</t>
  </si>
  <si>
    <t>2.1.5.48.</t>
  </si>
  <si>
    <t>2.1.5.49.</t>
  </si>
  <si>
    <t>2.1.5.50.</t>
  </si>
  <si>
    <t>2.1.5.51.</t>
  </si>
  <si>
    <t>2.1.5.52.</t>
  </si>
  <si>
    <t>2.1.5.53.</t>
  </si>
  <si>
    <t>2.1.5.54.</t>
  </si>
  <si>
    <t>2.1.5.55.</t>
  </si>
  <si>
    <t>2.1.5.56.</t>
  </si>
  <si>
    <t>2.1.5.57.</t>
  </si>
  <si>
    <t>2.1.5.58.</t>
  </si>
  <si>
    <t>2.1.5.59.</t>
  </si>
  <si>
    <t>2.1.5.60.</t>
  </si>
  <si>
    <t>2.1.5.61.</t>
  </si>
  <si>
    <t>2.1.5.62.</t>
  </si>
  <si>
    <t>2.1.5.63.</t>
  </si>
  <si>
    <t>2.1.5.64.</t>
  </si>
  <si>
    <t>2.1.5.65.</t>
  </si>
  <si>
    <t>2.1.5.66.</t>
  </si>
  <si>
    <t>2.1.5.67.</t>
  </si>
  <si>
    <t>2.1.5.68.</t>
  </si>
  <si>
    <t>2.1.5.69.</t>
  </si>
  <si>
    <t>2.1.5.70.</t>
  </si>
  <si>
    <t>2.1.5.71.</t>
  </si>
  <si>
    <t>2.1.5.72.</t>
  </si>
  <si>
    <t>2.1.5.73.</t>
  </si>
  <si>
    <t>2.1.5.74.</t>
  </si>
  <si>
    <t>2.1.5.75.</t>
  </si>
  <si>
    <t>2.1.5.76.</t>
  </si>
  <si>
    <t>2.1.5.77.</t>
  </si>
  <si>
    <t>2.1.5.78.</t>
  </si>
  <si>
    <t>2.1.5.79.</t>
  </si>
  <si>
    <t>2.1.5.80.</t>
  </si>
  <si>
    <t>2.1.5.81.</t>
  </si>
  <si>
    <t>2.1.5.82.</t>
  </si>
  <si>
    <t>2.1.5.83.</t>
  </si>
  <si>
    <t>2.1.5.84.</t>
  </si>
  <si>
    <t>2.1.5.85.</t>
  </si>
  <si>
    <t>2.1.5.86.</t>
  </si>
  <si>
    <t>2.1.5.87.</t>
  </si>
  <si>
    <t>2.1.5.88.</t>
  </si>
  <si>
    <t>2.1.5.89.</t>
  </si>
  <si>
    <t>2.1.5.90.</t>
  </si>
  <si>
    <t>2.1.5.91.</t>
  </si>
  <si>
    <t>2.1.5.92.</t>
  </si>
  <si>
    <t>2.1.5.93.</t>
  </si>
  <si>
    <t>2.1.5.94.</t>
  </si>
  <si>
    <t>2.1.5.95.</t>
  </si>
  <si>
    <t>2.1.5.96.</t>
  </si>
  <si>
    <t>2.1.5.97.</t>
  </si>
  <si>
    <t>2.1.5.98.</t>
  </si>
  <si>
    <t>2.1.5.99.</t>
  </si>
  <si>
    <t>2.1.5.100.</t>
  </si>
  <si>
    <t>2.1.5.101.</t>
  </si>
  <si>
    <t>2.1.5.102.</t>
  </si>
  <si>
    <t>2.1.5.103.</t>
  </si>
  <si>
    <t>2.1.5.104</t>
  </si>
  <si>
    <t>2.1.5.105.</t>
  </si>
  <si>
    <t>2.1.5.106.</t>
  </si>
  <si>
    <t>2.1.5.107.</t>
  </si>
  <si>
    <t>2.1.5.108.</t>
  </si>
  <si>
    <t>2.1.5.109.</t>
  </si>
  <si>
    <t>2.1.5.110.</t>
  </si>
  <si>
    <t>2.1.5.111.</t>
  </si>
  <si>
    <t>2.1.5.112.</t>
  </si>
  <si>
    <t>2.1.5.113.</t>
  </si>
  <si>
    <t>2.1.5.114.</t>
  </si>
  <si>
    <t>2.1.5.115.</t>
  </si>
  <si>
    <t>2.1.5.116.</t>
  </si>
  <si>
    <t>2.1.5.117.</t>
  </si>
  <si>
    <t>2.1.5.118.</t>
  </si>
  <si>
    <t>2.1.5.119.</t>
  </si>
  <si>
    <t>2.1.5.121.</t>
  </si>
  <si>
    <t>2.1.5.122.</t>
  </si>
  <si>
    <t>2.1.5.123.</t>
  </si>
  <si>
    <t>2.1.5.124.</t>
  </si>
  <si>
    <t>2.1.5.125.</t>
  </si>
  <si>
    <t>2.1.5.126.</t>
  </si>
  <si>
    <t>2.1.5.127.</t>
  </si>
  <si>
    <t>2.1.5.128.</t>
  </si>
  <si>
    <t>2.1.5.129.</t>
  </si>
  <si>
    <t>2.1.5.130.</t>
  </si>
  <si>
    <t>2.1.5.132.</t>
  </si>
  <si>
    <t>2.1.5.133.</t>
  </si>
  <si>
    <t>2.1.5.134.</t>
  </si>
  <si>
    <t>2.1.5.135.</t>
  </si>
  <si>
    <t>2.1.5.136.</t>
  </si>
  <si>
    <t>2.1.5.137.</t>
  </si>
  <si>
    <t>2.1.5.138.</t>
  </si>
  <si>
    <t>2.1.5.139.</t>
  </si>
  <si>
    <t>2.1.5.140.</t>
  </si>
  <si>
    <t>2.1.5.141.</t>
  </si>
  <si>
    <t>2.1.5.142.</t>
  </si>
  <si>
    <t>2.1.5.143.</t>
  </si>
  <si>
    <t>2.1.5.144.</t>
  </si>
  <si>
    <t>2.1.5.145.</t>
  </si>
  <si>
    <t>2.1.5.146.</t>
  </si>
  <si>
    <t>2.1.5.147.</t>
  </si>
  <si>
    <t>2.1.5.148.</t>
  </si>
  <si>
    <t>2.1.5.149.</t>
  </si>
  <si>
    <t>2.1.5.150.</t>
  </si>
  <si>
    <t>2.1.5.151.</t>
  </si>
  <si>
    <t>2.1.5.152.</t>
  </si>
  <si>
    <t>2.1.5.153.</t>
  </si>
  <si>
    <t>2.1.5.154.</t>
  </si>
  <si>
    <t>2.1.5.155.</t>
  </si>
  <si>
    <t>2.1.5.156.</t>
  </si>
  <si>
    <t>2.1.5.157.</t>
  </si>
  <si>
    <t>2.1.5.158.</t>
  </si>
  <si>
    <t>Итого по объектам ремонта дорог по разделу 2.1.5:</t>
  </si>
  <si>
    <t>Ремонт дворовых территорий многоквартирных домов, проездов к дворовым территориям многоквартирных домов  городского округа Тольятти:</t>
  </si>
  <si>
    <t>2.1.6.1.</t>
  </si>
  <si>
    <t>2.1.6.2.</t>
  </si>
  <si>
    <t>Итого по объектам ремонта дворовых территорий по разделу 2.1.6: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</si>
  <si>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Тольятти:</t>
  </si>
  <si>
    <t>2.1.7.1.</t>
  </si>
  <si>
    <t>2.1.7.1.1.</t>
  </si>
  <si>
    <t>2.1.7.1.2.</t>
  </si>
  <si>
    <t>2.1.7.1.3.</t>
  </si>
  <si>
    <t>2.1.7.1.4.</t>
  </si>
  <si>
    <t>2.1.7.1.5.</t>
  </si>
  <si>
    <t>2.1.7.1.6.</t>
  </si>
  <si>
    <t>2.1.7.1.7.</t>
  </si>
  <si>
    <t>2.1.7.1.8.</t>
  </si>
  <si>
    <t>2.1.7.1.9.</t>
  </si>
  <si>
    <t>2.1.7.1.10.</t>
  </si>
  <si>
    <t>2.1.7.1.11.</t>
  </si>
  <si>
    <t>2.1.7.1.12.</t>
  </si>
  <si>
    <t>2.1.7.1.13.</t>
  </si>
  <si>
    <t>2.1.7.1.14.</t>
  </si>
  <si>
    <t>2.1.7.1.15.</t>
  </si>
  <si>
    <t>2.1.7.1.16.</t>
  </si>
  <si>
    <t>2.1.7.1.17.</t>
  </si>
  <si>
    <t>2.1.7.1.18.</t>
  </si>
  <si>
    <t>2.1.7.1.19.</t>
  </si>
  <si>
    <t>2.1.7.1.20.</t>
  </si>
  <si>
    <t>2.1.7.1.21.</t>
  </si>
  <si>
    <t>2.1.7.1.22.</t>
  </si>
  <si>
    <t>2.1.7.1.23.</t>
  </si>
  <si>
    <t>2.1.7.1.24.</t>
  </si>
  <si>
    <t>2.1.7.1.25.</t>
  </si>
  <si>
    <t>2.1.7.1.26.</t>
  </si>
  <si>
    <t>2.1.7.1.27.</t>
  </si>
  <si>
    <t>2.1.7.1.28.</t>
  </si>
  <si>
    <t>2.1.7.1.29.</t>
  </si>
  <si>
    <t>2.1.7.1.30.</t>
  </si>
  <si>
    <t>2.1.7.1.31.</t>
  </si>
  <si>
    <t>2.1.7.1.32.</t>
  </si>
  <si>
    <t>2.1.7.1.33.</t>
  </si>
  <si>
    <t>2.1.7.1.34.</t>
  </si>
  <si>
    <t>2.1.7.1.35.</t>
  </si>
  <si>
    <t>2.1.7.1.36.</t>
  </si>
  <si>
    <t>2.1.7.1.37.</t>
  </si>
  <si>
    <t>2.1.7.1.38.</t>
  </si>
  <si>
    <t>2.1.7.1.39.</t>
  </si>
  <si>
    <t>2.1.7.1.40.</t>
  </si>
  <si>
    <t>2.1.7.1.41.</t>
  </si>
  <si>
    <t>2.1.7.1.42.</t>
  </si>
  <si>
    <t>2.1.7.1.43.</t>
  </si>
  <si>
    <t>2.1.7.1.44.</t>
  </si>
  <si>
    <t>2.1.7.1.45.</t>
  </si>
  <si>
    <t>2.1.7.1.46.</t>
  </si>
  <si>
    <t>2.1.7.1.47.</t>
  </si>
  <si>
    <t>2.1.7.1.48.</t>
  </si>
  <si>
    <t>2.1.7.1.49.</t>
  </si>
  <si>
    <t>2.1.7.1.50.</t>
  </si>
  <si>
    <t>2.1.7.1.51.</t>
  </si>
  <si>
    <t>2.1.7.1.52.</t>
  </si>
  <si>
    <t>2.1.7.1.53.</t>
  </si>
  <si>
    <t>2.1.7.1.54.</t>
  </si>
  <si>
    <t>2.1.7.1.55.</t>
  </si>
  <si>
    <t>2.1.7.1.56.</t>
  </si>
  <si>
    <t>2.1.7.1.57.</t>
  </si>
  <si>
    <t>2.1.7.1.58.</t>
  </si>
  <si>
    <t>2.1.7.1.59.</t>
  </si>
  <si>
    <t>2.1.7.1.60.</t>
  </si>
  <si>
    <t>2.1.7.1.61.</t>
  </si>
  <si>
    <t>2.1.7.1.62.</t>
  </si>
  <si>
    <t>2.1.7.1.63.</t>
  </si>
  <si>
    <t>2.1.7.1.64.</t>
  </si>
  <si>
    <t>2.1.7.1.65.</t>
  </si>
  <si>
    <t>2.1.7.1.66.</t>
  </si>
  <si>
    <t>2.1.7.1.67.</t>
  </si>
  <si>
    <t>2.1.7.1.68.</t>
  </si>
  <si>
    <t>2.1.7.1.69.</t>
  </si>
  <si>
    <t>2.1.7.1.70.</t>
  </si>
  <si>
    <t>2.1.7.1.71.</t>
  </si>
  <si>
    <t>2.1.7.1.72.</t>
  </si>
  <si>
    <t>2.1.7.1.73.</t>
  </si>
  <si>
    <t>2.1.7.1.74.</t>
  </si>
  <si>
    <t>2.1.7.1.75.</t>
  </si>
  <si>
    <t>2.1.7.1.76.</t>
  </si>
  <si>
    <t>2.1.7.1.77.</t>
  </si>
  <si>
    <t>2.1.7.1.78.</t>
  </si>
  <si>
    <t>2.1.7.1.79.</t>
  </si>
  <si>
    <t>2.1.7.1.80.</t>
  </si>
  <si>
    <t>2.1.7.1.81.</t>
  </si>
  <si>
    <t>2.1.7.1.82.</t>
  </si>
  <si>
    <t>2.1.7.1.83.</t>
  </si>
  <si>
    <t>2.1.7.1.84.</t>
  </si>
  <si>
    <t>2.1.7.1.85.</t>
  </si>
  <si>
    <t>2.1.7.1.86.</t>
  </si>
  <si>
    <t>2.1.7.1.87.</t>
  </si>
  <si>
    <t>2.1.7.1.88.</t>
  </si>
  <si>
    <t>2.1.7.1.89.</t>
  </si>
  <si>
    <t>2.1.7.1.90.</t>
  </si>
  <si>
    <t>2.1.7.1.91.</t>
  </si>
  <si>
    <t>2.1.7.1.92.</t>
  </si>
  <si>
    <t>2.1.7.1.93.</t>
  </si>
  <si>
    <t>2.1.7.1.94.</t>
  </si>
  <si>
    <t>2.1.7.1.95.</t>
  </si>
  <si>
    <t>2.1.7.1.96.</t>
  </si>
  <si>
    <t>2.1.7.1.97.</t>
  </si>
  <si>
    <t>2.1.7.1.98.</t>
  </si>
  <si>
    <t>2.1.7.1.99.</t>
  </si>
  <si>
    <t>2.1.7.1.100.</t>
  </si>
  <si>
    <t>2.1.7.1.101.</t>
  </si>
  <si>
    <t>2.1.7.1.102.</t>
  </si>
  <si>
    <t>2.1.7.1.103.</t>
  </si>
  <si>
    <t>2.1.7.1.104.</t>
  </si>
  <si>
    <t>2.1.7.1.105.</t>
  </si>
  <si>
    <t>2.1.7.1.106.</t>
  </si>
  <si>
    <t>2.1.7.1.107.</t>
  </si>
  <si>
    <t>2.1.7.1.108.</t>
  </si>
  <si>
    <t>2.1.7.1.109.</t>
  </si>
  <si>
    <t>2.1.7.1.110.</t>
  </si>
  <si>
    <t>2.1.7.1.111.</t>
  </si>
  <si>
    <t>2.1.7.1.112.</t>
  </si>
  <si>
    <t>2.1.7.1.113.</t>
  </si>
  <si>
    <t>2.1.7.1.114.</t>
  </si>
  <si>
    <t>2.1.7.1.115.</t>
  </si>
  <si>
    <t>2.1.7.1.116.</t>
  </si>
  <si>
    <t>2.1.7.1.117.</t>
  </si>
  <si>
    <t>2.1.7.1.118.</t>
  </si>
  <si>
    <t>2.1.7.1.119.</t>
  </si>
  <si>
    <t>2.1.7.1.120.</t>
  </si>
  <si>
    <t>2.1.7.1.121.</t>
  </si>
  <si>
    <t>2.1.7.1.122.</t>
  </si>
  <si>
    <t>2.1.7.1.123.</t>
  </si>
  <si>
    <t>2.1.7.1.124.</t>
  </si>
  <si>
    <t>2.1.7.1.125.</t>
  </si>
  <si>
    <t>2.1.7.1.126.</t>
  </si>
  <si>
    <t>2.1.7.1.127.</t>
  </si>
  <si>
    <t>2.1.7.1.128.</t>
  </si>
  <si>
    <t>2.1.7.1.129.</t>
  </si>
  <si>
    <t>2.1.7.1.130.</t>
  </si>
  <si>
    <t>2.1.7.1.131.</t>
  </si>
  <si>
    <t>2.1.7.1.132.</t>
  </si>
  <si>
    <t>2.1.7.1.133.</t>
  </si>
  <si>
    <t>2.1.7.1.134.</t>
  </si>
  <si>
    <t>2.1.7.1.135.</t>
  </si>
  <si>
    <t>2.1.7.1.136.</t>
  </si>
  <si>
    <t>2.1.7.1.137.</t>
  </si>
  <si>
    <t>2.1.7.1.138.</t>
  </si>
  <si>
    <t>2.1.7.1.139.</t>
  </si>
  <si>
    <t>2.1.7.1.140.</t>
  </si>
  <si>
    <t>2.1.7.1.141.</t>
  </si>
  <si>
    <t>2.1.7.1.142.</t>
  </si>
  <si>
    <t>2.1.7.1.143.</t>
  </si>
  <si>
    <t>2.1.7.1.144.</t>
  </si>
  <si>
    <t>2.1.7.1.145.</t>
  </si>
  <si>
    <t>2.1.7.1.146.</t>
  </si>
  <si>
    <t>2.1.7.1.147.</t>
  </si>
  <si>
    <t>2.1.7.1.148.</t>
  </si>
  <si>
    <t>2.1.7.1.149.</t>
  </si>
  <si>
    <t>2.1.7.1.150.</t>
  </si>
  <si>
    <t>2.1.7.1.151.</t>
  </si>
  <si>
    <t>2.1.7.1.152.</t>
  </si>
  <si>
    <t>2.1.7.1.153.</t>
  </si>
  <si>
    <t>2.1.7.1.154.</t>
  </si>
  <si>
    <t>2.1.7.1.155.</t>
  </si>
  <si>
    <t>2.1.7.1.156.</t>
  </si>
  <si>
    <t>2.1.7.1.157.</t>
  </si>
  <si>
    <t>2.1.7.2.</t>
  </si>
  <si>
    <t>2.1.7.2.1.</t>
  </si>
  <si>
    <t>2.1.7.2.2.</t>
  </si>
  <si>
    <t>2.1.7.2.3.</t>
  </si>
  <si>
    <t>2.1.7.2.9.</t>
  </si>
  <si>
    <t>2.1.7.2.4.</t>
  </si>
  <si>
    <t>2.1.7.2.5.</t>
  </si>
  <si>
    <t>2.1.7.2.6.</t>
  </si>
  <si>
    <t>2.1.7.2.7.</t>
  </si>
  <si>
    <t>2.1.7.2.8.</t>
  </si>
  <si>
    <t>2.1.7.2.10.</t>
  </si>
  <si>
    <t>2.1.7.2.11.</t>
  </si>
  <si>
    <t>2.1.7.2.12.</t>
  </si>
  <si>
    <t>2.1.7.2.13.</t>
  </si>
  <si>
    <t>2.1.7.2.14.</t>
  </si>
  <si>
    <t>2.1.7.2.15.</t>
  </si>
  <si>
    <t>2.1.7.2.16.</t>
  </si>
  <si>
    <t>2.1.7.2.17.</t>
  </si>
  <si>
    <t>2.1.7.2.18.</t>
  </si>
  <si>
    <t>2.1.7.2.19.</t>
  </si>
  <si>
    <t>2.1.7.2.20.</t>
  </si>
  <si>
    <t>2.1.7.2.21.</t>
  </si>
  <si>
    <t>2.1.7.2.22.</t>
  </si>
  <si>
    <t>2.1.7.2.23.</t>
  </si>
  <si>
    <t>2.1.7.2.24.</t>
  </si>
  <si>
    <t>2.1.7.2.25.</t>
  </si>
  <si>
    <t>2.1.7.2.26.</t>
  </si>
  <si>
    <t>2.1.7.2.27.</t>
  </si>
  <si>
    <t>2.1.7.2.28.</t>
  </si>
  <si>
    <t>2.1.7.2.29.</t>
  </si>
  <si>
    <t>2.1.7.2.30.</t>
  </si>
  <si>
    <t>2.1.7.2.31.</t>
  </si>
  <si>
    <t>2.1.7.2.32.</t>
  </si>
  <si>
    <t>2.1.7.2.33.</t>
  </si>
  <si>
    <t>2.1.7.2.34.</t>
  </si>
  <si>
    <t>2.1.7.2.35.</t>
  </si>
  <si>
    <t>2.1.7.2.36.</t>
  </si>
  <si>
    <t>2.1.7.2.37.</t>
  </si>
  <si>
    <t>2.1.7.2.38.</t>
  </si>
  <si>
    <t>2.1.7.2.39.</t>
  </si>
  <si>
    <t>2.1.7.2.40.</t>
  </si>
  <si>
    <t>2.1.7.2.41.</t>
  </si>
  <si>
    <t>2.1.7.2.42.</t>
  </si>
  <si>
    <t>2.1.7.2.43.</t>
  </si>
  <si>
    <t>2.1.7.2.44.</t>
  </si>
  <si>
    <t>2.1.7.2.45.</t>
  </si>
  <si>
    <t>2.1.7.2.46.</t>
  </si>
  <si>
    <t>2.1.7.2.47.</t>
  </si>
  <si>
    <t>2.1.7.2.48.</t>
  </si>
  <si>
    <t>2.1.7.2.49.</t>
  </si>
  <si>
    <t>2.1.7.2.50.</t>
  </si>
  <si>
    <t>2.1.7.2.51.</t>
  </si>
  <si>
    <t>2.1.7.2.52.</t>
  </si>
  <si>
    <t>2.1.7.2.53.</t>
  </si>
  <si>
    <t>2.1.7.2.54.</t>
  </si>
  <si>
    <t>2.1.7.2.55.</t>
  </si>
  <si>
    <t>2.1.7.2.56.</t>
  </si>
  <si>
    <t>2.1.7.2.57.</t>
  </si>
  <si>
    <t>2.1.7.2.58.</t>
  </si>
  <si>
    <t>2.1.7.2.59.</t>
  </si>
  <si>
    <t>2.1.7.2.60.</t>
  </si>
  <si>
    <t>2.1.7.2.61.</t>
  </si>
  <si>
    <t>2.1.7.2.62.</t>
  </si>
  <si>
    <t>2.1.7.2.63.</t>
  </si>
  <si>
    <t>2.1.7.2.64.</t>
  </si>
  <si>
    <t>2.1.7.2.65.</t>
  </si>
  <si>
    <t>2.1.7.2.66.</t>
  </si>
  <si>
    <t>2.1.7.2.67.</t>
  </si>
  <si>
    <t>2.1.7.2.68.</t>
  </si>
  <si>
    <t>2.1.7.2.69.</t>
  </si>
  <si>
    <t>2.1.7.2.70.</t>
  </si>
  <si>
    <t>2.1.7.2.71.</t>
  </si>
  <si>
    <t>2.1.7.2.72.</t>
  </si>
  <si>
    <t>2.1.7.2.73.</t>
  </si>
  <si>
    <t>2.1.7.2.74.</t>
  </si>
  <si>
    <t>2.1.7.2.75.</t>
  </si>
  <si>
    <t>2.1.7.2.76.</t>
  </si>
  <si>
    <t>2.1.7.2.77.</t>
  </si>
  <si>
    <t>2.1.7.2.78.</t>
  </si>
  <si>
    <t>2.1.7.2.79.</t>
  </si>
  <si>
    <t>2.1.7.2.80.</t>
  </si>
  <si>
    <t>Итого по объектам отсыпки автомобильных дорог асфальтогранулятом по разделу 2.1.7:</t>
  </si>
  <si>
    <t>2.1.8.1.</t>
  </si>
  <si>
    <t>Итого по содержанию автомобильных дорог местного значения и внутриквартальных проездов по разделу 8:</t>
  </si>
  <si>
    <t>на 2021 г.</t>
  </si>
  <si>
    <t>на 2022 г.</t>
  </si>
  <si>
    <t>на 2023 г.</t>
  </si>
  <si>
    <t>на 2024 г.</t>
  </si>
  <si>
    <t>на 2025 г.</t>
  </si>
  <si>
    <t>4.3.2.</t>
  </si>
  <si>
    <t>Приобретение автобусов путем заключения муниципального контракта на оказание услуг финансовой аренды (лизинга)</t>
  </si>
  <si>
    <t>46,48 / -</t>
  </si>
  <si>
    <t>2021-2023</t>
  </si>
  <si>
    <t>2021- 2023, 2025</t>
  </si>
  <si>
    <t>2022-2024</t>
  </si>
  <si>
    <t>2023</t>
  </si>
  <si>
    <t>2.1.3.25.</t>
  </si>
  <si>
    <t xml:space="preserve">Капитальный ремонт путепровода через автодорогу Восточная завода - часть улицы Борковской </t>
  </si>
  <si>
    <t>Строительный контроль на объектах капитального ремонта автомобильных дорог</t>
  </si>
  <si>
    <t>Площадь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</si>
  <si>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4.2.5.</t>
  </si>
  <si>
    <t>км.</t>
  </si>
  <si>
    <t>Предоставление субсидий юридическим лицам (за исключением субсидий государственным (муниципальным) учреждениям), индивидуальным предпринимателям на возмещение недополученных доходов в связи с оказанием услуг по осуществлению перевозок маломобильных граждан специализированными автомобилями</t>
  </si>
  <si>
    <t>Пробег специализированных автомобилей, осуществляющих перевозку маломобильных граждан</t>
  </si>
  <si>
    <t>Количество разработанной проектно-сметной документации по ремонту путепроводов</t>
  </si>
  <si>
    <t>Устройство бортового камня и устройство мест разворотов</t>
  </si>
  <si>
    <t>2.1.4.20.</t>
  </si>
  <si>
    <t>2.1.4.21.</t>
  </si>
  <si>
    <t>ул.Карбышева от ул.Комсомольская до ул.Баныкина</t>
  </si>
  <si>
    <t>ул.Комсомольская от ул.Родины до д.№94 по ул.Ленина</t>
  </si>
  <si>
    <t>ул.Ворошилова от ул.Дзержинского до ул.Офицерская</t>
  </si>
  <si>
    <t>Пр-т Степана Разина от ул.Дзержинского до Ленинского пр-та</t>
  </si>
  <si>
    <t>Поволжское шоссе от ул.Громовой до Обводного шоссе</t>
  </si>
  <si>
    <t>2.1.5.159.</t>
  </si>
  <si>
    <t>2.1.5.160.</t>
  </si>
  <si>
    <t>2.1.5.161.</t>
  </si>
  <si>
    <t>2.1.5.162.</t>
  </si>
  <si>
    <t>2.1.5.163.</t>
  </si>
  <si>
    <t>Устройство тротуара вдоль ул. Вавилова</t>
  </si>
  <si>
    <t>дорога вдоль Московского проспекта от дома №57 до дома №45 (нечетная сторона)</t>
  </si>
  <si>
    <t>на участке автодороги вдоль Центральной площади ДК "Тольятти" от ул.Ленинградской до ул.Мира</t>
  </si>
  <si>
    <t xml:space="preserve">пешеходный переход через разделительную полосу автомобильной дороги по ул.Спортивная, в районе пересечения с ул.Степана Разина, со стороны 8 квартала </t>
  </si>
  <si>
    <t>ООТ "Азотреммаш"</t>
  </si>
  <si>
    <t>ООТ "Лесопитомник" по ул.Дзержинского</t>
  </si>
  <si>
    <t>площадки южнее дома №77 по ул. Юбилейная</t>
  </si>
  <si>
    <t>площадки у дома №22 по б-ру Королева</t>
  </si>
  <si>
    <t>устройство заездных карманов на ООТ "Пирамида"</t>
  </si>
  <si>
    <t>устройство заездных карманов на ООТ "Театральная"</t>
  </si>
  <si>
    <t>Замена бортового камня (монтаж, демонтаж) ул. Революционная, 52а</t>
  </si>
  <si>
    <t>160,08 / 160,08</t>
  </si>
  <si>
    <t>208,86 / 208,86</t>
  </si>
  <si>
    <t>внутриквартальный проезд в районе дома №43 по ул.Фрунзе (Школа Королева).</t>
  </si>
  <si>
    <t>по бульвару Космонавтов, в районе дома №15</t>
  </si>
  <si>
    <t>ул.Железнодорожная</t>
  </si>
  <si>
    <t>в районе дома №6 по ул.Д.Ульянова (Д/с "Чайка")</t>
  </si>
  <si>
    <t>ООТ "ТП-20"</t>
  </si>
  <si>
    <t>356,97 / 356,97</t>
  </si>
  <si>
    <t>Устройство пандуса для съезда МНГ в районе дома, расположенного по адресу Мурысева,64</t>
  </si>
  <si>
    <t>Устройство островка безопасности в районе ООТ "Школа исскуств" по ул. Дзержинского</t>
  </si>
  <si>
    <t>Ликвидация разрывов на 3-х разделительных полосах по Московскому проспекту, в районе дома №3</t>
  </si>
  <si>
    <t>2.1.5.164.</t>
  </si>
  <si>
    <t>Проектно-изыскательские работы по капитальному ремонту и ремонту путепроводов, подземных пешеходных переходов и мостов</t>
  </si>
  <si>
    <t>Проектно-изыскательские работы по объекту: "Устройство дополнительной полосы движения на ул. Тополиной на пересечении с Южным шоссе"</t>
  </si>
  <si>
    <t>Проектно-изыскательские работы по объекту: "Реконструкция кольцевой транспортной развязки пр-та Ленинский на пересечении с пр-том Степана Разина"</t>
  </si>
  <si>
    <t>Проектно-изыскательские работы по объекту: "Устройство дополнительной полосы движения на ул. Комсомольская на пересечении с ул. Карла Маркса"</t>
  </si>
  <si>
    <t>2018, 2020 (Оплата ранее принятых обязательств)</t>
  </si>
  <si>
    <t>Оплата принятых в 2018 и 2020 году обязательств</t>
  </si>
  <si>
    <t>пас.</t>
  </si>
  <si>
    <t>не менее     1 000</t>
  </si>
  <si>
    <t>Количество перевезенных маломобильных граждан специализированными автомобилями</t>
  </si>
  <si>
    <t>ул. Маршала Жукова от ул. Спортивная до ул. Фрунзе</t>
  </si>
  <si>
    <t>ул. Новозаводская от ул. Шлютова до Обводного шоссе</t>
  </si>
  <si>
    <t>2.1.5.131.</t>
  </si>
  <si>
    <t>2.1.7.1.158.</t>
  </si>
  <si>
    <t>Большой проезд от д.15 по ул. Грачева до ул. Бузыцкова</t>
  </si>
  <si>
    <t>ул. Викторова</t>
  </si>
  <si>
    <t>проезд от Хрящевского шоссе до д.17 по ул. Грачева</t>
  </si>
  <si>
    <t>ул. Подгорная</t>
  </si>
  <si>
    <t>ул. Непорожнего</t>
  </si>
  <si>
    <t>ул. Автомобилистов</t>
  </si>
  <si>
    <t>Выполнение работ по ремонту автомобильных дорог общего пользования местного значения городского округа Тольятти</t>
  </si>
  <si>
    <t>2.1.5.165.</t>
  </si>
  <si>
    <t>Ремонт автомобильной дороги по Поволжскому шоссе от ул. Громовой до c/о 232 по Поволжскому шоссе</t>
  </si>
  <si>
    <t>2.1.5.166.</t>
  </si>
  <si>
    <t>2.1.5.167.</t>
  </si>
  <si>
    <t>40,94 / -</t>
  </si>
  <si>
    <t>Ремонт автомобильной дороги по ул.Вокзальная вдоль железнодорожного вокзала</t>
  </si>
  <si>
    <t xml:space="preserve">Ремонт Фабричного проезда от здания № 46 по ул. Коммунальной до ул. Вокзальная </t>
  </si>
  <si>
    <t>2.1.5.168.</t>
  </si>
  <si>
    <t>Корректировка проектно-сметной документации по объекту: "Капитальный ремонт автодороги по улице Никонова от  улицы Железнодорожная  до улицы Ингельберга"</t>
  </si>
  <si>
    <t>внутриквартальный проезд в районе дома №64 по ул.Баныкина</t>
  </si>
  <si>
    <t>в районе пешеходного перехода у дома №16"А" по бульвару Ленина</t>
  </si>
  <si>
    <t>внутриквартальный проезд в районе дома №14 по ул.Баныкина перед пересечением с бульваром Ленина (четная сторона)</t>
  </si>
  <si>
    <t>внутриквартальный проезд от ул.Фрунзе (д.№16) до пр-та Ленинский (д.№27) (3 квартал, напротив "Фанни-парк")</t>
  </si>
  <si>
    <t>в районе домов №65, 67, 69 по ул.Краснодонцев, Космодемьянской</t>
  </si>
  <si>
    <t>внутриквартальный проезд ул.Ярославская д.№47, вдоль территории детского сада №69 "Веточка" (4корпус)</t>
  </si>
  <si>
    <t>внутриквартальный проезд ул. Победы в районе домов №№66,68,70 по ул.Мира</t>
  </si>
  <si>
    <t>Устройство островка безопасности с установкой технических средств организации дорожного движения на Южном шоссе в районе ООТ «АвтоВАЗтранс»</t>
  </si>
  <si>
    <t>г.о. Тольятти, Обводное шоссе в районе пересечения с Хрящевским шоссе</t>
  </si>
  <si>
    <t>устройство тротуара на подходах к пешеходному переходу в районе дома №151 по ул. Комсомольской</t>
  </si>
  <si>
    <t>Выполнение работ по ремонту автомобильных дорог общего пользования местного значения городского округа Тольятти (ремонт «картами»)</t>
  </si>
  <si>
    <t>г.о. Тольятти,  ул. Автостроителей, в районе  ООТ "Ул. 40 лет Победы"</t>
  </si>
  <si>
    <t>г.о. Тольятти,   ул. Заставная и Московский проспект перед примыканием к ул. Дзержинского</t>
  </si>
  <si>
    <t>г.о. Тольятти,  ул. Дзержинского в районе примыкания бульвара Курчатова</t>
  </si>
  <si>
    <t>г.о. Тольятти, перекресток ул.К.Маркса и М.Горького</t>
  </si>
  <si>
    <t>г.о. Тольятти,  ул. Комсомольская в районе пересечения с ул. Новопромышленной</t>
  </si>
  <si>
    <t>г.о. Тольятти,  перекресток  ул.Мира - ул. Жилина</t>
  </si>
  <si>
    <t>г.о. Тольятти,  перекресток ул. Юбилейной  - ул. Фрунзе</t>
  </si>
  <si>
    <t>г.о. Тольятти,  ул. Маршала Жукова в районе ООТ "Лесной голосок"</t>
  </si>
  <si>
    <t>г.о. Тольятти,   ул. Маршала Жукова в районе ООТ "Весёлая семейка"</t>
  </si>
  <si>
    <t>г.о. Тольятти,  ул. Полякова в районе  ООТ "Ул.Полякова"</t>
  </si>
  <si>
    <t>г.о. Тольятти, ул. Ст. Разина в районе  ООТ "Театральная"</t>
  </si>
  <si>
    <t>г.о. Тольятти,  Южное шоссе в районе ООТ "Обводное шоссе"</t>
  </si>
  <si>
    <t>г.о. Тольятти,  на перекрестке ул. Дзержинского - ул. Революционной - ул. Воскресенской</t>
  </si>
  <si>
    <t>г.о. Тольятти, на  перекрестке ул. Карбышева - ул. Комсомольской</t>
  </si>
  <si>
    <t xml:space="preserve">г.о. Тольятти, Южное шоссе ООТ "АвтоВАЗ-ТО" </t>
  </si>
  <si>
    <t xml:space="preserve">г.о. Тольятти, пересечение ул. Ленинградская - ул. Гидростроевская </t>
  </si>
  <si>
    <t>г.о. Тольятти,  на перекрестке ул. Кирова - ул. Герцена</t>
  </si>
  <si>
    <t>г.о. Тольятти,   ул. Полякова, в районе  д.№24</t>
  </si>
  <si>
    <t>г.о. Тольятти, перекресток  ул. Гидротехническая - ул. В.Поплавского и перекресток  ул.Транспортная - 4-й проезд</t>
  </si>
  <si>
    <t>г.о. Тольятти,   ул. Кудашева в районе ООТ "Ул. Кудашева"</t>
  </si>
  <si>
    <t>г.о. Тольятти,   перекресток  ул. Ларина - ул. Ленина</t>
  </si>
  <si>
    <t xml:space="preserve">г.о. Тольятти, на перекрестке проспекта Ст.Разина  - ул. Дзержинского - ул.Ботаничекой </t>
  </si>
  <si>
    <t xml:space="preserve">г.о. Тольятти,  ул. Юбилейной перед пересечением с ул.Свердлова </t>
  </si>
  <si>
    <t>г.о. Тольятти,на перекрестке  ул. Новозаводской  - ул. Комсомольской</t>
  </si>
  <si>
    <t xml:space="preserve">г.о. Тольятти, ул. 40 лет Победы в районе ООТ "Дендропарк" </t>
  </si>
  <si>
    <t>г.о. Тольятти,  ул.Механизаторов в районе примыкания к ул. Мурысева</t>
  </si>
  <si>
    <t xml:space="preserve">г.о. Тольятти, Автозаводское шоссе, д.3  </t>
  </si>
  <si>
    <t>г.о.Тольятти, Автозаводское шоссе, д. 6</t>
  </si>
  <si>
    <t>г.о.Тольятти, Автозаводское шоссе, д. 10Б</t>
  </si>
  <si>
    <t>г.о.Тольятти, Автозаводское шоссе, д. 14</t>
  </si>
  <si>
    <t xml:space="preserve">г.о. Тольятти,  Южное шоссе, д.19 </t>
  </si>
  <si>
    <t xml:space="preserve">г.о. Тольятти,  Южное шоссе, д.35 </t>
  </si>
  <si>
    <t>г.о. Тольятти,  ул. У.Громовой,  д.54А</t>
  </si>
  <si>
    <t>2.1.3.26.</t>
  </si>
  <si>
    <t>Корректировка проектно-сметной документации по объекту: "Капитальный ремонт автодороги по улице Базовая от ул. Комсомольская до улицы Ларина"</t>
  </si>
  <si>
    <t>в районе дома №77 по ул. Мира (проезд гостиницы "Звезда Жигулей" и ДК "Тольятти")</t>
  </si>
  <si>
    <t>внутриквартальный проезд вдоль домов №10, 14 по б-ру Татищева (19 квартал)</t>
  </si>
  <si>
    <t>внутриквартальный проезд вдоль домов №69, 71 по ул. Лизы Чайкиной</t>
  </si>
  <si>
    <t>Почтовый проезд вдоль д/с №41 "Огонек" (ул. Ленина, д. 95)</t>
  </si>
  <si>
    <t>б-р Туполева (вдоль территории МДОУ "Школа №47" д. 12</t>
  </si>
  <si>
    <t>Комсомольское шоссе, 1 в районе с/ш № 16</t>
  </si>
  <si>
    <t>1.1.8.</t>
  </si>
  <si>
    <t xml:space="preserve">Количество введенных в эксплуатацию камер видеонаблюдения </t>
  </si>
  <si>
    <t>2.1.3.27.</t>
  </si>
  <si>
    <t>Количество объектов, на которых установлено оборудование видеонаблюдения</t>
  </si>
  <si>
    <t>Подземный переход, расположенный по адресу: г. Тольятти, ул. Свердлова ост. Океан</t>
  </si>
  <si>
    <t>Количество отремонтированных надземных и подземных пешеходных переходов</t>
  </si>
  <si>
    <t>Количество отремонтированных путепроводов</t>
  </si>
  <si>
    <t>Монтаж и ввод в эксплуатацию оборудования видеонаблюдения</t>
  </si>
  <si>
    <t>Монтаж и ввод в эксплуатацию оборудования видеонаблюдения, в т.ч.:</t>
  </si>
  <si>
    <t>2023-2025</t>
  </si>
  <si>
    <t>4.4.</t>
  </si>
  <si>
    <t>4.4.1.</t>
  </si>
  <si>
    <t>Предоставление субсидий юридическим лицам (за исключением субсидий государственным (муниципальным) учреждениям), индивидуальным предпринимателям в целях возмещения затрат (части затрат) от перевозки маломобильных граждан специализированными автомобилями в городском округе Тольятти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</si>
  <si>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 </t>
  </si>
  <si>
    <t>Количество представленных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</t>
  </si>
  <si>
    <t>Количество представленных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дворовых территорий многоквартирных домов, проездов к дворовым территориям многоквартирных домов городского округа Тольятти</t>
  </si>
  <si>
    <t>Задача 4 подпрограммы: обеспечение социальных перевозок пассажиров в городском округе Тольятти</t>
  </si>
  <si>
    <t>3.2.5.</t>
  </si>
  <si>
    <t>2022-2023</t>
  </si>
  <si>
    <t>на проезде Федоровские луга (в районе пешеходного перехода и ООТ по требованию) (8 шт.)</t>
  </si>
  <si>
    <t>на внутриквартальном проезде в районе дома № 63 по ул. 70 лет Октября (2 шт.)</t>
  </si>
  <si>
    <t>устройство тротуаров на подходах к пешеходному переходу – демонтаж существующего тротуара (перекресток ул. Ленина – ул. Кирова)</t>
  </si>
  <si>
    <t>устройство пешеходной дорожки к пешеходному переходу на Приморском бульваре (на пересечении с ул. Революционной от сквера 50-летия АВТОВАЗа)</t>
  </si>
  <si>
    <t>устройство тротуаров на подходах к пешеходному переходу (перекресток ул. Победы – б-р 50 лет Октября)</t>
  </si>
  <si>
    <t>устройство тротуара (на подходах к пешеходному переходу) на перекрестке ул. Коммунистическая и ул. Есенина.</t>
  </si>
  <si>
    <t>устройству бортового камня (ликвидации уширения проезжей части (на 1 полосу)) на перекрестке ул. Коммунистическая и ул. Есенина.</t>
  </si>
  <si>
    <t>ул. Вокзальная, 100а (ООТ "10 КПП")</t>
  </si>
  <si>
    <t>г.о. Тольяти, ул. 40 лет Победы ООТ "Школа № 93"</t>
  </si>
  <si>
    <t>г.о. Тольятти, бульвар 50 лет Октября ООТ "Ул. Октябрьская" в районе дома №38</t>
  </si>
  <si>
    <t>г.о. Тольятти, ул. 70 лет Октября - ул.Тополиная в границах перекрестка</t>
  </si>
  <si>
    <t>г.о. Тольятти, ул. Баныкина ООТ "Белорусская"</t>
  </si>
  <si>
    <t>г.о. Тольятти, ул. Ворошилова ООТ "Дом офицеров"</t>
  </si>
  <si>
    <t>г.о. Тольятти, ул. Коммунистическая  - ул. Механизаторов в границах перекрестка</t>
  </si>
  <si>
    <t>г.о. Тольятти, ул. Комсомольская - ул .К.Маркса в границах перекрестка</t>
  </si>
  <si>
    <t>г.о. Тольятти, ул. Ларина - ул. Герцена в границах перекрестка</t>
  </si>
  <si>
    <t>г.о. Тольятти, ул. Маршала Жукова в районе дома №21, ООТ "Д/с "Елочка""</t>
  </si>
  <si>
    <t>г.о. Тольятти, ул. Мира - ул.К. Маркса в границах перекрестка</t>
  </si>
  <si>
    <t>г.о. Тольятти, ул. Родины - ул.Республиканская в границах перекрестка</t>
  </si>
  <si>
    <t>г.о. Тольятти, ул.Свердлова в районе дома №8</t>
  </si>
  <si>
    <t>г.о. Тольятти, ул.Свердлова ООТ "бульвар Гая"</t>
  </si>
  <si>
    <t>г.о. Тольятти, ул.Свердлова ООТ "Магазин "Мебель" в районе дома №16</t>
  </si>
  <si>
    <t xml:space="preserve">г.о. Тольятти, ул.Свердлова ООТ "Стоматологическая поликлиника" в районе дома №24 </t>
  </si>
  <si>
    <t xml:space="preserve">г.о. Тольятти, ул.Свердлова ООТ "Гостиница"в районе дома №32  </t>
  </si>
  <si>
    <t>г.о. Тольятти, ул.Свердлова в районе дома №38 перед пересечением с проспектом Ст.Разина</t>
  </si>
  <si>
    <t xml:space="preserve">г.о. Тольятти, ул. Толстого в районе домов №28, 21 </t>
  </si>
  <si>
    <t xml:space="preserve">г.о. Тольятти, ул. Толстого в районе домов №28 </t>
  </si>
  <si>
    <t>г.о. Тольятти, ул. Толстого ООТ "Толстого" в районе дома №22</t>
  </si>
  <si>
    <t>г.о. Тольятти, ул. Громовой ООТ "Ул. У Громовой" в районе дома №10 "А"</t>
  </si>
  <si>
    <t>г.о. Тольятти, ул. Юбилейная - ул. Свердлова в границах перекрестка</t>
  </si>
  <si>
    <t>г.о. Тольятти, ул. Юбилейная - Ленинский проспект в границах перекрестка</t>
  </si>
  <si>
    <t>г.о. Тольятти, ул. Юбилейная - ул.Дзержинского -ул.Борковская в границах перекрестка</t>
  </si>
  <si>
    <t>г.о. Тольятти, Южное шоссе ООТ "19 квартал"</t>
  </si>
  <si>
    <t>г.о. Тольятти, Южное шоссе ООТ "18 "А" квартал"</t>
  </si>
  <si>
    <t>г.о. Тольятти, Южное шоссе ООТ "Автопарковая"</t>
  </si>
  <si>
    <t>г.о. Тольятти, ул. Ярославская ООТ "Мясокомбинат" д. №49</t>
  </si>
  <si>
    <t>г.о. Тольятти, ул. Чапаева, 124 напротив д/с "Соловушка"</t>
  </si>
  <si>
    <t>г.о. Тольятти, ул. Баумана в районе домов 1,2</t>
  </si>
  <si>
    <t>Обустройство светофорного объекта (перекресток ул. Ленина - ул. Кирова)</t>
  </si>
  <si>
    <t xml:space="preserve">Обустройство светофорного регулирования на перекресткес ул. Коммунистическая - ул. Есенина                                                             </t>
  </si>
  <si>
    <t>Установка интелектуальной системы (перекресток ул. Победы – б-р 50 лет Октября)</t>
  </si>
  <si>
    <t xml:space="preserve">участок автодороги по ул. Кирова от Автозаводского шоссе до дома № 32 по ул. Кирова </t>
  </si>
  <si>
    <t>участок переулка Островского от ул. Коммунистическая до ул. Мурысева</t>
  </si>
  <si>
    <t>Устройство островка безопасности с установкой технических средств организации дорожного движения на внутриквартальном проезде напротив ТРК "Капитал" ул. Дзержинского, д. № 21</t>
  </si>
  <si>
    <t>Оказание услуг по проведению негосударственной (государственной) экспертизы обоснования начальной (максимальной) цены контракта на выполнение работ по капитальному ремонту и ремонту автомобильных дорог общего пользования местного значения городского округа Тольятти</t>
  </si>
  <si>
    <t>362,05 / 203,78</t>
  </si>
  <si>
    <t>устройство тротуара по ул. Мира до ул. Голосова со стороны Прокуратуры</t>
  </si>
  <si>
    <t>на перекрестке ул. Новопромышленная – ул. М. Горького (2 шт.)</t>
  </si>
  <si>
    <t>по б-ру Гая в районе дома № 10 (2 шт.)</t>
  </si>
  <si>
    <t xml:space="preserve">на внутриквартальном проезде вдоль дома № 2 по б-ру Гая </t>
  </si>
  <si>
    <t xml:space="preserve">на внутриквартальном проезде вдоль дома № 17,21 по ул. Дзержинского </t>
  </si>
  <si>
    <t>дорога вдоль ул. Спортивной (неч.сторона) от Физкультурного проезда до пр-та Степана Разина</t>
  </si>
  <si>
    <t>устройство парковки у здания Прокуратуры</t>
  </si>
  <si>
    <t>г.о. Тольятти, Приморский бульвар, д.5</t>
  </si>
  <si>
    <t>Диагностика подземных пешеходных переходов (автодороги Восточная завода-часть улицы Борковской между улицей Северной и шоссе Южным)</t>
  </si>
  <si>
    <t>Количество диагностируемых подземных пешеходных переходов</t>
  </si>
  <si>
    <t>2.1.1.14.</t>
  </si>
  <si>
    <t>Строительство магистральной улицы районного значения транспортно-пешеходной в продолжение ул. Дзержинского от Московского проспекта до ул. Фермерская</t>
  </si>
  <si>
    <t>2.1.1.14.1.</t>
  </si>
  <si>
    <t>Количество разработанной проектно-сметной документации по строительству объектов дорожного хозяйства</t>
  </si>
  <si>
    <t>участок автодороги вдоль ул. Северной от дома №27 до дома №75 по улице Северной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</si>
  <si>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дворовых территорий многоквартирных домов, проездов к дворовым территориям многоквартирных домов </t>
  </si>
  <si>
    <t>2.1.5.120.</t>
  </si>
  <si>
    <t>Приложение № 1                                                                                              к  постановлению администрации 
городского округа Тольятти 
от_______________№ _________</t>
  </si>
  <si>
    <t>Приложение № 2                                                                                             к  постановлению администрации городского округа Тольятти от______________№ __________</t>
  </si>
  <si>
    <t>Приложение № 3                                                                                             к  постановлению администрации городского округа Тольятти от_______________№ _________</t>
  </si>
  <si>
    <t>Приложение № 4                                                                                             к постановлению администрации городского округа Тольятти                           от______________ №_________</t>
  </si>
  <si>
    <t>Приложение № 5                                                                                                                    к  постановлению администрации городского                           округа Тольятти                                                                    от______________ № 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</si>
</sst>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0.0"/>
    <numFmt numFmtId="165" formatCode="#,##0.0"/>
    <numFmt numFmtId="166" formatCode="#,##0.0_р_."/>
    <numFmt numFmtId="167" formatCode="#,##0_р_."/>
    <numFmt numFmtId="168" formatCode="#,##0.00_р_."/>
    <numFmt numFmtId="169" formatCode="#,##0.000_р_."/>
  </numFmts>
  <fonts count="60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i/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Arial Cyr"/>
      <charset val="204"/>
    </font>
    <font>
      <b/>
      <sz val="10"/>
      <name val="Arial"/>
      <family val="2"/>
      <charset val="204"/>
    </font>
    <font>
      <i/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i/>
      <sz val="10"/>
      <name val="Arial Cyr"/>
      <charset val="204"/>
    </font>
    <font>
      <b/>
      <sz val="12"/>
      <name val="Arial"/>
      <family val="2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.5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16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594">
    <xf numFmtId="0" fontId="0" fillId="0" borderId="0" xfId="0"/>
    <xf numFmtId="166" fontId="20" fillId="0" borderId="1" xfId="9" applyNumberFormat="1" applyFont="1" applyFill="1" applyBorder="1" applyAlignment="1">
      <alignment horizontal="center" vertical="center" wrapText="1"/>
    </xf>
    <xf numFmtId="3" fontId="27" fillId="0" borderId="1" xfId="4" applyNumberFormat="1" applyFont="1" applyFill="1" applyBorder="1" applyAlignment="1">
      <alignment horizontal="center" vertical="center"/>
    </xf>
    <xf numFmtId="3" fontId="28" fillId="0" borderId="1" xfId="4" applyNumberFormat="1" applyFont="1" applyFill="1" applyBorder="1" applyAlignment="1">
      <alignment horizontal="center" vertical="center"/>
    </xf>
    <xf numFmtId="0" fontId="24" fillId="0" borderId="0" xfId="0" applyFont="1" applyAlignment="1">
      <alignment wrapText="1"/>
    </xf>
    <xf numFmtId="0" fontId="5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2" fontId="4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justify" vertical="center" wrapText="1"/>
    </xf>
    <xf numFmtId="0" fontId="0" fillId="0" borderId="6" xfId="0" applyBorder="1"/>
    <xf numFmtId="0" fontId="3" fillId="0" borderId="0" xfId="0" applyFont="1"/>
    <xf numFmtId="0" fontId="24" fillId="0" borderId="0" xfId="0" applyFont="1" applyAlignment="1">
      <alignment horizontal="center" vertical="center"/>
    </xf>
    <xf numFmtId="0" fontId="12" fillId="0" borderId="0" xfId="0" applyFont="1"/>
    <xf numFmtId="0" fontId="23" fillId="0" borderId="0" xfId="0" applyFont="1"/>
    <xf numFmtId="0" fontId="2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8" fillId="0" borderId="0" xfId="0" applyFont="1"/>
    <xf numFmtId="0" fontId="17" fillId="0" borderId="0" xfId="0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vertical="center" wrapText="1"/>
    </xf>
    <xf numFmtId="2" fontId="17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center" shrinkToFit="1"/>
    </xf>
    <xf numFmtId="0" fontId="51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2" fontId="5" fillId="0" borderId="1" xfId="0" applyNumberFormat="1" applyFont="1" applyBorder="1" applyAlignment="1">
      <alignment horizontal="center" vertical="center" wrapText="1" shrinkToFit="1"/>
    </xf>
    <xf numFmtId="3" fontId="5" fillId="0" borderId="1" xfId="0" applyNumberFormat="1" applyFont="1" applyBorder="1" applyAlignment="1">
      <alignment horizontal="center" vertical="center" wrapText="1" shrinkToFit="1"/>
    </xf>
    <xf numFmtId="4" fontId="4" fillId="0" borderId="1" xfId="0" applyNumberFormat="1" applyFont="1" applyBorder="1" applyAlignment="1">
      <alignment horizontal="center" vertical="center" wrapText="1" shrinkToFit="1"/>
    </xf>
    <xf numFmtId="4" fontId="9" fillId="0" borderId="1" xfId="0" applyNumberFormat="1" applyFont="1" applyBorder="1" applyAlignment="1">
      <alignment vertical="center" wrapText="1" shrinkToFit="1"/>
    </xf>
    <xf numFmtId="2" fontId="4" fillId="0" borderId="1" xfId="0" applyNumberFormat="1" applyFont="1" applyBorder="1" applyAlignment="1">
      <alignment horizontal="center" vertical="center" wrapText="1" shrinkToFit="1"/>
    </xf>
    <xf numFmtId="3" fontId="4" fillId="0" borderId="1" xfId="0" applyNumberFormat="1" applyFont="1" applyBorder="1" applyAlignment="1">
      <alignment horizontal="center" vertical="center" wrapText="1" shrinkToFit="1"/>
    </xf>
    <xf numFmtId="2" fontId="4" fillId="0" borderId="1" xfId="0" applyNumberFormat="1" applyFont="1" applyBorder="1" applyAlignment="1">
      <alignment horizontal="center" vertical="center" shrinkToFit="1"/>
    </xf>
    <xf numFmtId="3" fontId="4" fillId="0" borderId="1" xfId="0" applyNumberFormat="1" applyFont="1" applyBorder="1" applyAlignment="1">
      <alignment horizontal="center" vertical="center" shrinkToFit="1"/>
    </xf>
    <xf numFmtId="3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shrinkToFit="1"/>
    </xf>
    <xf numFmtId="2" fontId="5" fillId="0" borderId="1" xfId="0" applyNumberFormat="1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 wrapText="1" shrinkToFit="1"/>
    </xf>
    <xf numFmtId="4" fontId="30" fillId="0" borderId="1" xfId="0" applyNumberFormat="1" applyFont="1" applyBorder="1" applyAlignment="1">
      <alignment vertical="center" wrapText="1" shrinkToFit="1"/>
    </xf>
    <xf numFmtId="2" fontId="6" fillId="0" borderId="1" xfId="0" applyNumberFormat="1" applyFont="1" applyBorder="1" applyAlignment="1">
      <alignment horizontal="center" vertical="center" wrapText="1" shrinkToFit="1"/>
    </xf>
    <xf numFmtId="3" fontId="6" fillId="0" borderId="1" xfId="0" applyNumberFormat="1" applyFont="1" applyBorder="1" applyAlignment="1">
      <alignment horizontal="center" vertical="center" wrapText="1" shrinkToFit="1"/>
    </xf>
    <xf numFmtId="4" fontId="7" fillId="0" borderId="0" xfId="0" applyNumberFormat="1" applyFont="1"/>
    <xf numFmtId="4" fontId="8" fillId="0" borderId="1" xfId="0" applyNumberFormat="1" applyFont="1" applyBorder="1" applyAlignment="1">
      <alignment horizontal="center" vertical="center" wrapText="1" shrinkToFit="1"/>
    </xf>
    <xf numFmtId="4" fontId="11" fillId="0" borderId="1" xfId="0" applyNumberFormat="1" applyFont="1" applyBorder="1" applyAlignment="1">
      <alignment horizontal="left" vertical="center" wrapText="1" shrinkToFit="1"/>
    </xf>
    <xf numFmtId="4" fontId="9" fillId="0" borderId="1" xfId="0" applyNumberFormat="1" applyFont="1" applyBorder="1" applyAlignment="1">
      <alignment horizontal="left" vertical="center" wrapText="1" shrinkToFit="1"/>
    </xf>
    <xf numFmtId="4" fontId="34" fillId="0" borderId="1" xfId="0" applyNumberFormat="1" applyFont="1" applyBorder="1" applyAlignment="1">
      <alignment horizontal="center" vertical="center" wrapText="1" shrinkToFit="1"/>
    </xf>
    <xf numFmtId="4" fontId="30" fillId="0" borderId="1" xfId="0" applyNumberFormat="1" applyFont="1" applyBorder="1" applyAlignment="1">
      <alignment horizontal="left" vertical="center" wrapText="1" shrinkToFit="1"/>
    </xf>
    <xf numFmtId="4" fontId="38" fillId="0" borderId="0" xfId="0" applyNumberFormat="1" applyFont="1"/>
    <xf numFmtId="0" fontId="38" fillId="0" borderId="0" xfId="0" applyFont="1"/>
    <xf numFmtId="4" fontId="8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left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left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24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9" fillId="0" borderId="1" xfId="0" applyNumberFormat="1" applyFont="1" applyBorder="1" applyAlignment="1">
      <alignment horizontal="left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 wrapText="1"/>
    </xf>
    <xf numFmtId="4" fontId="9" fillId="0" borderId="1" xfId="3" applyNumberFormat="1" applyFont="1" applyBorder="1" applyAlignment="1">
      <alignment horizontal="left" vertical="center" wrapText="1"/>
    </xf>
    <xf numFmtId="4" fontId="0" fillId="0" borderId="0" xfId="0" applyNumberFormat="1" applyAlignment="1">
      <alignment horizontal="center" vertical="center"/>
    </xf>
    <xf numFmtId="3" fontId="46" fillId="0" borderId="1" xfId="1" applyNumberFormat="1" applyFont="1" applyBorder="1" applyAlignment="1">
      <alignment horizontal="center" vertical="center" wrapText="1"/>
    </xf>
    <xf numFmtId="4" fontId="46" fillId="0" borderId="1" xfId="0" applyNumberFormat="1" applyFont="1" applyBorder="1" applyAlignment="1">
      <alignment horizontal="center" vertical="center"/>
    </xf>
    <xf numFmtId="4" fontId="49" fillId="0" borderId="1" xfId="1" applyNumberFormat="1" applyFont="1" applyBorder="1" applyAlignment="1">
      <alignment horizontal="left" vertical="center" wrapText="1"/>
    </xf>
    <xf numFmtId="2" fontId="46" fillId="0" borderId="1" xfId="0" applyNumberFormat="1" applyFont="1" applyBorder="1" applyAlignment="1">
      <alignment horizontal="center" vertical="center" wrapText="1"/>
    </xf>
    <xf numFmtId="2" fontId="46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" fontId="9" fillId="0" borderId="1" xfId="1" applyNumberFormat="1" applyFont="1" applyBorder="1" applyAlignment="1">
      <alignment horizontal="left" vertical="center" wrapText="1"/>
    </xf>
    <xf numFmtId="2" fontId="6" fillId="0" borderId="1" xfId="1" applyNumberFormat="1" applyFont="1" applyBorder="1" applyAlignment="1">
      <alignment horizontal="left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 shrinkToFit="1"/>
    </xf>
    <xf numFmtId="4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30" fillId="0" borderId="1" xfId="0" applyFont="1" applyBorder="1" applyAlignment="1">
      <alignment horizontal="left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2" fontId="3" fillId="0" borderId="0" xfId="0" applyNumberFormat="1" applyFont="1"/>
    <xf numFmtId="0" fontId="0" fillId="0" borderId="6" xfId="0" applyBorder="1" applyAlignment="1">
      <alignment wrapText="1"/>
    </xf>
    <xf numFmtId="2" fontId="0" fillId="0" borderId="6" xfId="0" applyNumberFormat="1" applyBorder="1" applyAlignment="1">
      <alignment wrapText="1"/>
    </xf>
    <xf numFmtId="0" fontId="3" fillId="0" borderId="6" xfId="0" applyFont="1" applyBorder="1" applyAlignment="1">
      <alignment wrapText="1"/>
    </xf>
    <xf numFmtId="2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43" fillId="0" borderId="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4" fillId="0" borderId="5" xfId="0" applyFont="1" applyBorder="1" applyAlignment="1">
      <alignment horizontal="left" vertical="center" wrapText="1"/>
    </xf>
    <xf numFmtId="167" fontId="13" fillId="0" borderId="5" xfId="0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0" fontId="45" fillId="0" borderId="8" xfId="0" applyFont="1" applyBorder="1" applyAlignment="1">
      <alignment horizontal="left" vertical="center" wrapText="1"/>
    </xf>
    <xf numFmtId="167" fontId="13" fillId="0" borderId="8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167" fontId="13" fillId="0" borderId="4" xfId="0" applyNumberFormat="1" applyFont="1" applyBorder="1" applyAlignment="1">
      <alignment horizontal="center" vertical="center"/>
    </xf>
    <xf numFmtId="167" fontId="33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 wrapText="1"/>
    </xf>
    <xf numFmtId="167" fontId="13" fillId="0" borderId="15" xfId="0" applyNumberFormat="1" applyFont="1" applyBorder="1" applyAlignment="1">
      <alignment horizontal="center" vertical="center"/>
    </xf>
    <xf numFmtId="167" fontId="13" fillId="0" borderId="2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left" vertical="center" wrapText="1"/>
    </xf>
    <xf numFmtId="0" fontId="45" fillId="0" borderId="9" xfId="0" applyFont="1" applyBorder="1" applyAlignment="1">
      <alignment horizontal="left" vertical="center" wrapText="1"/>
    </xf>
    <xf numFmtId="166" fontId="33" fillId="0" borderId="8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166" fontId="3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167" fontId="33" fillId="0" borderId="1" xfId="0" applyNumberFormat="1" applyFont="1" applyBorder="1" applyAlignment="1">
      <alignment vertical="center"/>
    </xf>
    <xf numFmtId="0" fontId="24" fillId="0" borderId="11" xfId="0" applyFont="1" applyBorder="1" applyAlignment="1">
      <alignment horizontal="left" vertical="center" wrapText="1"/>
    </xf>
    <xf numFmtId="167" fontId="33" fillId="0" borderId="4" xfId="0" applyNumberFormat="1" applyFont="1" applyBorder="1" applyAlignment="1">
      <alignment vertical="center"/>
    </xf>
    <xf numFmtId="167" fontId="33" fillId="0" borderId="8" xfId="0" applyNumberFormat="1" applyFont="1" applyBorder="1" applyAlignment="1">
      <alignment vertical="center"/>
    </xf>
    <xf numFmtId="3" fontId="33" fillId="0" borderId="1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23" fillId="0" borderId="0" xfId="0" applyFont="1" applyAlignment="1">
      <alignment horizontal="center" wrapText="1"/>
    </xf>
    <xf numFmtId="0" fontId="3" fillId="0" borderId="6" xfId="0" applyFont="1" applyBorder="1"/>
    <xf numFmtId="167" fontId="33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166" fontId="33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2" fillId="0" borderId="0" xfId="0" applyFont="1" applyFill="1"/>
    <xf numFmtId="0" fontId="23" fillId="0" borderId="0" xfId="0" applyFont="1" applyFill="1"/>
    <xf numFmtId="0" fontId="23" fillId="0" borderId="0" xfId="0" applyFont="1" applyFill="1" applyAlignment="1">
      <alignment horizontal="center" vertical="top" wrapText="1"/>
    </xf>
    <xf numFmtId="0" fontId="0" fillId="0" borderId="0" xfId="0" applyFill="1" applyAlignment="1">
      <alignment wrapText="1"/>
    </xf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67" fontId="24" fillId="0" borderId="1" xfId="0" applyNumberFormat="1" applyFont="1" applyFill="1" applyBorder="1" applyAlignment="1">
      <alignment horizontal="center" vertical="center" wrapText="1"/>
    </xf>
    <xf numFmtId="3" fontId="28" fillId="0" borderId="1" xfId="0" applyNumberFormat="1" applyFont="1" applyFill="1" applyBorder="1" applyAlignment="1">
      <alignment horizontal="center" vertical="center"/>
    </xf>
    <xf numFmtId="3" fontId="27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14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166" fontId="24" fillId="0" borderId="1" xfId="0" applyNumberFormat="1" applyFont="1" applyFill="1" applyBorder="1" applyAlignment="1">
      <alignment horizontal="center" vertical="center" wrapText="1"/>
    </xf>
    <xf numFmtId="3" fontId="53" fillId="0" borderId="1" xfId="0" applyNumberFormat="1" applyFont="1" applyFill="1" applyBorder="1" applyAlignment="1">
      <alignment horizontal="center" vertical="center"/>
    </xf>
    <xf numFmtId="3" fontId="54" fillId="0" borderId="1" xfId="0" applyNumberFormat="1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7" fontId="28" fillId="0" borderId="1" xfId="0" applyNumberFormat="1" applyFont="1" applyFill="1" applyBorder="1" applyAlignment="1">
      <alignment vertical="center"/>
    </xf>
    <xf numFmtId="165" fontId="14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3" fontId="27" fillId="0" borderId="1" xfId="0" applyNumberFormat="1" applyFont="1" applyFill="1" applyBorder="1" applyAlignment="1">
      <alignment horizontal="center" vertical="center" wrapText="1"/>
    </xf>
    <xf numFmtId="4" fontId="23" fillId="0" borderId="0" xfId="0" applyNumberFormat="1" applyFont="1" applyFill="1"/>
    <xf numFmtId="3" fontId="23" fillId="0" borderId="0" xfId="0" applyNumberFormat="1" applyFont="1" applyFill="1"/>
    <xf numFmtId="0" fontId="8" fillId="0" borderId="1" xfId="0" applyFont="1" applyFill="1" applyBorder="1" applyAlignment="1">
      <alignment horizontal="center" vertical="center" wrapText="1"/>
    </xf>
    <xf numFmtId="4" fontId="12" fillId="0" borderId="0" xfId="0" applyNumberFormat="1" applyFont="1" applyFill="1"/>
    <xf numFmtId="3" fontId="12" fillId="0" borderId="0" xfId="0" applyNumberFormat="1" applyFont="1" applyFill="1"/>
    <xf numFmtId="0" fontId="6" fillId="0" borderId="0" xfId="0" applyFont="1" applyFill="1" applyAlignment="1">
      <alignment horizontal="center"/>
    </xf>
    <xf numFmtId="3" fontId="28" fillId="0" borderId="1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vertical="center" wrapText="1"/>
    </xf>
    <xf numFmtId="16" fontId="17" fillId="0" borderId="1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167" fontId="0" fillId="0" borderId="0" xfId="0" applyNumberFormat="1" applyFill="1"/>
    <xf numFmtId="0" fontId="15" fillId="0" borderId="0" xfId="0" applyFont="1" applyFill="1"/>
    <xf numFmtId="166" fontId="27" fillId="0" borderId="1" xfId="0" applyNumberFormat="1" applyFont="1" applyFill="1" applyBorder="1" applyAlignment="1">
      <alignment horizontal="center" vertical="center" wrapText="1"/>
    </xf>
    <xf numFmtId="164" fontId="24" fillId="0" borderId="1" xfId="7" applyNumberFormat="1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24" fillId="0" borderId="1" xfId="7" applyFont="1" applyFill="1" applyBorder="1" applyAlignment="1">
      <alignment horizontal="center" vertical="center" wrapText="1"/>
    </xf>
    <xf numFmtId="3" fontId="28" fillId="0" borderId="1" xfId="7" applyNumberFormat="1" applyFont="1" applyFill="1" applyBorder="1" applyAlignment="1">
      <alignment horizontal="center" vertical="center"/>
    </xf>
    <xf numFmtId="3" fontId="27" fillId="0" borderId="1" xfId="7" applyNumberFormat="1" applyFont="1" applyFill="1" applyBorder="1" applyAlignment="1">
      <alignment horizontal="center" vertical="center"/>
    </xf>
    <xf numFmtId="3" fontId="53" fillId="0" borderId="1" xfId="7" applyNumberFormat="1" applyFont="1" applyFill="1" applyBorder="1" applyAlignment="1">
      <alignment horizontal="center" vertical="center"/>
    </xf>
    <xf numFmtId="3" fontId="54" fillId="0" borderId="1" xfId="7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50" fillId="0" borderId="1" xfId="0" applyFont="1" applyFill="1" applyBorder="1" applyAlignment="1">
      <alignment horizontal="center" vertical="center"/>
    </xf>
    <xf numFmtId="0" fontId="26" fillId="0" borderId="0" xfId="0" applyFont="1" applyFill="1"/>
    <xf numFmtId="0" fontId="18" fillId="0" borderId="0" xfId="0" applyFont="1" applyFill="1" applyAlignment="1">
      <alignment horizontal="center"/>
    </xf>
    <xf numFmtId="3" fontId="28" fillId="0" borderId="0" xfId="0" applyNumberFormat="1" applyFont="1" applyFill="1" applyAlignment="1">
      <alignment horizontal="center" vertical="center"/>
    </xf>
    <xf numFmtId="0" fontId="0" fillId="0" borderId="3" xfId="0" applyFill="1" applyBorder="1"/>
    <xf numFmtId="0" fontId="3" fillId="0" borderId="3" xfId="0" applyFont="1" applyFill="1" applyBorder="1"/>
    <xf numFmtId="3" fontId="28" fillId="0" borderId="4" xfId="0" applyNumberFormat="1" applyFont="1" applyFill="1" applyBorder="1" applyAlignment="1">
      <alignment horizontal="center" vertical="center"/>
    </xf>
    <xf numFmtId="165" fontId="39" fillId="0" borderId="1" xfId="0" applyNumberFormat="1" applyFont="1" applyFill="1" applyBorder="1" applyAlignment="1">
      <alignment horizontal="center" vertical="center"/>
    </xf>
    <xf numFmtId="165" fontId="23" fillId="0" borderId="0" xfId="0" applyNumberFormat="1" applyFont="1" applyFill="1"/>
    <xf numFmtId="0" fontId="4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top" wrapText="1"/>
    </xf>
    <xf numFmtId="0" fontId="4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center" vertical="center" wrapText="1"/>
    </xf>
    <xf numFmtId="167" fontId="4" fillId="0" borderId="4" xfId="0" applyNumberFormat="1" applyFont="1" applyFill="1" applyBorder="1" applyAlignment="1">
      <alignment horizontal="center" vertical="top" wrapText="1"/>
    </xf>
    <xf numFmtId="167" fontId="46" fillId="0" borderId="4" xfId="0" applyNumberFormat="1" applyFont="1" applyFill="1" applyBorder="1" applyAlignment="1">
      <alignment horizontal="center" vertical="top" wrapText="1"/>
    </xf>
    <xf numFmtId="168" fontId="4" fillId="0" borderId="1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center" vertical="top" wrapText="1"/>
    </xf>
    <xf numFmtId="167" fontId="4" fillId="0" borderId="1" xfId="0" applyNumberFormat="1" applyFont="1" applyFill="1" applyBorder="1" applyAlignment="1">
      <alignment horizontal="center" vertical="top" wrapText="1"/>
    </xf>
    <xf numFmtId="168" fontId="4" fillId="0" borderId="1" xfId="0" applyNumberFormat="1" applyFont="1" applyFill="1" applyBorder="1" applyAlignment="1">
      <alignment horizontal="center" vertical="top" wrapText="1"/>
    </xf>
    <xf numFmtId="167" fontId="4" fillId="0" borderId="16" xfId="0" applyNumberFormat="1" applyFont="1" applyFill="1" applyBorder="1" applyAlignment="1">
      <alignment horizontal="center" vertical="top" wrapText="1"/>
    </xf>
    <xf numFmtId="167" fontId="4" fillId="0" borderId="13" xfId="0" applyNumberFormat="1" applyFont="1" applyFill="1" applyBorder="1" applyAlignment="1">
      <alignment horizontal="center" vertical="top" wrapText="1"/>
    </xf>
    <xf numFmtId="168" fontId="4" fillId="0" borderId="13" xfId="0" applyNumberFormat="1" applyFont="1" applyFill="1" applyBorder="1" applyAlignment="1">
      <alignment horizontal="center" vertical="top" wrapText="1"/>
    </xf>
    <xf numFmtId="168" fontId="4" fillId="0" borderId="14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168" fontId="4" fillId="0" borderId="5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168" fontId="4" fillId="0" borderId="4" xfId="0" applyNumberFormat="1" applyFont="1" applyFill="1" applyBorder="1" applyAlignment="1">
      <alignment horizontal="center" vertical="top" wrapText="1"/>
    </xf>
    <xf numFmtId="167" fontId="46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169" fontId="4" fillId="0" borderId="1" xfId="0" applyNumberFormat="1" applyFont="1" applyFill="1" applyBorder="1" applyAlignment="1">
      <alignment horizontal="center" vertical="top" wrapText="1"/>
    </xf>
    <xf numFmtId="168" fontId="46" fillId="0" borderId="1" xfId="0" applyNumberFormat="1" applyFont="1" applyFill="1" applyBorder="1" applyAlignment="1">
      <alignment horizontal="center" vertical="top" wrapText="1"/>
    </xf>
    <xf numFmtId="168" fontId="4" fillId="0" borderId="1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top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164" fontId="4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35" fillId="0" borderId="2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35" fillId="0" borderId="11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 wrapText="1"/>
    </xf>
    <xf numFmtId="2" fontId="46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top" wrapText="1"/>
    </xf>
    <xf numFmtId="0" fontId="0" fillId="0" borderId="6" xfId="0" applyFill="1" applyBorder="1"/>
    <xf numFmtId="0" fontId="56" fillId="0" borderId="7" xfId="0" applyFont="1" applyFill="1" applyBorder="1" applyAlignment="1">
      <alignment horizontal="center" vertical="center" wrapText="1"/>
    </xf>
    <xf numFmtId="3" fontId="27" fillId="0" borderId="1" xfId="0" applyNumberFormat="1" applyFont="1" applyFill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45" fillId="0" borderId="11" xfId="0" applyFont="1" applyBorder="1" applyAlignment="1">
      <alignment horizontal="left" vertical="center" wrapText="1"/>
    </xf>
    <xf numFmtId="0" fontId="24" fillId="0" borderId="11" xfId="0" applyFont="1" applyBorder="1" applyAlignment="1">
      <alignment wrapText="1"/>
    </xf>
    <xf numFmtId="0" fontId="24" fillId="0" borderId="11" xfId="0" applyFont="1" applyBorder="1"/>
    <xf numFmtId="167" fontId="13" fillId="0" borderId="1" xfId="0" applyNumberFormat="1" applyFont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center" vertical="center"/>
    </xf>
    <xf numFmtId="3" fontId="27" fillId="3" borderId="1" xfId="4" applyNumberFormat="1" applyFont="1" applyFill="1" applyBorder="1" applyAlignment="1">
      <alignment horizontal="center" vertical="center"/>
    </xf>
    <xf numFmtId="3" fontId="28" fillId="3" borderId="1" xfId="0" applyNumberFormat="1" applyFont="1" applyFill="1" applyBorder="1" applyAlignment="1">
      <alignment horizontal="center" vertical="center"/>
    </xf>
    <xf numFmtId="3" fontId="27" fillId="3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/>
    </xf>
    <xf numFmtId="166" fontId="33" fillId="0" borderId="8" xfId="0" applyNumberFormat="1" applyFont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3" fontId="28" fillId="3" borderId="1" xfId="7" applyNumberFormat="1" applyFont="1" applyFill="1" applyBorder="1" applyAlignment="1">
      <alignment horizontal="center" vertical="center"/>
    </xf>
    <xf numFmtId="3" fontId="27" fillId="3" borderId="1" xfId="7" applyNumberFormat="1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166" fontId="33" fillId="0" borderId="5" xfId="0" applyNumberFormat="1" applyFont="1" applyBorder="1" applyAlignment="1">
      <alignment vertical="center"/>
    </xf>
    <xf numFmtId="166" fontId="33" fillId="0" borderId="8" xfId="0" applyNumberFormat="1" applyFont="1" applyBorder="1" applyAlignment="1">
      <alignment vertical="center"/>
    </xf>
    <xf numFmtId="166" fontId="33" fillId="0" borderId="4" xfId="0" applyNumberFormat="1" applyFont="1" applyBorder="1" applyAlignment="1">
      <alignment vertical="center"/>
    </xf>
    <xf numFmtId="167" fontId="4" fillId="3" borderId="1" xfId="0" applyNumberFormat="1" applyFont="1" applyFill="1" applyBorder="1" applyAlignment="1">
      <alignment horizontal="center" vertical="top" wrapText="1"/>
    </xf>
    <xf numFmtId="3" fontId="27" fillId="3" borderId="1" xfId="0" applyNumberFormat="1" applyFont="1" applyFill="1" applyBorder="1" applyAlignment="1">
      <alignment horizontal="center" vertical="center"/>
    </xf>
    <xf numFmtId="3" fontId="28" fillId="3" borderId="1" xfId="0" applyNumberFormat="1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left" vertical="center" wrapText="1"/>
    </xf>
    <xf numFmtId="0" fontId="24" fillId="3" borderId="0" xfId="0" applyFont="1" applyFill="1" applyAlignment="1">
      <alignment horizontal="left" vertical="center" wrapText="1"/>
    </xf>
    <xf numFmtId="0" fontId="24" fillId="3" borderId="0" xfId="0" applyFont="1" applyFill="1"/>
    <xf numFmtId="0" fontId="24" fillId="3" borderId="9" xfId="0" applyFont="1" applyFill="1" applyBorder="1" applyAlignment="1">
      <alignment horizontal="left" vertical="center" wrapText="1"/>
    </xf>
    <xf numFmtId="0" fontId="45" fillId="3" borderId="8" xfId="0" applyFont="1" applyFill="1" applyBorder="1" applyAlignment="1">
      <alignment horizontal="left" vertical="center" wrapText="1"/>
    </xf>
    <xf numFmtId="167" fontId="33" fillId="3" borderId="1" xfId="0" applyNumberFormat="1" applyFont="1" applyFill="1" applyBorder="1" applyAlignment="1">
      <alignment horizontal="center" vertical="center"/>
    </xf>
    <xf numFmtId="167" fontId="13" fillId="3" borderId="1" xfId="0" applyNumberFormat="1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left" vertical="center" wrapText="1"/>
    </xf>
    <xf numFmtId="168" fontId="4" fillId="3" borderId="5" xfId="0" applyNumberFormat="1" applyFont="1" applyFill="1" applyBorder="1" applyAlignment="1">
      <alignment horizontal="center" vertical="top" wrapText="1"/>
    </xf>
    <xf numFmtId="168" fontId="4" fillId="3" borderId="4" xfId="0" applyNumberFormat="1" applyFont="1" applyFill="1" applyBorder="1" applyAlignment="1">
      <alignment horizontal="center" vertical="top" wrapText="1"/>
    </xf>
    <xf numFmtId="167" fontId="46" fillId="3" borderId="1" xfId="0" applyNumberFormat="1" applyFont="1" applyFill="1" applyBorder="1" applyAlignment="1">
      <alignment horizontal="center" vertical="top" wrapText="1"/>
    </xf>
    <xf numFmtId="167" fontId="46" fillId="3" borderId="1" xfId="0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169" fontId="4" fillId="3" borderId="1" xfId="0" applyNumberFormat="1" applyFont="1" applyFill="1" applyBorder="1" applyAlignment="1">
      <alignment horizontal="center" vertical="top" wrapText="1"/>
    </xf>
    <xf numFmtId="168" fontId="4" fillId="3" borderId="1" xfId="0" applyNumberFormat="1" applyFont="1" applyFill="1" applyBorder="1" applyAlignment="1">
      <alignment horizontal="center" vertical="top" wrapText="1"/>
    </xf>
    <xf numFmtId="3" fontId="28" fillId="3" borderId="1" xfId="0" applyNumberFormat="1" applyFont="1" applyFill="1" applyBorder="1" applyAlignment="1">
      <alignment horizontal="center" vertical="center"/>
    </xf>
    <xf numFmtId="3" fontId="2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164" fontId="24" fillId="3" borderId="3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3" fontId="28" fillId="3" borderId="1" xfId="0" applyNumberFormat="1" applyFont="1" applyFill="1" applyBorder="1" applyAlignment="1">
      <alignment horizontal="center" vertical="center"/>
    </xf>
    <xf numFmtId="3" fontId="27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 shrinkToFit="1"/>
    </xf>
    <xf numFmtId="3" fontId="4" fillId="3" borderId="1" xfId="0" applyNumberFormat="1" applyFont="1" applyFill="1" applyBorder="1" applyAlignment="1">
      <alignment horizontal="center" vertical="center" wrapText="1" shrinkToFit="1"/>
    </xf>
    <xf numFmtId="3" fontId="4" fillId="3" borderId="1" xfId="0" applyNumberFormat="1" applyFont="1" applyFill="1" applyBorder="1" applyAlignment="1">
      <alignment horizontal="center" vertical="center" shrinkToFi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3" fontId="4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vertical="center" wrapText="1"/>
    </xf>
    <xf numFmtId="3" fontId="4" fillId="3" borderId="1" xfId="1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shrinkToFit="1"/>
    </xf>
    <xf numFmtId="2" fontId="5" fillId="3" borderId="1" xfId="0" applyNumberFormat="1" applyFont="1" applyFill="1" applyBorder="1" applyAlignment="1">
      <alignment horizontal="center" vertical="center" wrapText="1" shrinkToFit="1"/>
    </xf>
    <xf numFmtId="2" fontId="4" fillId="3" borderId="1" xfId="0" applyNumberFormat="1" applyFont="1" applyFill="1" applyBorder="1" applyAlignment="1">
      <alignment horizontal="center" vertical="center" shrinkToFit="1"/>
    </xf>
    <xf numFmtId="2" fontId="59" fillId="3" borderId="1" xfId="0" applyNumberFormat="1" applyFont="1" applyFill="1" applyBorder="1" applyAlignment="1">
      <alignment horizontal="center" vertical="center" wrapText="1" shrinkToFit="1"/>
    </xf>
    <xf numFmtId="2" fontId="4" fillId="3" borderId="1" xfId="0" applyNumberFormat="1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3" fontId="6" fillId="3" borderId="1" xfId="1" applyNumberFormat="1" applyFont="1" applyFill="1" applyBorder="1" applyAlignment="1">
      <alignment horizontal="center" vertical="center" wrapText="1"/>
    </xf>
    <xf numFmtId="2" fontId="9" fillId="3" borderId="1" xfId="1" applyNumberFormat="1" applyFont="1" applyFill="1" applyBorder="1" applyAlignment="1">
      <alignment horizontal="left" vertical="center" wrapText="1"/>
    </xf>
    <xf numFmtId="3" fontId="27" fillId="3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/>
    </xf>
    <xf numFmtId="167" fontId="13" fillId="0" borderId="4" xfId="0" applyNumberFormat="1" applyFont="1" applyBorder="1" applyAlignment="1">
      <alignment horizontal="center" vertical="center"/>
    </xf>
    <xf numFmtId="167" fontId="13" fillId="0" borderId="5" xfId="0" applyNumberFormat="1" applyFont="1" applyBorder="1" applyAlignment="1">
      <alignment horizontal="center" vertical="center"/>
    </xf>
    <xf numFmtId="167" fontId="33" fillId="3" borderId="8" xfId="0" applyNumberFormat="1" applyFont="1" applyFill="1" applyBorder="1" applyAlignment="1">
      <alignment vertical="center"/>
    </xf>
    <xf numFmtId="167" fontId="13" fillId="3" borderId="8" xfId="0" applyNumberFormat="1" applyFont="1" applyFill="1" applyBorder="1" applyAlignment="1">
      <alignment vertical="center"/>
    </xf>
    <xf numFmtId="167" fontId="33" fillId="3" borderId="4" xfId="0" applyNumberFormat="1" applyFont="1" applyFill="1" applyBorder="1" applyAlignment="1">
      <alignment vertical="center"/>
    </xf>
    <xf numFmtId="167" fontId="13" fillId="3" borderId="4" xfId="0" applyNumberFormat="1" applyFont="1" applyFill="1" applyBorder="1" applyAlignment="1">
      <alignment vertical="center"/>
    </xf>
    <xf numFmtId="4" fontId="9" fillId="3" borderId="1" xfId="1" applyNumberFormat="1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3" fontId="28" fillId="3" borderId="1" xfId="0" applyNumberFormat="1" applyFont="1" applyFill="1" applyBorder="1" applyAlignment="1">
      <alignment horizontal="center" vertical="center"/>
    </xf>
    <xf numFmtId="3" fontId="27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left" vertical="center" wrapText="1" shrinkToFit="1"/>
    </xf>
    <xf numFmtId="2" fontId="4" fillId="3" borderId="1" xfId="0" applyNumberFormat="1" applyFont="1" applyFill="1" applyBorder="1" applyAlignment="1">
      <alignment horizontal="center" vertical="center" wrapText="1" shrinkToFit="1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14" fillId="0" borderId="7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167" fontId="33" fillId="0" borderId="5" xfId="0" applyNumberFormat="1" applyFont="1" applyBorder="1" applyAlignment="1">
      <alignment horizontal="center" vertical="center"/>
    </xf>
    <xf numFmtId="167" fontId="33" fillId="0" borderId="8" xfId="0" applyNumberFormat="1" applyFont="1" applyBorder="1" applyAlignment="1">
      <alignment horizontal="center" vertical="center"/>
    </xf>
    <xf numFmtId="167" fontId="33" fillId="0" borderId="4" xfId="0" applyNumberFormat="1" applyFont="1" applyBorder="1" applyAlignment="1">
      <alignment horizontal="center" vertical="center"/>
    </xf>
    <xf numFmtId="167" fontId="13" fillId="0" borderId="5" xfId="0" applyNumberFormat="1" applyFont="1" applyBorder="1" applyAlignment="1">
      <alignment horizontal="center" vertical="center"/>
    </xf>
    <xf numFmtId="167" fontId="13" fillId="0" borderId="8" xfId="0" applyNumberFormat="1" applyFont="1" applyBorder="1" applyAlignment="1">
      <alignment horizontal="center" vertical="center"/>
    </xf>
    <xf numFmtId="167" fontId="13" fillId="0" borderId="4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67" fontId="33" fillId="3" borderId="5" xfId="0" applyNumberFormat="1" applyFont="1" applyFill="1" applyBorder="1" applyAlignment="1">
      <alignment horizontal="center" vertical="center"/>
    </xf>
    <xf numFmtId="167" fontId="33" fillId="3" borderId="8" xfId="0" applyNumberFormat="1" applyFont="1" applyFill="1" applyBorder="1" applyAlignment="1">
      <alignment horizontal="center" vertical="center"/>
    </xf>
    <xf numFmtId="167" fontId="33" fillId="3" borderId="4" xfId="0" applyNumberFormat="1" applyFont="1" applyFill="1" applyBorder="1" applyAlignment="1">
      <alignment horizontal="center" vertical="center"/>
    </xf>
    <xf numFmtId="167" fontId="13" fillId="3" borderId="5" xfId="0" applyNumberFormat="1" applyFont="1" applyFill="1" applyBorder="1" applyAlignment="1">
      <alignment horizontal="center" vertical="center"/>
    </xf>
    <xf numFmtId="167" fontId="13" fillId="3" borderId="8" xfId="0" applyNumberFormat="1" applyFont="1" applyFill="1" applyBorder="1" applyAlignment="1">
      <alignment horizontal="center" vertical="center"/>
    </xf>
    <xf numFmtId="167" fontId="13" fillId="3" borderId="4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167" fontId="33" fillId="0" borderId="17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20" fillId="0" borderId="1" xfId="6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4" fillId="0" borderId="1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167" fontId="13" fillId="0" borderId="1" xfId="0" applyNumberFormat="1" applyFont="1" applyBorder="1" applyAlignment="1">
      <alignment horizontal="center" vertical="center"/>
    </xf>
    <xf numFmtId="167" fontId="33" fillId="0" borderId="1" xfId="0" applyNumberFormat="1" applyFont="1" applyBorder="1" applyAlignment="1">
      <alignment horizontal="center" vertical="center"/>
    </xf>
    <xf numFmtId="167" fontId="14" fillId="0" borderId="5" xfId="0" applyNumberFormat="1" applyFont="1" applyBorder="1" applyAlignment="1">
      <alignment horizontal="center" vertical="center" wrapText="1"/>
    </xf>
    <xf numFmtId="167" fontId="14" fillId="0" borderId="8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51" fillId="0" borderId="7" xfId="0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51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7" fillId="0" borderId="6" xfId="0" applyFont="1" applyBorder="1"/>
    <xf numFmtId="0" fontId="17" fillId="0" borderId="1" xfId="0" applyFont="1" applyBorder="1" applyAlignment="1">
      <alignment horizontal="center" vertical="center" wrapText="1"/>
    </xf>
    <xf numFmtId="167" fontId="13" fillId="0" borderId="18" xfId="0" applyNumberFormat="1" applyFont="1" applyBorder="1" applyAlignment="1">
      <alignment horizontal="center" vertical="center"/>
    </xf>
    <xf numFmtId="167" fontId="13" fillId="0" borderId="9" xfId="0" applyNumberFormat="1" applyFont="1" applyBorder="1" applyAlignment="1">
      <alignment horizontal="center" vertical="center"/>
    </xf>
    <xf numFmtId="167" fontId="33" fillId="3" borderId="1" xfId="0" applyNumberFormat="1" applyFont="1" applyFill="1" applyBorder="1" applyAlignment="1">
      <alignment horizontal="center" vertical="center"/>
    </xf>
    <xf numFmtId="167" fontId="13" fillId="3" borderId="1" xfId="0" applyNumberFormat="1" applyFont="1" applyFill="1" applyBorder="1" applyAlignment="1">
      <alignment horizontal="center" vertical="center"/>
    </xf>
    <xf numFmtId="167" fontId="13" fillId="0" borderId="10" xfId="0" applyNumberFormat="1" applyFont="1" applyBorder="1" applyAlignment="1">
      <alignment horizontal="center" vertical="center"/>
    </xf>
    <xf numFmtId="2" fontId="8" fillId="0" borderId="7" xfId="1" applyNumberFormat="1" applyFont="1" applyBorder="1" applyAlignment="1">
      <alignment horizontal="left" vertical="center" wrapText="1"/>
    </xf>
    <xf numFmtId="2" fontId="8" fillId="0" borderId="3" xfId="1" applyNumberFormat="1" applyFont="1" applyBorder="1" applyAlignment="1">
      <alignment horizontal="left" vertical="center" wrapText="1"/>
    </xf>
    <xf numFmtId="2" fontId="8" fillId="0" borderId="2" xfId="1" applyNumberFormat="1" applyFont="1" applyBorder="1" applyAlignment="1">
      <alignment horizontal="left" vertical="center" wrapText="1"/>
    </xf>
    <xf numFmtId="4" fontId="8" fillId="0" borderId="7" xfId="1" applyNumberFormat="1" applyFont="1" applyBorder="1" applyAlignment="1">
      <alignment horizontal="left" vertical="center" wrapText="1"/>
    </xf>
    <xf numFmtId="4" fontId="8" fillId="0" borderId="3" xfId="1" applyNumberFormat="1" applyFont="1" applyBorder="1" applyAlignment="1">
      <alignment horizontal="left" vertical="center" wrapText="1"/>
    </xf>
    <xf numFmtId="4" fontId="8" fillId="0" borderId="2" xfId="1" applyNumberFormat="1" applyFont="1" applyBorder="1" applyAlignment="1">
      <alignment horizontal="left" vertical="center" wrapText="1"/>
    </xf>
    <xf numFmtId="164" fontId="8" fillId="0" borderId="7" xfId="1" applyNumberFormat="1" applyFont="1" applyBorder="1" applyAlignment="1">
      <alignment horizontal="left" vertical="center" wrapText="1"/>
    </xf>
    <xf numFmtId="164" fontId="8" fillId="0" borderId="3" xfId="1" applyNumberFormat="1" applyFont="1" applyBorder="1" applyAlignment="1">
      <alignment horizontal="left" vertical="center" wrapText="1"/>
    </xf>
    <xf numFmtId="164" fontId="8" fillId="0" borderId="2" xfId="1" applyNumberFormat="1" applyFont="1" applyBorder="1" applyAlignment="1">
      <alignment horizontal="left" vertical="center" wrapText="1"/>
    </xf>
    <xf numFmtId="4" fontId="8" fillId="0" borderId="1" xfId="1" applyNumberFormat="1" applyFont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7" xfId="0" applyNumberFormat="1" applyFont="1" applyBorder="1" applyAlignment="1">
      <alignment horizontal="left" vertical="center" wrapText="1" shrinkToFit="1"/>
    </xf>
    <xf numFmtId="4" fontId="8" fillId="0" borderId="3" xfId="0" applyNumberFormat="1" applyFont="1" applyBorder="1" applyAlignment="1">
      <alignment horizontal="left" vertical="center" wrapText="1" shrinkToFit="1"/>
    </xf>
    <xf numFmtId="4" fontId="8" fillId="0" borderId="2" xfId="0" applyNumberFormat="1" applyFont="1" applyBorder="1" applyAlignment="1">
      <alignment horizontal="left" vertical="center" wrapText="1" shrinkToFit="1"/>
    </xf>
    <xf numFmtId="2" fontId="5" fillId="0" borderId="1" xfId="0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2" fontId="8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3" fontId="27" fillId="0" borderId="1" xfId="0" applyNumberFormat="1" applyFont="1" applyFill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2" fillId="0" borderId="6" xfId="0" applyFont="1" applyFill="1" applyBorder="1"/>
    <xf numFmtId="0" fontId="24" fillId="0" borderId="0" xfId="0" applyFont="1" applyFill="1" applyAlignment="1">
      <alignment horizontal="center" wrapText="1"/>
    </xf>
    <xf numFmtId="3" fontId="27" fillId="3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 wrapText="1"/>
    </xf>
    <xf numFmtId="0" fontId="17" fillId="3" borderId="7" xfId="0" applyNumberFormat="1" applyFont="1" applyFill="1" applyBorder="1" applyAlignment="1">
      <alignment horizontal="left" vertical="center" wrapText="1"/>
    </xf>
    <xf numFmtId="0" fontId="17" fillId="3" borderId="3" xfId="0" applyNumberFormat="1" applyFont="1" applyFill="1" applyBorder="1" applyAlignment="1">
      <alignment horizontal="left" vertical="center" wrapText="1"/>
    </xf>
    <xf numFmtId="0" fontId="17" fillId="3" borderId="2" xfId="0" applyNumberFormat="1" applyFont="1" applyFill="1" applyBorder="1" applyAlignment="1">
      <alignment horizontal="left" vertical="center" wrapText="1"/>
    </xf>
    <xf numFmtId="3" fontId="28" fillId="3" borderId="1" xfId="0" applyNumberFormat="1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left" vertical="center" wrapText="1"/>
    </xf>
    <xf numFmtId="0" fontId="46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top" wrapText="1"/>
    </xf>
    <xf numFmtId="0" fontId="24" fillId="0" borderId="6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5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3" fontId="46" fillId="3" borderId="1" xfId="1" applyNumberFormat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 wrapText="1"/>
    </xf>
    <xf numFmtId="3" fontId="33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</cellXfs>
  <cellStyles count="11">
    <cellStyle name="Обычный" xfId="0" builtinId="0"/>
    <cellStyle name="Обычный 2" xfId="1"/>
    <cellStyle name="Обычный 2 2" xfId="7"/>
    <cellStyle name="Обычный 2 3" xfId="8"/>
    <cellStyle name="Обычный 3" xfId="2"/>
    <cellStyle name="Обычный 4" xfId="3"/>
    <cellStyle name="Обычный_Лист1" xfId="6"/>
    <cellStyle name="Финансовый" xfId="4" builtinId="3"/>
    <cellStyle name="Финансовый 2" xfId="5"/>
    <cellStyle name="Финансовый 3" xfId="9"/>
    <cellStyle name="Финансовый 4" xfId="10"/>
  </cellStyles>
  <dxfs count="0"/>
  <tableStyles count="0" defaultTableStyle="TableStyleMedium2" defaultPivotStyle="PivotStyleLight16"/>
  <colors>
    <mruColors>
      <color rgb="FFFFFF00"/>
      <color rgb="FFFFFF66"/>
      <color rgb="FFFFFF99"/>
      <color rgb="FFFFFFCC"/>
      <color rgb="FFF9B67F"/>
      <color rgb="FFFF9933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3;.&#1087;&#1086;&#1095;&#1090;&#1072;/&#1054;&#1058;&#1063;&#1045;&#1058;&#1067;%20&#1069;&#1050;&#1054;&#1053;&#1054;&#1052;&#1048;&#1057;&#1058;&#1067;/&#1055;&#1088;&#1086;&#1075;&#1088;&#1072;&#1084;&#1084;&#1072;/&#1055;&#1088;&#1086;&#1077;&#1082;&#1090;&#1099;%20&#1087;&#1086;&#1089;&#1090;&#1072;&#1085;&#1086;&#1074;&#1083;&#1077;&#1085;&#1080;&#1081;/&#1055;&#1088;&#1086;&#1075;&#1088;&#1072;&#1084;&#1084;&#1072;%202021-2025/&#1080;&#1079;&#1084;.%20&#1044;&#1091;&#1084;&#1072;%2024.03.2021/&#1050;&#1086;&#1087;&#1080;&#1103;%20&#1087;&#1088;&#1080;&#1083;&#1086;&#1078;&#1077;&#1085;&#1080;&#1103;%2024.03.2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netshare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&#1088;&#1077;&#1096;.1137\2%20&#1050;&#1086;&#1087;&#1080;&#1103;%20&#1087;&#1088;&#1080;&#1083;&#1086;&#1078;&#1077;&#1085;&#1080;&#1103;%20&#1088;&#1077;&#1096;.1137%20(&#1089;%20&#1087;&#1086;&#1095;&#1090;&#1099;)%20&#1086;&#1088;&#1080;&#1075;&#1080;&#1085;&#107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3;.&#1087;&#1086;&#1095;&#1090;&#1072;/&#1054;&#1058;&#1063;&#1045;&#1058;&#1067;%20&#1069;&#1050;&#1054;&#1053;&#1054;&#1052;&#1048;&#1057;&#1058;&#1067;/&#1055;&#1088;&#1086;&#1075;&#1088;&#1072;&#1084;&#1084;&#1072;/&#1055;&#1088;&#1086;&#1077;&#1082;&#1090;&#1099;%20&#1087;&#1086;&#1089;&#1090;&#1072;&#1085;&#1086;&#1074;&#1083;&#1077;&#1085;&#1080;&#1081;/&#1055;&#1088;&#1086;&#1075;&#1088;&#1072;&#1084;&#1084;&#1072;%202021-2025/&#1059;&#1090;&#1074;&#1077;&#1088;&#1076;&#1080;&#1083;&#1080;%20&#1085;&#1072;%20&#1044;&#1059;&#1052;&#1077;%20(&#1079;&#1072;&#1087;&#1091;&#1089;&#1082;&#1072;&#1077;&#1084;%20&#1087;&#1088;&#1086;&#1077;&#1082;&#1090;%20&#1087;&#1086;&#1089;&#1090;&#1072;&#1085;&#1086;&#1074;&#1083;&#1077;&#1085;&#1080;&#1103;)/&#1059;&#1090;&#1074;.&#1087;&#1088;&#1080;&#1083;&#1086;&#1078;&#1077;&#1085;&#1080;&#1103;%2021-2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онеч.рез."/>
      <sheetName val="2.переченьПБДД"/>
      <sheetName val="3.переченьМРАД"/>
      <sheetName val="4.меропр."/>
      <sheetName val="5.индик."/>
      <sheetName val="Лист1"/>
    </sheetNames>
    <sheetDataSet>
      <sheetData sheetId="0" refreshError="1"/>
      <sheetData sheetId="1" refreshError="1"/>
      <sheetData sheetId="2" refreshError="1">
        <row r="96">
          <cell r="G96">
            <v>0</v>
          </cell>
          <cell r="Q96">
            <v>0</v>
          </cell>
          <cell r="V96">
            <v>0</v>
          </cell>
          <cell r="AA96">
            <v>0</v>
          </cell>
        </row>
        <row r="215">
          <cell r="G215">
            <v>0</v>
          </cell>
          <cell r="L215">
            <v>0</v>
          </cell>
          <cell r="Q215">
            <v>0</v>
          </cell>
          <cell r="AA215">
            <v>0</v>
          </cell>
        </row>
        <row r="216">
          <cell r="G216">
            <v>0</v>
          </cell>
          <cell r="L216">
            <v>0</v>
          </cell>
          <cell r="Q216">
            <v>0</v>
          </cell>
          <cell r="AA216">
            <v>0</v>
          </cell>
        </row>
        <row r="217">
          <cell r="G217">
            <v>0</v>
          </cell>
          <cell r="L217">
            <v>0</v>
          </cell>
          <cell r="Q217">
            <v>0</v>
          </cell>
          <cell r="AA217">
            <v>0</v>
          </cell>
        </row>
        <row r="218">
          <cell r="G218">
            <v>0</v>
          </cell>
          <cell r="L218">
            <v>0</v>
          </cell>
          <cell r="Q218">
            <v>0</v>
          </cell>
          <cell r="AA218">
            <v>0</v>
          </cell>
        </row>
        <row r="219">
          <cell r="G219">
            <v>0</v>
          </cell>
          <cell r="L219">
            <v>0</v>
          </cell>
          <cell r="Q219">
            <v>0</v>
          </cell>
          <cell r="AA219">
            <v>0</v>
          </cell>
        </row>
        <row r="220">
          <cell r="G220">
            <v>0</v>
          </cell>
          <cell r="L220">
            <v>0</v>
          </cell>
          <cell r="Q220">
            <v>0</v>
          </cell>
          <cell r="AA220">
            <v>0</v>
          </cell>
        </row>
        <row r="221">
          <cell r="G221">
            <v>0</v>
          </cell>
          <cell r="L221">
            <v>0</v>
          </cell>
          <cell r="Q221">
            <v>0</v>
          </cell>
          <cell r="AA221">
            <v>0</v>
          </cell>
        </row>
        <row r="222">
          <cell r="G222">
            <v>0</v>
          </cell>
          <cell r="L222">
            <v>0</v>
          </cell>
          <cell r="Q222">
            <v>0</v>
          </cell>
          <cell r="AA222">
            <v>0</v>
          </cell>
        </row>
        <row r="223">
          <cell r="G223">
            <v>0</v>
          </cell>
          <cell r="L223">
            <v>0</v>
          </cell>
          <cell r="Q223">
            <v>0</v>
          </cell>
          <cell r="AA223">
            <v>0</v>
          </cell>
        </row>
        <row r="224">
          <cell r="G224">
            <v>0</v>
          </cell>
          <cell r="L224">
            <v>0</v>
          </cell>
          <cell r="Q224">
            <v>0</v>
          </cell>
          <cell r="AA224">
            <v>0</v>
          </cell>
        </row>
        <row r="225">
          <cell r="G225">
            <v>0</v>
          </cell>
          <cell r="L225">
            <v>0</v>
          </cell>
          <cell r="Q225">
            <v>0</v>
          </cell>
          <cell r="AA225">
            <v>0</v>
          </cell>
        </row>
        <row r="226">
          <cell r="G226">
            <v>0</v>
          </cell>
          <cell r="L226">
            <v>0</v>
          </cell>
          <cell r="Q226">
            <v>0</v>
          </cell>
          <cell r="AA226">
            <v>0</v>
          </cell>
        </row>
        <row r="227">
          <cell r="G227">
            <v>0</v>
          </cell>
          <cell r="L227">
            <v>0</v>
          </cell>
          <cell r="Q227">
            <v>0</v>
          </cell>
          <cell r="AA227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еч.рез."/>
      <sheetName val="1.переченьПБДД"/>
      <sheetName val="2.переченьМРАД"/>
      <sheetName val="3.меропр."/>
      <sheetName val="4.индик."/>
    </sheetNames>
    <sheetDataSet>
      <sheetData sheetId="0"/>
      <sheetData sheetId="1"/>
      <sheetData sheetId="2">
        <row r="510">
          <cell r="M510">
            <v>0</v>
          </cell>
          <cell r="R510">
            <v>0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(МРАД)"/>
      <sheetName val="1.переченьПБДД"/>
      <sheetName val="2.переченьМРАД"/>
      <sheetName val="3.меропр."/>
      <sheetName val="4.индикаторы"/>
      <sheetName val="конечные результаты"/>
      <sheetName val="Лист1"/>
    </sheetNames>
    <sheetDataSet>
      <sheetData sheetId="0"/>
      <sheetData sheetId="1"/>
      <sheetData sheetId="2"/>
      <sheetData sheetId="3">
        <row r="44">
          <cell r="F44">
            <v>78904.999280000004</v>
          </cell>
          <cell r="G44">
            <v>700000.00072000001</v>
          </cell>
          <cell r="H44">
            <v>0</v>
          </cell>
          <cell r="I44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5"/>
  <sheetViews>
    <sheetView view="pageBreakPreview" zoomScale="80" zoomScaleSheetLayoutView="80" workbookViewId="0">
      <selection activeCell="F7" sqref="F7"/>
    </sheetView>
  </sheetViews>
  <sheetFormatPr defaultRowHeight="12.75" x14ac:dyDescent="0.2"/>
  <cols>
    <col min="1" max="1" width="4.85546875" customWidth="1"/>
    <col min="2" max="2" width="35.140625" customWidth="1"/>
    <col min="3" max="3" width="11.5703125" customWidth="1"/>
    <col min="4" max="4" width="8.85546875"/>
    <col min="5" max="6" width="10.85546875" customWidth="1"/>
    <col min="7" max="7" width="11.5703125" customWidth="1"/>
    <col min="8" max="8" width="11" customWidth="1"/>
    <col min="9" max="9" width="12.42578125" customWidth="1"/>
    <col min="10" max="10" width="18.5703125" customWidth="1"/>
  </cols>
  <sheetData>
    <row r="1" spans="1:11" ht="84" customHeight="1" x14ac:dyDescent="0.25">
      <c r="E1" s="423" t="s">
        <v>1827</v>
      </c>
      <c r="F1" s="423"/>
      <c r="G1" s="423"/>
      <c r="H1" s="423"/>
      <c r="I1" s="423"/>
      <c r="J1" s="4"/>
      <c r="K1" s="4"/>
    </row>
    <row r="2" spans="1:11" ht="40.15" customHeight="1" x14ac:dyDescent="0.2">
      <c r="A2" s="422" t="s">
        <v>687</v>
      </c>
      <c r="B2" s="422"/>
      <c r="C2" s="422"/>
      <c r="D2" s="422"/>
      <c r="E2" s="422"/>
      <c r="F2" s="422"/>
      <c r="G2" s="422"/>
      <c r="H2" s="422"/>
      <c r="I2" s="422"/>
    </row>
    <row r="3" spans="1:11" ht="31.5" customHeight="1" x14ac:dyDescent="0.2">
      <c r="A3" s="429" t="s">
        <v>123</v>
      </c>
      <c r="B3" s="429" t="s">
        <v>488</v>
      </c>
      <c r="C3" s="429" t="s">
        <v>489</v>
      </c>
      <c r="D3" s="429" t="s">
        <v>369</v>
      </c>
      <c r="E3" s="429" t="s">
        <v>490</v>
      </c>
      <c r="F3" s="429"/>
      <c r="G3" s="429"/>
      <c r="H3" s="429"/>
      <c r="I3" s="429"/>
    </row>
    <row r="4" spans="1:11" ht="27" customHeight="1" x14ac:dyDescent="0.2">
      <c r="A4" s="429"/>
      <c r="B4" s="429"/>
      <c r="C4" s="429"/>
      <c r="D4" s="429"/>
      <c r="E4" s="5" t="s">
        <v>1607</v>
      </c>
      <c r="F4" s="5" t="s">
        <v>1608</v>
      </c>
      <c r="G4" s="5" t="s">
        <v>1609</v>
      </c>
      <c r="H4" s="5" t="s">
        <v>1610</v>
      </c>
      <c r="I4" s="5" t="s">
        <v>1611</v>
      </c>
    </row>
    <row r="5" spans="1:11" ht="15" x14ac:dyDescent="0.2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</row>
    <row r="6" spans="1:11" ht="101.25" customHeight="1" x14ac:dyDescent="0.2">
      <c r="A6" s="7">
        <v>1</v>
      </c>
      <c r="B6" s="8" t="s">
        <v>507</v>
      </c>
      <c r="C6" s="9" t="s">
        <v>386</v>
      </c>
      <c r="D6" s="9">
        <v>2.5</v>
      </c>
      <c r="E6" s="9">
        <v>2.4500000000000002</v>
      </c>
      <c r="F6" s="10">
        <v>2.4</v>
      </c>
      <c r="G6" s="10">
        <v>2.35</v>
      </c>
      <c r="H6" s="10">
        <v>2.2999999999999998</v>
      </c>
      <c r="I6" s="9">
        <v>2.25</v>
      </c>
    </row>
    <row r="7" spans="1:11" ht="85.5" customHeight="1" x14ac:dyDescent="0.2">
      <c r="A7" s="7">
        <v>2</v>
      </c>
      <c r="B7" s="8" t="s">
        <v>508</v>
      </c>
      <c r="C7" s="9" t="s">
        <v>485</v>
      </c>
      <c r="D7" s="9">
        <v>789</v>
      </c>
      <c r="E7" s="9">
        <v>788</v>
      </c>
      <c r="F7" s="9">
        <v>785</v>
      </c>
      <c r="G7" s="9">
        <v>780</v>
      </c>
      <c r="H7" s="9">
        <v>775</v>
      </c>
      <c r="I7" s="9">
        <v>770</v>
      </c>
    </row>
    <row r="8" spans="1:11" ht="126.75" customHeight="1" x14ac:dyDescent="0.2">
      <c r="A8" s="7">
        <v>3</v>
      </c>
      <c r="B8" s="8" t="s">
        <v>960</v>
      </c>
      <c r="C8" s="9" t="s">
        <v>389</v>
      </c>
      <c r="D8" s="9">
        <v>711.9</v>
      </c>
      <c r="E8" s="11">
        <v>730.5</v>
      </c>
      <c r="F8" s="12">
        <v>755.75</v>
      </c>
      <c r="G8" s="12">
        <f>763.95-3.61+3.44</f>
        <v>763.78000000000009</v>
      </c>
      <c r="H8" s="12">
        <f>810.3-44.18</f>
        <v>766.12</v>
      </c>
      <c r="I8" s="9">
        <f>817.5-50.61</f>
        <v>766.89</v>
      </c>
    </row>
    <row r="9" spans="1:11" ht="139.5" customHeight="1" x14ac:dyDescent="0.2">
      <c r="A9" s="7">
        <v>4</v>
      </c>
      <c r="B9" s="13" t="s">
        <v>961</v>
      </c>
      <c r="C9" s="9" t="s">
        <v>386</v>
      </c>
      <c r="D9" s="9" t="s">
        <v>373</v>
      </c>
      <c r="E9" s="10">
        <v>0.35</v>
      </c>
      <c r="F9" s="12">
        <v>0.02</v>
      </c>
      <c r="G9" s="12">
        <f>0+0.19</f>
        <v>0.19</v>
      </c>
      <c r="H9" s="12">
        <f>0+0.48</f>
        <v>0.48</v>
      </c>
      <c r="I9" s="10" t="s">
        <v>373</v>
      </c>
    </row>
    <row r="10" spans="1:11" ht="156.75" customHeight="1" x14ac:dyDescent="0.2">
      <c r="A10" s="7">
        <v>5</v>
      </c>
      <c r="B10" s="13" t="s">
        <v>962</v>
      </c>
      <c r="C10" s="9" t="s">
        <v>386</v>
      </c>
      <c r="D10" s="9" t="s">
        <v>373</v>
      </c>
      <c r="E10" s="10">
        <v>0.1</v>
      </c>
      <c r="F10" s="12">
        <v>0.05</v>
      </c>
      <c r="G10" s="12">
        <f>100/868.09*1.96</f>
        <v>0.22578304092893592</v>
      </c>
      <c r="H10" s="9" t="s">
        <v>373</v>
      </c>
      <c r="I10" s="9" t="s">
        <v>373</v>
      </c>
    </row>
    <row r="11" spans="1:11" ht="155.25" customHeight="1" x14ac:dyDescent="0.2">
      <c r="A11" s="7">
        <v>6</v>
      </c>
      <c r="B11" s="8" t="s">
        <v>963</v>
      </c>
      <c r="C11" s="9" t="s">
        <v>386</v>
      </c>
      <c r="D11" s="9" t="s">
        <v>373</v>
      </c>
      <c r="E11" s="10">
        <v>0.05</v>
      </c>
      <c r="F11" s="12">
        <f>1.41-0.92</f>
        <v>0.48999999999999988</v>
      </c>
      <c r="G11" s="12" t="s">
        <v>373</v>
      </c>
      <c r="H11" s="10" t="s">
        <v>373</v>
      </c>
      <c r="I11" s="10" t="s">
        <v>373</v>
      </c>
    </row>
    <row r="12" spans="1:11" ht="195.75" customHeight="1" x14ac:dyDescent="0.2">
      <c r="A12" s="7">
        <v>7</v>
      </c>
      <c r="B12" s="8" t="s">
        <v>486</v>
      </c>
      <c r="C12" s="9" t="s">
        <v>386</v>
      </c>
      <c r="D12" s="9">
        <v>43.8</v>
      </c>
      <c r="E12" s="9">
        <v>3</v>
      </c>
      <c r="F12" s="14">
        <v>0.61</v>
      </c>
      <c r="G12" s="14">
        <f>2.34-0.17</f>
        <v>2.17</v>
      </c>
      <c r="H12" s="9">
        <f>2.16-0.29</f>
        <v>1.87</v>
      </c>
      <c r="I12" s="9" t="s">
        <v>373</v>
      </c>
    </row>
    <row r="13" spans="1:11" ht="52.15" customHeight="1" x14ac:dyDescent="0.2">
      <c r="A13" s="7">
        <v>8</v>
      </c>
      <c r="B13" s="8" t="s">
        <v>487</v>
      </c>
      <c r="C13" s="9" t="s">
        <v>386</v>
      </c>
      <c r="D13" s="9">
        <v>40</v>
      </c>
      <c r="E13" s="9">
        <v>45</v>
      </c>
      <c r="F13" s="9">
        <v>49</v>
      </c>
      <c r="G13" s="9">
        <v>50</v>
      </c>
      <c r="H13" s="9">
        <v>55</v>
      </c>
      <c r="I13" s="9">
        <v>60</v>
      </c>
    </row>
    <row r="14" spans="1:11" ht="48.75" customHeight="1" x14ac:dyDescent="0.2">
      <c r="A14" s="7">
        <v>9</v>
      </c>
      <c r="B14" s="15" t="s">
        <v>493</v>
      </c>
      <c r="C14" s="9" t="s">
        <v>386</v>
      </c>
      <c r="D14" s="9">
        <v>20.5</v>
      </c>
      <c r="E14" s="9">
        <v>38.700000000000003</v>
      </c>
      <c r="F14" s="9">
        <v>18.8</v>
      </c>
      <c r="G14" s="9">
        <v>24.2</v>
      </c>
      <c r="H14" s="9">
        <v>24.2</v>
      </c>
      <c r="I14" s="9">
        <v>24.2</v>
      </c>
    </row>
    <row r="15" spans="1:11" ht="51.75" customHeight="1" x14ac:dyDescent="0.2">
      <c r="A15" s="7">
        <v>10</v>
      </c>
      <c r="B15" s="15" t="s">
        <v>494</v>
      </c>
      <c r="C15" s="9" t="s">
        <v>386</v>
      </c>
      <c r="D15" s="9">
        <v>77.5</v>
      </c>
      <c r="E15" s="9">
        <v>50.6</v>
      </c>
      <c r="F15" s="9">
        <v>54.8</v>
      </c>
      <c r="G15" s="9">
        <v>54.8</v>
      </c>
      <c r="H15" s="9">
        <v>54.8</v>
      </c>
      <c r="I15" s="9">
        <v>54.8</v>
      </c>
    </row>
    <row r="16" spans="1:11" ht="50.25" customHeight="1" x14ac:dyDescent="0.2">
      <c r="A16" s="7">
        <v>11</v>
      </c>
      <c r="B16" s="15" t="s">
        <v>589</v>
      </c>
      <c r="C16" s="9" t="s">
        <v>386</v>
      </c>
      <c r="D16" s="9">
        <v>90.1</v>
      </c>
      <c r="E16" s="11">
        <v>94</v>
      </c>
      <c r="F16" s="11">
        <v>95.1</v>
      </c>
      <c r="G16" s="11">
        <v>95.4</v>
      </c>
      <c r="H16" s="11">
        <v>95.4</v>
      </c>
      <c r="I16" s="11">
        <v>95.4</v>
      </c>
    </row>
    <row r="17" spans="1:9" ht="51" customHeight="1" x14ac:dyDescent="0.2">
      <c r="A17" s="7">
        <v>12</v>
      </c>
      <c r="B17" s="15" t="s">
        <v>495</v>
      </c>
      <c r="C17" s="9" t="s">
        <v>386</v>
      </c>
      <c r="D17" s="9">
        <v>81.3</v>
      </c>
      <c r="E17" s="9">
        <v>82.3</v>
      </c>
      <c r="F17" s="11">
        <v>89</v>
      </c>
      <c r="G17" s="11">
        <v>89</v>
      </c>
      <c r="H17" s="11">
        <v>89</v>
      </c>
      <c r="I17" s="11">
        <v>89</v>
      </c>
    </row>
    <row r="18" spans="1:9" ht="13.5" x14ac:dyDescent="0.25">
      <c r="A18" s="427" t="s">
        <v>1035</v>
      </c>
      <c r="B18" s="428"/>
      <c r="C18" s="428"/>
      <c r="D18" s="428"/>
      <c r="E18" s="428"/>
      <c r="F18" s="428"/>
      <c r="G18" s="428"/>
      <c r="H18" s="428"/>
      <c r="I18" s="428"/>
    </row>
    <row r="19" spans="1:9" ht="34.5" customHeight="1" x14ac:dyDescent="0.2">
      <c r="A19" s="7">
        <v>13</v>
      </c>
      <c r="B19" s="13" t="s">
        <v>491</v>
      </c>
      <c r="C19" s="9" t="s">
        <v>492</v>
      </c>
      <c r="D19" s="11">
        <v>1115.1470999999999</v>
      </c>
      <c r="E19" s="9">
        <v>1115.5</v>
      </c>
      <c r="F19" s="11">
        <v>1115.75</v>
      </c>
      <c r="G19" s="11">
        <v>1116</v>
      </c>
      <c r="H19" s="11">
        <v>1116.25</v>
      </c>
      <c r="I19" s="9">
        <v>1116.5</v>
      </c>
    </row>
    <row r="20" spans="1:9" ht="29.25" customHeight="1" x14ac:dyDescent="0.25">
      <c r="A20" s="424" t="s">
        <v>1034</v>
      </c>
      <c r="B20" s="425"/>
      <c r="C20" s="425"/>
      <c r="D20" s="425"/>
      <c r="E20" s="425"/>
      <c r="F20" s="425"/>
      <c r="G20" s="425"/>
      <c r="H20" s="425"/>
      <c r="I20" s="426"/>
    </row>
    <row r="21" spans="1:9" ht="66.75" customHeight="1" x14ac:dyDescent="0.2">
      <c r="A21" s="7">
        <v>14</v>
      </c>
      <c r="B21" s="16" t="s">
        <v>498</v>
      </c>
      <c r="C21" s="9" t="s">
        <v>386</v>
      </c>
      <c r="D21" s="11" t="s">
        <v>373</v>
      </c>
      <c r="E21" s="11">
        <v>74.66</v>
      </c>
      <c r="F21" s="11">
        <f>80.1+0.6</f>
        <v>80.699999999999989</v>
      </c>
      <c r="G21" s="10">
        <v>84.14</v>
      </c>
      <c r="H21" s="11">
        <v>86</v>
      </c>
      <c r="I21" s="11">
        <v>87</v>
      </c>
    </row>
    <row r="22" spans="1:9" ht="77.25" customHeight="1" x14ac:dyDescent="0.2">
      <c r="A22" s="7">
        <v>15</v>
      </c>
      <c r="B22" s="13" t="s">
        <v>968</v>
      </c>
      <c r="C22" s="9" t="s">
        <v>386</v>
      </c>
      <c r="D22" s="9" t="s">
        <v>373</v>
      </c>
      <c r="E22" s="9">
        <v>10</v>
      </c>
      <c r="F22" s="9">
        <v>20</v>
      </c>
      <c r="G22" s="9">
        <v>30</v>
      </c>
      <c r="H22" s="9" t="s">
        <v>373</v>
      </c>
      <c r="I22" s="9" t="s">
        <v>373</v>
      </c>
    </row>
    <row r="23" spans="1:9" ht="51.75" customHeight="1" x14ac:dyDescent="0.2">
      <c r="A23" s="7">
        <v>16</v>
      </c>
      <c r="B23" s="13" t="s">
        <v>823</v>
      </c>
      <c r="C23" s="9" t="s">
        <v>386</v>
      </c>
      <c r="D23" s="9" t="s">
        <v>373</v>
      </c>
      <c r="E23" s="9">
        <v>62</v>
      </c>
      <c r="F23" s="9">
        <v>64</v>
      </c>
      <c r="G23" s="9">
        <v>66</v>
      </c>
      <c r="H23" s="9" t="s">
        <v>373</v>
      </c>
      <c r="I23" s="9" t="s">
        <v>373</v>
      </c>
    </row>
    <row r="24" spans="1:9" ht="30.75" customHeight="1" x14ac:dyDescent="0.2"/>
    <row r="25" spans="1:9" ht="27" customHeight="1" x14ac:dyDescent="0.2">
      <c r="D25" s="17"/>
      <c r="E25" s="17"/>
    </row>
  </sheetData>
  <mergeCells count="9">
    <mergeCell ref="A2:I2"/>
    <mergeCell ref="E1:I1"/>
    <mergeCell ref="A20:I20"/>
    <mergeCell ref="A18:I18"/>
    <mergeCell ref="A3:A4"/>
    <mergeCell ref="B3:B4"/>
    <mergeCell ref="C3:C4"/>
    <mergeCell ref="D3:D4"/>
    <mergeCell ref="E3:I3"/>
  </mergeCells>
  <pageMargins left="0.70866141732283472" right="0.11811023622047245" top="0.74803149606299213" bottom="0.74803149606299213" header="0.31496062992125984" footer="0.31496062992125984"/>
  <pageSetup paperSize="9" scale="82" fitToHeight="0" orientation="portrait" r:id="rId1"/>
  <rowBreaks count="2" manualBreakCount="2">
    <brk id="10" max="8" man="1"/>
    <brk id="2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546"/>
  <sheetViews>
    <sheetView view="pageBreakPreview" topLeftCell="A304" zoomScale="90" zoomScaleNormal="50" zoomScaleSheetLayoutView="90" workbookViewId="0">
      <selection activeCell="S29" sqref="S29:S37"/>
    </sheetView>
  </sheetViews>
  <sheetFormatPr defaultColWidth="9.140625" defaultRowHeight="42" customHeight="1" outlineLevelCol="2" x14ac:dyDescent="0.2"/>
  <cols>
    <col min="1" max="1" width="6.42578125" customWidth="1"/>
    <col min="2" max="2" width="110.7109375" style="150" customWidth="1"/>
    <col min="3" max="3" width="11.140625" style="18" customWidth="1"/>
    <col min="4" max="4" width="16.5703125" customWidth="1"/>
    <col min="5" max="5" width="10.42578125" hidden="1" customWidth="1" outlineLevel="1"/>
    <col min="6" max="6" width="11.7109375" hidden="1" customWidth="1" outlineLevel="1"/>
    <col min="7" max="7" width="13" hidden="1" customWidth="1" outlineLevel="1"/>
    <col min="8" max="8" width="10.85546875" style="18" customWidth="1" collapsed="1"/>
    <col min="9" max="9" width="15.42578125" customWidth="1"/>
    <col min="10" max="10" width="10.140625" hidden="1" customWidth="1" outlineLevel="2"/>
    <col min="11" max="11" width="12.42578125" hidden="1" customWidth="1" outlineLevel="2"/>
    <col min="12" max="12" width="0.140625" hidden="1" customWidth="1" outlineLevel="2"/>
    <col min="13" max="13" width="10.7109375" style="18" customWidth="1" collapsed="1"/>
    <col min="14" max="14" width="14.28515625" customWidth="1"/>
    <col min="15" max="15" width="10.28515625" hidden="1" customWidth="1" outlineLevel="1"/>
    <col min="16" max="16" width="12.5703125" hidden="1" customWidth="1" outlineLevel="1"/>
    <col min="17" max="17" width="2.140625" hidden="1" customWidth="1" outlineLevel="1"/>
    <col min="18" max="18" width="12.85546875" style="18" customWidth="1" collapsed="1"/>
    <col min="19" max="19" width="14.140625" customWidth="1"/>
    <col min="20" max="20" width="9.5703125" hidden="1" customWidth="1" outlineLevel="1"/>
    <col min="21" max="21" width="11.28515625" hidden="1" customWidth="1" outlineLevel="1"/>
    <col min="22" max="22" width="13" hidden="1" customWidth="1" outlineLevel="1"/>
    <col min="23" max="23" width="10.7109375" style="18" customWidth="1" collapsed="1"/>
    <col min="24" max="24" width="15.85546875" customWidth="1"/>
    <col min="25" max="25" width="10.42578125" hidden="1" customWidth="1" outlineLevel="1"/>
    <col min="26" max="26" width="11.42578125" hidden="1" customWidth="1" outlineLevel="1"/>
    <col min="27" max="27" width="14" hidden="1" customWidth="1" outlineLevel="1"/>
    <col min="28" max="28" width="11.5703125" style="33" customWidth="1" collapsed="1"/>
    <col min="29" max="29" width="14.5703125" bestFit="1" customWidth="1"/>
    <col min="30" max="30" width="11" bestFit="1" customWidth="1"/>
  </cols>
  <sheetData>
    <row r="1" spans="1:30" ht="80.25" customHeight="1" x14ac:dyDescent="0.25">
      <c r="S1" s="4"/>
      <c r="T1" s="4" t="s">
        <v>588</v>
      </c>
      <c r="U1" s="4" t="s">
        <v>588</v>
      </c>
      <c r="V1" s="4" t="s">
        <v>588</v>
      </c>
      <c r="W1" s="469" t="s">
        <v>1828</v>
      </c>
      <c r="X1" s="469"/>
      <c r="Y1" s="469"/>
      <c r="Z1" s="469"/>
      <c r="AA1" s="469"/>
      <c r="AB1" s="469"/>
    </row>
    <row r="2" spans="1:30" s="21" customFormat="1" ht="118.5" customHeight="1" x14ac:dyDescent="0.25">
      <c r="A2" s="19"/>
      <c r="B2" s="19"/>
      <c r="C2" s="20"/>
      <c r="H2" s="22"/>
      <c r="I2" s="23"/>
      <c r="J2" s="23"/>
      <c r="K2" s="23"/>
      <c r="L2" s="23"/>
      <c r="M2"/>
      <c r="N2"/>
      <c r="O2" s="24"/>
      <c r="P2"/>
      <c r="Q2"/>
      <c r="R2"/>
      <c r="S2" s="25"/>
      <c r="T2" s="25" t="s">
        <v>414</v>
      </c>
      <c r="U2" s="25" t="s">
        <v>414</v>
      </c>
      <c r="V2" s="25" t="s">
        <v>414</v>
      </c>
      <c r="W2" s="470" t="s">
        <v>973</v>
      </c>
      <c r="X2" s="470"/>
      <c r="Y2" s="470"/>
      <c r="Z2" s="470"/>
      <c r="AA2" s="470"/>
      <c r="AB2" s="470"/>
    </row>
    <row r="3" spans="1:30" ht="30.6" customHeight="1" x14ac:dyDescent="0.35">
      <c r="A3" s="26"/>
      <c r="B3" s="471" t="s">
        <v>574</v>
      </c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</row>
    <row r="4" spans="1:30" ht="27.6" customHeight="1" x14ac:dyDescent="0.2">
      <c r="A4" s="462" t="s">
        <v>123</v>
      </c>
      <c r="B4" s="463" t="s">
        <v>365</v>
      </c>
      <c r="C4" s="465" t="s">
        <v>364</v>
      </c>
      <c r="D4" s="465"/>
      <c r="E4" s="465"/>
      <c r="F4" s="465"/>
      <c r="G4" s="465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73" t="s">
        <v>119</v>
      </c>
    </row>
    <row r="5" spans="1:30" ht="27.6" customHeight="1" x14ac:dyDescent="0.2">
      <c r="A5" s="462"/>
      <c r="B5" s="464"/>
      <c r="C5" s="458" t="s">
        <v>118</v>
      </c>
      <c r="D5" s="458"/>
      <c r="E5" s="458"/>
      <c r="F5" s="458"/>
      <c r="G5" s="458"/>
      <c r="H5" s="458" t="s">
        <v>117</v>
      </c>
      <c r="I5" s="458"/>
      <c r="J5" s="458"/>
      <c r="K5" s="458"/>
      <c r="L5" s="458"/>
      <c r="M5" s="458" t="s">
        <v>116</v>
      </c>
      <c r="N5" s="458"/>
      <c r="O5" s="458"/>
      <c r="P5" s="458"/>
      <c r="Q5" s="458"/>
      <c r="R5" s="458" t="s">
        <v>115</v>
      </c>
      <c r="S5" s="458"/>
      <c r="T5" s="458"/>
      <c r="U5" s="458"/>
      <c r="V5" s="458"/>
      <c r="W5" s="458" t="s">
        <v>114</v>
      </c>
      <c r="X5" s="458"/>
      <c r="Y5" s="458"/>
      <c r="Z5" s="458"/>
      <c r="AA5" s="458"/>
      <c r="AB5" s="473"/>
    </row>
    <row r="6" spans="1:30" ht="24.6" customHeight="1" x14ac:dyDescent="0.2">
      <c r="A6" s="462"/>
      <c r="B6" s="464"/>
      <c r="C6" s="27" t="s">
        <v>113</v>
      </c>
      <c r="D6" s="7" t="s">
        <v>362</v>
      </c>
      <c r="E6" s="7" t="s">
        <v>111</v>
      </c>
      <c r="F6" s="7" t="s">
        <v>110</v>
      </c>
      <c r="G6" s="7" t="s">
        <v>109</v>
      </c>
      <c r="H6" s="27" t="s">
        <v>113</v>
      </c>
      <c r="I6" s="7" t="s">
        <v>362</v>
      </c>
      <c r="J6" s="7" t="s">
        <v>111</v>
      </c>
      <c r="K6" s="7" t="s">
        <v>110</v>
      </c>
      <c r="L6" s="7" t="s">
        <v>109</v>
      </c>
      <c r="M6" s="27" t="s">
        <v>113</v>
      </c>
      <c r="N6" s="7" t="s">
        <v>362</v>
      </c>
      <c r="O6" s="7" t="s">
        <v>111</v>
      </c>
      <c r="P6" s="7" t="s">
        <v>110</v>
      </c>
      <c r="Q6" s="7" t="s">
        <v>109</v>
      </c>
      <c r="R6" s="27" t="s">
        <v>113</v>
      </c>
      <c r="S6" s="7" t="s">
        <v>362</v>
      </c>
      <c r="T6" s="7" t="s">
        <v>111</v>
      </c>
      <c r="U6" s="7" t="s">
        <v>110</v>
      </c>
      <c r="V6" s="7" t="s">
        <v>109</v>
      </c>
      <c r="W6" s="27" t="s">
        <v>113</v>
      </c>
      <c r="X6" s="7" t="s">
        <v>362</v>
      </c>
      <c r="Y6" s="7" t="s">
        <v>111</v>
      </c>
      <c r="Z6" s="7" t="s">
        <v>110</v>
      </c>
      <c r="AA6" s="7" t="s">
        <v>109</v>
      </c>
      <c r="AB6" s="473"/>
    </row>
    <row r="7" spans="1:30" s="29" customFormat="1" ht="21.6" customHeight="1" x14ac:dyDescent="0.2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5</v>
      </c>
      <c r="I7" s="28">
        <v>6</v>
      </c>
      <c r="J7" s="28">
        <v>10</v>
      </c>
      <c r="K7" s="28">
        <v>11</v>
      </c>
      <c r="L7" s="28">
        <v>12</v>
      </c>
      <c r="M7" s="28">
        <v>7</v>
      </c>
      <c r="N7" s="28">
        <v>8</v>
      </c>
      <c r="O7" s="28">
        <v>15</v>
      </c>
      <c r="P7" s="28">
        <v>16</v>
      </c>
      <c r="Q7" s="28">
        <v>17</v>
      </c>
      <c r="R7" s="28">
        <v>9</v>
      </c>
      <c r="S7" s="28">
        <v>10</v>
      </c>
      <c r="T7" s="28">
        <v>20</v>
      </c>
      <c r="U7" s="28">
        <v>21</v>
      </c>
      <c r="V7" s="28">
        <v>22</v>
      </c>
      <c r="W7" s="28">
        <v>11</v>
      </c>
      <c r="X7" s="28">
        <v>12</v>
      </c>
      <c r="Y7" s="28">
        <v>25</v>
      </c>
      <c r="Z7" s="28">
        <v>26</v>
      </c>
      <c r="AA7" s="28">
        <v>27</v>
      </c>
      <c r="AB7" s="28">
        <v>13</v>
      </c>
    </row>
    <row r="8" spans="1:30" s="29" customFormat="1" ht="21.6" customHeight="1" x14ac:dyDescent="0.2">
      <c r="A8" s="459" t="s">
        <v>107</v>
      </c>
      <c r="B8" s="46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1"/>
      <c r="AC8" s="151"/>
      <c r="AD8" s="151"/>
    </row>
    <row r="9" spans="1:30" s="29" customFormat="1" ht="21.6" customHeight="1" x14ac:dyDescent="0.2">
      <c r="A9" s="30" t="s">
        <v>1</v>
      </c>
      <c r="B9" s="467" t="s">
        <v>1054</v>
      </c>
      <c r="C9" s="468"/>
      <c r="D9" s="468"/>
      <c r="E9" s="468"/>
      <c r="F9" s="468"/>
      <c r="G9" s="468"/>
      <c r="H9" s="468"/>
      <c r="I9" s="468"/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68"/>
      <c r="X9" s="468"/>
      <c r="Y9" s="468"/>
      <c r="Z9" s="468"/>
      <c r="AA9" s="468"/>
      <c r="AB9" s="468"/>
      <c r="AC9" s="152"/>
      <c r="AD9" s="153"/>
    </row>
    <row r="10" spans="1:30" s="31" customFormat="1" ht="13.9" customHeight="1" x14ac:dyDescent="0.2">
      <c r="A10" s="429" t="s">
        <v>8</v>
      </c>
      <c r="B10" s="154" t="s">
        <v>842</v>
      </c>
      <c r="C10" s="430">
        <f>D10+E10+F10+G10</f>
        <v>67429</v>
      </c>
      <c r="D10" s="433">
        <v>67429</v>
      </c>
      <c r="E10" s="156">
        <v>0</v>
      </c>
      <c r="F10" s="156">
        <v>0</v>
      </c>
      <c r="G10" s="156">
        <v>0</v>
      </c>
      <c r="H10" s="430">
        <f>I10+J10+K10+L10</f>
        <v>19781</v>
      </c>
      <c r="I10" s="433">
        <f>6885+12896</f>
        <v>19781</v>
      </c>
      <c r="J10" s="156">
        <v>0</v>
      </c>
      <c r="K10" s="156">
        <v>0</v>
      </c>
      <c r="L10" s="156">
        <v>0</v>
      </c>
      <c r="M10" s="439">
        <f>N10</f>
        <v>331</v>
      </c>
      <c r="N10" s="442">
        <f>30758-12896-17501-30</f>
        <v>331</v>
      </c>
      <c r="O10" s="156">
        <v>0</v>
      </c>
      <c r="P10" s="156">
        <v>0</v>
      </c>
      <c r="Q10" s="156">
        <v>0</v>
      </c>
      <c r="R10" s="430">
        <f>S10</f>
        <v>8359</v>
      </c>
      <c r="S10" s="433">
        <f t="shared" ref="S10:S25" si="0">30758-22399</f>
        <v>8359</v>
      </c>
      <c r="T10" s="156">
        <v>0</v>
      </c>
      <c r="U10" s="156">
        <v>0</v>
      </c>
      <c r="V10" s="156">
        <v>0</v>
      </c>
      <c r="W10" s="430">
        <f>X10</f>
        <v>34182</v>
      </c>
      <c r="X10" s="433">
        <v>34182</v>
      </c>
      <c r="Y10" s="156">
        <v>0</v>
      </c>
      <c r="Z10" s="156">
        <v>0</v>
      </c>
      <c r="AA10" s="156">
        <v>0</v>
      </c>
      <c r="AB10" s="430">
        <f>C10+H10+M10+R10+W10</f>
        <v>130082</v>
      </c>
    </row>
    <row r="11" spans="1:30" s="31" customFormat="1" ht="15.75" customHeight="1" x14ac:dyDescent="0.2">
      <c r="A11" s="429"/>
      <c r="B11" s="157" t="s">
        <v>424</v>
      </c>
      <c r="C11" s="431"/>
      <c r="D11" s="434"/>
      <c r="E11" s="156"/>
      <c r="F11" s="156"/>
      <c r="G11" s="156"/>
      <c r="H11" s="431"/>
      <c r="I11" s="434"/>
      <c r="J11" s="156"/>
      <c r="K11" s="156"/>
      <c r="L11" s="156"/>
      <c r="M11" s="440"/>
      <c r="N11" s="443"/>
      <c r="O11" s="156"/>
      <c r="P11" s="156"/>
      <c r="Q11" s="156"/>
      <c r="R11" s="431"/>
      <c r="S11" s="434">
        <f t="shared" si="0"/>
        <v>8359</v>
      </c>
      <c r="T11" s="156"/>
      <c r="U11" s="156"/>
      <c r="V11" s="156"/>
      <c r="W11" s="431"/>
      <c r="X11" s="434">
        <v>34182</v>
      </c>
      <c r="Y11" s="156"/>
      <c r="Z11" s="156"/>
      <c r="AA11" s="156"/>
      <c r="AB11" s="431"/>
    </row>
    <row r="12" spans="1:30" s="31" customFormat="1" ht="13.9" customHeight="1" x14ac:dyDescent="0.2">
      <c r="A12" s="429"/>
      <c r="B12" s="159" t="s">
        <v>426</v>
      </c>
      <c r="C12" s="431"/>
      <c r="D12" s="434"/>
      <c r="E12" s="156"/>
      <c r="F12" s="156"/>
      <c r="G12" s="156"/>
      <c r="H12" s="431"/>
      <c r="I12" s="434"/>
      <c r="J12" s="156"/>
      <c r="K12" s="156"/>
      <c r="L12" s="156"/>
      <c r="M12" s="440"/>
      <c r="N12" s="443"/>
      <c r="O12" s="156"/>
      <c r="P12" s="156"/>
      <c r="Q12" s="156"/>
      <c r="R12" s="431"/>
      <c r="S12" s="434">
        <f t="shared" si="0"/>
        <v>8359</v>
      </c>
      <c r="T12" s="156"/>
      <c r="U12" s="156"/>
      <c r="V12" s="156"/>
      <c r="W12" s="431"/>
      <c r="X12" s="434">
        <v>34182</v>
      </c>
      <c r="Y12" s="156"/>
      <c r="Z12" s="156"/>
      <c r="AA12" s="156"/>
      <c r="AB12" s="431"/>
    </row>
    <row r="13" spans="1:30" s="31" customFormat="1" ht="13.9" customHeight="1" x14ac:dyDescent="0.2">
      <c r="A13" s="429"/>
      <c r="B13" s="159" t="s">
        <v>427</v>
      </c>
      <c r="C13" s="431"/>
      <c r="D13" s="434"/>
      <c r="E13" s="156"/>
      <c r="F13" s="156"/>
      <c r="G13" s="156"/>
      <c r="H13" s="431"/>
      <c r="I13" s="434"/>
      <c r="J13" s="156"/>
      <c r="K13" s="156"/>
      <c r="L13" s="156"/>
      <c r="M13" s="440"/>
      <c r="N13" s="443"/>
      <c r="O13" s="156"/>
      <c r="P13" s="156"/>
      <c r="Q13" s="156"/>
      <c r="R13" s="431"/>
      <c r="S13" s="434">
        <f t="shared" si="0"/>
        <v>8359</v>
      </c>
      <c r="T13" s="156"/>
      <c r="U13" s="156"/>
      <c r="V13" s="156"/>
      <c r="W13" s="431"/>
      <c r="X13" s="434">
        <v>34182</v>
      </c>
      <c r="Y13" s="156"/>
      <c r="Z13" s="156"/>
      <c r="AA13" s="156"/>
      <c r="AB13" s="431"/>
    </row>
    <row r="14" spans="1:30" s="31" customFormat="1" ht="13.9" customHeight="1" x14ac:dyDescent="0.2">
      <c r="A14" s="429"/>
      <c r="B14" s="159" t="s">
        <v>428</v>
      </c>
      <c r="C14" s="431"/>
      <c r="D14" s="434"/>
      <c r="E14" s="156"/>
      <c r="F14" s="156"/>
      <c r="G14" s="156"/>
      <c r="H14" s="431"/>
      <c r="I14" s="434"/>
      <c r="J14" s="156"/>
      <c r="K14" s="156"/>
      <c r="L14" s="156"/>
      <c r="M14" s="440"/>
      <c r="N14" s="443"/>
      <c r="O14" s="156"/>
      <c r="P14" s="156"/>
      <c r="Q14" s="156"/>
      <c r="R14" s="431"/>
      <c r="S14" s="434">
        <f t="shared" si="0"/>
        <v>8359</v>
      </c>
      <c r="T14" s="156"/>
      <c r="U14" s="156"/>
      <c r="V14" s="156"/>
      <c r="W14" s="431"/>
      <c r="X14" s="434">
        <v>34182</v>
      </c>
      <c r="Y14" s="156"/>
      <c r="Z14" s="156"/>
      <c r="AA14" s="156"/>
      <c r="AB14" s="431"/>
    </row>
    <row r="15" spans="1:30" s="31" customFormat="1" ht="13.9" customHeight="1" x14ac:dyDescent="0.2">
      <c r="A15" s="429"/>
      <c r="B15" s="159" t="s">
        <v>429</v>
      </c>
      <c r="C15" s="431"/>
      <c r="D15" s="434"/>
      <c r="E15" s="156"/>
      <c r="F15" s="156"/>
      <c r="G15" s="156"/>
      <c r="H15" s="431"/>
      <c r="I15" s="434"/>
      <c r="J15" s="156"/>
      <c r="K15" s="156"/>
      <c r="L15" s="156"/>
      <c r="M15" s="440"/>
      <c r="N15" s="443"/>
      <c r="O15" s="156"/>
      <c r="P15" s="156"/>
      <c r="Q15" s="156"/>
      <c r="R15" s="431"/>
      <c r="S15" s="434">
        <f t="shared" si="0"/>
        <v>8359</v>
      </c>
      <c r="T15" s="156"/>
      <c r="U15" s="156"/>
      <c r="V15" s="156"/>
      <c r="W15" s="431"/>
      <c r="X15" s="434">
        <v>34182</v>
      </c>
      <c r="Y15" s="156"/>
      <c r="Z15" s="156"/>
      <c r="AA15" s="156"/>
      <c r="AB15" s="431"/>
    </row>
    <row r="16" spans="1:30" s="31" customFormat="1" ht="13.9" customHeight="1" x14ac:dyDescent="0.2">
      <c r="A16" s="429"/>
      <c r="B16" s="159" t="s">
        <v>430</v>
      </c>
      <c r="C16" s="431"/>
      <c r="D16" s="434"/>
      <c r="E16" s="156"/>
      <c r="F16" s="156"/>
      <c r="G16" s="156"/>
      <c r="H16" s="431"/>
      <c r="I16" s="434"/>
      <c r="J16" s="156"/>
      <c r="K16" s="156"/>
      <c r="L16" s="156"/>
      <c r="M16" s="440"/>
      <c r="N16" s="443"/>
      <c r="O16" s="156"/>
      <c r="P16" s="156"/>
      <c r="Q16" s="156"/>
      <c r="R16" s="431"/>
      <c r="S16" s="434">
        <f t="shared" si="0"/>
        <v>8359</v>
      </c>
      <c r="T16" s="156"/>
      <c r="U16" s="156"/>
      <c r="V16" s="156"/>
      <c r="W16" s="431"/>
      <c r="X16" s="434">
        <v>34182</v>
      </c>
      <c r="Y16" s="156"/>
      <c r="Z16" s="156"/>
      <c r="AA16" s="156"/>
      <c r="AB16" s="431"/>
    </row>
    <row r="17" spans="1:28" s="31" customFormat="1" ht="13.9" customHeight="1" x14ac:dyDescent="0.2">
      <c r="A17" s="429"/>
      <c r="B17" s="159" t="s">
        <v>562</v>
      </c>
      <c r="C17" s="431"/>
      <c r="D17" s="434"/>
      <c r="E17" s="156"/>
      <c r="F17" s="156"/>
      <c r="G17" s="156"/>
      <c r="H17" s="431"/>
      <c r="I17" s="434"/>
      <c r="J17" s="156"/>
      <c r="K17" s="156"/>
      <c r="L17" s="156"/>
      <c r="M17" s="440"/>
      <c r="N17" s="443"/>
      <c r="O17" s="156"/>
      <c r="P17" s="156"/>
      <c r="Q17" s="156"/>
      <c r="R17" s="431"/>
      <c r="S17" s="434">
        <f t="shared" si="0"/>
        <v>8359</v>
      </c>
      <c r="T17" s="156"/>
      <c r="U17" s="156"/>
      <c r="V17" s="156"/>
      <c r="W17" s="431"/>
      <c r="X17" s="434">
        <v>34182</v>
      </c>
      <c r="Y17" s="156"/>
      <c r="Z17" s="156"/>
      <c r="AA17" s="156"/>
      <c r="AB17" s="431"/>
    </row>
    <row r="18" spans="1:28" s="31" customFormat="1" ht="15.75" customHeight="1" x14ac:dyDescent="0.2">
      <c r="A18" s="429"/>
      <c r="B18" s="157" t="s">
        <v>425</v>
      </c>
      <c r="C18" s="431"/>
      <c r="D18" s="434"/>
      <c r="E18" s="156"/>
      <c r="F18" s="156"/>
      <c r="G18" s="156"/>
      <c r="H18" s="431"/>
      <c r="I18" s="434"/>
      <c r="J18" s="156"/>
      <c r="K18" s="156"/>
      <c r="L18" s="156"/>
      <c r="M18" s="440"/>
      <c r="N18" s="443"/>
      <c r="O18" s="156"/>
      <c r="P18" s="156"/>
      <c r="Q18" s="156"/>
      <c r="R18" s="431"/>
      <c r="S18" s="434">
        <f t="shared" si="0"/>
        <v>8359</v>
      </c>
      <c r="T18" s="156"/>
      <c r="U18" s="156"/>
      <c r="V18" s="156"/>
      <c r="W18" s="431"/>
      <c r="X18" s="434">
        <v>34182</v>
      </c>
      <c r="Y18" s="156"/>
      <c r="Z18" s="156"/>
      <c r="AA18" s="156"/>
      <c r="AB18" s="431"/>
    </row>
    <row r="19" spans="1:28" s="31" customFormat="1" ht="17.25" customHeight="1" x14ac:dyDescent="0.2">
      <c r="A19" s="429"/>
      <c r="B19" s="160" t="s">
        <v>862</v>
      </c>
      <c r="C19" s="431"/>
      <c r="D19" s="434"/>
      <c r="E19" s="156"/>
      <c r="F19" s="156"/>
      <c r="G19" s="156"/>
      <c r="H19" s="431"/>
      <c r="I19" s="434"/>
      <c r="J19" s="156"/>
      <c r="K19" s="156"/>
      <c r="L19" s="156"/>
      <c r="M19" s="440"/>
      <c r="N19" s="443"/>
      <c r="O19" s="156"/>
      <c r="P19" s="156"/>
      <c r="Q19" s="156"/>
      <c r="R19" s="431"/>
      <c r="S19" s="434">
        <f t="shared" si="0"/>
        <v>8359</v>
      </c>
      <c r="T19" s="156"/>
      <c r="U19" s="156"/>
      <c r="V19" s="156"/>
      <c r="W19" s="431"/>
      <c r="X19" s="434">
        <v>34182</v>
      </c>
      <c r="Y19" s="156"/>
      <c r="Z19" s="156"/>
      <c r="AA19" s="156"/>
      <c r="AB19" s="431"/>
    </row>
    <row r="20" spans="1:28" s="31" customFormat="1" ht="15.75" customHeight="1" x14ac:dyDescent="0.2">
      <c r="A20" s="429"/>
      <c r="B20" s="161" t="s">
        <v>776</v>
      </c>
      <c r="C20" s="431"/>
      <c r="D20" s="434"/>
      <c r="E20" s="156"/>
      <c r="F20" s="156"/>
      <c r="G20" s="156"/>
      <c r="H20" s="431"/>
      <c r="I20" s="434"/>
      <c r="J20" s="156"/>
      <c r="K20" s="156"/>
      <c r="L20" s="156"/>
      <c r="M20" s="440"/>
      <c r="N20" s="443"/>
      <c r="O20" s="156"/>
      <c r="P20" s="156"/>
      <c r="Q20" s="156"/>
      <c r="R20" s="431"/>
      <c r="S20" s="434">
        <f t="shared" si="0"/>
        <v>8359</v>
      </c>
      <c r="T20" s="156"/>
      <c r="U20" s="156"/>
      <c r="V20" s="156"/>
      <c r="W20" s="431"/>
      <c r="X20" s="434">
        <v>34182</v>
      </c>
      <c r="Y20" s="156"/>
      <c r="Z20" s="156"/>
      <c r="AA20" s="156"/>
      <c r="AB20" s="431"/>
    </row>
    <row r="21" spans="1:28" s="31" customFormat="1" ht="15.75" customHeight="1" x14ac:dyDescent="0.2">
      <c r="A21" s="429"/>
      <c r="B21" s="159" t="s">
        <v>945</v>
      </c>
      <c r="C21" s="431"/>
      <c r="D21" s="434"/>
      <c r="E21" s="155"/>
      <c r="F21" s="155"/>
      <c r="G21" s="155"/>
      <c r="H21" s="431"/>
      <c r="I21" s="434"/>
      <c r="J21" s="155"/>
      <c r="K21" s="155"/>
      <c r="L21" s="155"/>
      <c r="M21" s="440"/>
      <c r="N21" s="443"/>
      <c r="O21" s="155"/>
      <c r="P21" s="155"/>
      <c r="Q21" s="155"/>
      <c r="R21" s="431"/>
      <c r="S21" s="434">
        <f t="shared" si="0"/>
        <v>8359</v>
      </c>
      <c r="T21" s="155"/>
      <c r="U21" s="155"/>
      <c r="V21" s="155"/>
      <c r="W21" s="431"/>
      <c r="X21" s="434">
        <v>34182</v>
      </c>
      <c r="Y21" s="155"/>
      <c r="Z21" s="155"/>
      <c r="AA21" s="155"/>
      <c r="AB21" s="431"/>
    </row>
    <row r="22" spans="1:28" s="31" customFormat="1" ht="15.75" customHeight="1" x14ac:dyDescent="0.2">
      <c r="A22" s="429"/>
      <c r="B22" s="161" t="s">
        <v>863</v>
      </c>
      <c r="C22" s="431"/>
      <c r="D22" s="434"/>
      <c r="E22" s="155"/>
      <c r="F22" s="155"/>
      <c r="G22" s="155"/>
      <c r="H22" s="431"/>
      <c r="I22" s="434"/>
      <c r="J22" s="155"/>
      <c r="K22" s="155"/>
      <c r="L22" s="155"/>
      <c r="M22" s="440"/>
      <c r="N22" s="443"/>
      <c r="O22" s="155"/>
      <c r="P22" s="155"/>
      <c r="Q22" s="155"/>
      <c r="R22" s="431"/>
      <c r="S22" s="434">
        <f t="shared" si="0"/>
        <v>8359</v>
      </c>
      <c r="T22" s="155"/>
      <c r="U22" s="155"/>
      <c r="V22" s="155"/>
      <c r="W22" s="431"/>
      <c r="X22" s="434">
        <v>34182</v>
      </c>
      <c r="Y22" s="155"/>
      <c r="Z22" s="155"/>
      <c r="AA22" s="155"/>
      <c r="AB22" s="431"/>
    </row>
    <row r="23" spans="1:28" s="31" customFormat="1" ht="15.75" customHeight="1" x14ac:dyDescent="0.2">
      <c r="A23" s="429"/>
      <c r="B23" s="159" t="s">
        <v>860</v>
      </c>
      <c r="C23" s="431"/>
      <c r="D23" s="434"/>
      <c r="E23" s="155"/>
      <c r="F23" s="155"/>
      <c r="G23" s="155"/>
      <c r="H23" s="431"/>
      <c r="I23" s="434"/>
      <c r="J23" s="155"/>
      <c r="K23" s="155"/>
      <c r="L23" s="155"/>
      <c r="M23" s="440"/>
      <c r="N23" s="443"/>
      <c r="O23" s="155"/>
      <c r="P23" s="155"/>
      <c r="Q23" s="155"/>
      <c r="R23" s="431"/>
      <c r="S23" s="434"/>
      <c r="T23" s="155"/>
      <c r="U23" s="155"/>
      <c r="V23" s="155"/>
      <c r="W23" s="431"/>
      <c r="X23" s="434"/>
      <c r="Y23" s="155"/>
      <c r="Z23" s="155"/>
      <c r="AA23" s="155"/>
      <c r="AB23" s="431"/>
    </row>
    <row r="24" spans="1:28" s="31" customFormat="1" ht="15.75" customHeight="1" x14ac:dyDescent="0.2">
      <c r="A24" s="429"/>
      <c r="B24" s="161" t="s">
        <v>996</v>
      </c>
      <c r="C24" s="431"/>
      <c r="D24" s="434"/>
      <c r="E24" s="155"/>
      <c r="F24" s="155"/>
      <c r="G24" s="155"/>
      <c r="H24" s="431"/>
      <c r="I24" s="434"/>
      <c r="J24" s="155"/>
      <c r="K24" s="155"/>
      <c r="L24" s="155"/>
      <c r="M24" s="440"/>
      <c r="N24" s="443"/>
      <c r="O24" s="155"/>
      <c r="P24" s="155"/>
      <c r="Q24" s="155"/>
      <c r="R24" s="431"/>
      <c r="S24" s="434"/>
      <c r="T24" s="155"/>
      <c r="U24" s="155"/>
      <c r="V24" s="155"/>
      <c r="W24" s="431"/>
      <c r="X24" s="434"/>
      <c r="Y24" s="155"/>
      <c r="Z24" s="155"/>
      <c r="AA24" s="155"/>
      <c r="AB24" s="431"/>
    </row>
    <row r="25" spans="1:28" s="31" customFormat="1" ht="15.75" customHeight="1" x14ac:dyDescent="0.2">
      <c r="A25" s="429"/>
      <c r="B25" s="160" t="s">
        <v>861</v>
      </c>
      <c r="C25" s="431"/>
      <c r="D25" s="434"/>
      <c r="E25" s="155"/>
      <c r="F25" s="155"/>
      <c r="G25" s="155"/>
      <c r="H25" s="431"/>
      <c r="I25" s="434"/>
      <c r="J25" s="155"/>
      <c r="K25" s="155"/>
      <c r="L25" s="155"/>
      <c r="M25" s="440"/>
      <c r="N25" s="444"/>
      <c r="O25" s="155"/>
      <c r="P25" s="155"/>
      <c r="Q25" s="155"/>
      <c r="R25" s="431"/>
      <c r="S25" s="434">
        <f t="shared" si="0"/>
        <v>8359</v>
      </c>
      <c r="T25" s="155"/>
      <c r="U25" s="155"/>
      <c r="V25" s="155"/>
      <c r="W25" s="431"/>
      <c r="X25" s="434">
        <v>34182</v>
      </c>
      <c r="Y25" s="155"/>
      <c r="Z25" s="155"/>
      <c r="AA25" s="155"/>
      <c r="AB25" s="431"/>
    </row>
    <row r="26" spans="1:28" s="31" customFormat="1" ht="21" customHeight="1" x14ac:dyDescent="0.2">
      <c r="A26" s="429" t="s">
        <v>25</v>
      </c>
      <c r="B26" s="154" t="s">
        <v>838</v>
      </c>
      <c r="C26" s="430">
        <f>D26+E26+F26+G26</f>
        <v>1235</v>
      </c>
      <c r="D26" s="433">
        <v>1235</v>
      </c>
      <c r="E26" s="156">
        <v>0</v>
      </c>
      <c r="F26" s="156">
        <v>0</v>
      </c>
      <c r="G26" s="156">
        <v>0</v>
      </c>
      <c r="H26" s="430">
        <f>I26+J26+K26+L26</f>
        <v>741</v>
      </c>
      <c r="I26" s="433">
        <v>741</v>
      </c>
      <c r="J26" s="156">
        <v>0</v>
      </c>
      <c r="K26" s="156">
        <v>0</v>
      </c>
      <c r="L26" s="156">
        <v>0</v>
      </c>
      <c r="M26" s="430">
        <f>N26+O26+P26+Q26</f>
        <v>0</v>
      </c>
      <c r="N26" s="433">
        <v>0</v>
      </c>
      <c r="O26" s="156">
        <v>0</v>
      </c>
      <c r="P26" s="156">
        <v>0</v>
      </c>
      <c r="Q26" s="156">
        <v>0</v>
      </c>
      <c r="R26" s="430">
        <f>S26+T26+U26+V26</f>
        <v>0</v>
      </c>
      <c r="S26" s="433">
        <v>0</v>
      </c>
      <c r="T26" s="156">
        <v>0</v>
      </c>
      <c r="U26" s="156">
        <v>0</v>
      </c>
      <c r="V26" s="156">
        <v>0</v>
      </c>
      <c r="W26" s="430">
        <f>X26+Y26+Z26+AA26</f>
        <v>0</v>
      </c>
      <c r="X26" s="433">
        <v>0</v>
      </c>
      <c r="Y26" s="156">
        <v>0</v>
      </c>
      <c r="Z26" s="156">
        <v>0</v>
      </c>
      <c r="AA26" s="156">
        <v>0</v>
      </c>
      <c r="AB26" s="430">
        <f>C26+H26+M26+R26+W26</f>
        <v>1976</v>
      </c>
    </row>
    <row r="27" spans="1:28" s="31" customFormat="1" ht="14.25" customHeight="1" x14ac:dyDescent="0.2">
      <c r="A27" s="429"/>
      <c r="B27" s="157" t="s">
        <v>972</v>
      </c>
      <c r="C27" s="431"/>
      <c r="D27" s="434"/>
      <c r="E27" s="156"/>
      <c r="F27" s="156"/>
      <c r="G27" s="156"/>
      <c r="H27" s="431"/>
      <c r="I27" s="434"/>
      <c r="J27" s="156"/>
      <c r="K27" s="156"/>
      <c r="L27" s="156"/>
      <c r="M27" s="431"/>
      <c r="N27" s="434"/>
      <c r="O27" s="156"/>
      <c r="P27" s="156"/>
      <c r="Q27" s="156"/>
      <c r="R27" s="431"/>
      <c r="S27" s="434"/>
      <c r="T27" s="156"/>
      <c r="U27" s="156"/>
      <c r="V27" s="156"/>
      <c r="W27" s="431"/>
      <c r="X27" s="434"/>
      <c r="Y27" s="156"/>
      <c r="Z27" s="156"/>
      <c r="AA27" s="156"/>
      <c r="AB27" s="431"/>
    </row>
    <row r="28" spans="1:28" s="31" customFormat="1" ht="12.75" customHeight="1" x14ac:dyDescent="0.2">
      <c r="A28" s="429"/>
      <c r="B28" s="159" t="s">
        <v>839</v>
      </c>
      <c r="C28" s="432"/>
      <c r="D28" s="435"/>
      <c r="E28" s="156"/>
      <c r="F28" s="156"/>
      <c r="G28" s="156"/>
      <c r="H28" s="432"/>
      <c r="I28" s="435"/>
      <c r="J28" s="156"/>
      <c r="K28" s="156"/>
      <c r="L28" s="156"/>
      <c r="M28" s="432"/>
      <c r="N28" s="435"/>
      <c r="O28" s="156"/>
      <c r="P28" s="156"/>
      <c r="Q28" s="156"/>
      <c r="R28" s="432"/>
      <c r="S28" s="435"/>
      <c r="T28" s="156"/>
      <c r="U28" s="156"/>
      <c r="V28" s="156"/>
      <c r="W28" s="432"/>
      <c r="X28" s="435"/>
      <c r="Y28" s="156"/>
      <c r="Z28" s="156"/>
      <c r="AA28" s="156"/>
      <c r="AB28" s="432"/>
    </row>
    <row r="29" spans="1:28" ht="17.25" customHeight="1" x14ac:dyDescent="0.2">
      <c r="A29" s="429" t="s">
        <v>36</v>
      </c>
      <c r="B29" s="154" t="s">
        <v>423</v>
      </c>
      <c r="C29" s="455">
        <f>D29+E29+F29+G29</f>
        <v>1644</v>
      </c>
      <c r="D29" s="454">
        <v>1644</v>
      </c>
      <c r="E29" s="156">
        <v>0</v>
      </c>
      <c r="F29" s="156">
        <v>0</v>
      </c>
      <c r="G29" s="156">
        <v>0</v>
      </c>
      <c r="H29" s="455">
        <f>I29+J29+K29+L29</f>
        <v>1472</v>
      </c>
      <c r="I29" s="454">
        <v>1472</v>
      </c>
      <c r="J29" s="156">
        <v>0</v>
      </c>
      <c r="K29" s="156">
        <v>0</v>
      </c>
      <c r="L29" s="156">
        <v>0</v>
      </c>
      <c r="M29" s="476">
        <f>N29</f>
        <v>5011</v>
      </c>
      <c r="N29" s="442">
        <f>1368-668+1946+117-708+676+1409+418+253+200</f>
        <v>5011</v>
      </c>
      <c r="O29" s="156">
        <v>0</v>
      </c>
      <c r="P29" s="156">
        <v>0</v>
      </c>
      <c r="Q29" s="156">
        <v>0</v>
      </c>
      <c r="R29" s="455">
        <f>S29</f>
        <v>4600</v>
      </c>
      <c r="S29" s="454">
        <f>1368+3232</f>
        <v>4600</v>
      </c>
      <c r="T29" s="156">
        <v>0</v>
      </c>
      <c r="U29" s="156">
        <v>0</v>
      </c>
      <c r="V29" s="156">
        <v>0</v>
      </c>
      <c r="W29" s="455">
        <f>X29</f>
        <v>4463</v>
      </c>
      <c r="X29" s="454">
        <v>4463</v>
      </c>
      <c r="Y29" s="156">
        <v>0</v>
      </c>
      <c r="Z29" s="156">
        <v>0</v>
      </c>
      <c r="AA29" s="156">
        <v>0</v>
      </c>
      <c r="AB29" s="455">
        <f>C29+H29+M29+R29+W29</f>
        <v>17190</v>
      </c>
    </row>
    <row r="30" spans="1:28" ht="16.5" customHeight="1" x14ac:dyDescent="0.2">
      <c r="A30" s="429"/>
      <c r="B30" s="157" t="s">
        <v>424</v>
      </c>
      <c r="C30" s="455"/>
      <c r="D30" s="454"/>
      <c r="E30" s="156"/>
      <c r="F30" s="156"/>
      <c r="G30" s="156"/>
      <c r="H30" s="455"/>
      <c r="I30" s="454"/>
      <c r="J30" s="156"/>
      <c r="K30" s="156"/>
      <c r="L30" s="156"/>
      <c r="M30" s="476"/>
      <c r="N30" s="443"/>
      <c r="O30" s="156"/>
      <c r="P30" s="156"/>
      <c r="Q30" s="156"/>
      <c r="R30" s="455"/>
      <c r="S30" s="454"/>
      <c r="T30" s="156"/>
      <c r="U30" s="156"/>
      <c r="V30" s="156"/>
      <c r="W30" s="455"/>
      <c r="X30" s="454"/>
      <c r="Y30" s="156"/>
      <c r="Z30" s="156"/>
      <c r="AA30" s="156"/>
      <c r="AB30" s="455"/>
    </row>
    <row r="31" spans="1:28" ht="13.9" customHeight="1" x14ac:dyDescent="0.2">
      <c r="A31" s="429"/>
      <c r="B31" s="159" t="s">
        <v>780</v>
      </c>
      <c r="C31" s="455"/>
      <c r="D31" s="454"/>
      <c r="E31" s="156"/>
      <c r="F31" s="156"/>
      <c r="G31" s="156"/>
      <c r="H31" s="455"/>
      <c r="I31" s="454"/>
      <c r="J31" s="156"/>
      <c r="K31" s="156"/>
      <c r="L31" s="156"/>
      <c r="M31" s="476"/>
      <c r="N31" s="443"/>
      <c r="O31" s="156"/>
      <c r="P31" s="156"/>
      <c r="Q31" s="156"/>
      <c r="R31" s="455"/>
      <c r="S31" s="454"/>
      <c r="T31" s="156"/>
      <c r="U31" s="156"/>
      <c r="V31" s="156"/>
      <c r="W31" s="455"/>
      <c r="X31" s="454"/>
      <c r="Y31" s="156"/>
      <c r="Z31" s="156"/>
      <c r="AA31" s="156"/>
      <c r="AB31" s="455"/>
    </row>
    <row r="32" spans="1:28" ht="36.6" customHeight="1" x14ac:dyDescent="0.2">
      <c r="A32" s="429"/>
      <c r="B32" s="159" t="s">
        <v>781</v>
      </c>
      <c r="C32" s="455"/>
      <c r="D32" s="454"/>
      <c r="E32" s="156"/>
      <c r="F32" s="156"/>
      <c r="G32" s="156"/>
      <c r="H32" s="455"/>
      <c r="I32" s="454"/>
      <c r="J32" s="156"/>
      <c r="K32" s="156"/>
      <c r="L32" s="156"/>
      <c r="M32" s="476"/>
      <c r="N32" s="443"/>
      <c r="O32" s="156"/>
      <c r="P32" s="156"/>
      <c r="Q32" s="156"/>
      <c r="R32" s="455"/>
      <c r="S32" s="454"/>
      <c r="T32" s="156"/>
      <c r="U32" s="156"/>
      <c r="V32" s="156"/>
      <c r="W32" s="455"/>
      <c r="X32" s="454"/>
      <c r="Y32" s="156"/>
      <c r="Z32" s="156"/>
      <c r="AA32" s="156"/>
      <c r="AB32" s="455"/>
    </row>
    <row r="33" spans="1:28" ht="32.25" customHeight="1" x14ac:dyDescent="0.2">
      <c r="A33" s="429"/>
      <c r="B33" s="159" t="s">
        <v>782</v>
      </c>
      <c r="C33" s="455"/>
      <c r="D33" s="454"/>
      <c r="E33" s="156"/>
      <c r="F33" s="156"/>
      <c r="G33" s="156"/>
      <c r="H33" s="455"/>
      <c r="I33" s="454"/>
      <c r="J33" s="156"/>
      <c r="K33" s="156"/>
      <c r="L33" s="156"/>
      <c r="M33" s="476"/>
      <c r="N33" s="443"/>
      <c r="O33" s="156"/>
      <c r="P33" s="156"/>
      <c r="Q33" s="156"/>
      <c r="R33" s="455"/>
      <c r="S33" s="454"/>
      <c r="T33" s="156"/>
      <c r="U33" s="156"/>
      <c r="V33" s="156"/>
      <c r="W33" s="455"/>
      <c r="X33" s="454"/>
      <c r="Y33" s="156"/>
      <c r="Z33" s="156"/>
      <c r="AA33" s="156"/>
      <c r="AB33" s="455"/>
    </row>
    <row r="34" spans="1:28" ht="21.75" customHeight="1" x14ac:dyDescent="0.2">
      <c r="A34" s="429"/>
      <c r="B34" s="159" t="s">
        <v>783</v>
      </c>
      <c r="C34" s="455"/>
      <c r="D34" s="454"/>
      <c r="E34" s="156"/>
      <c r="F34" s="156"/>
      <c r="G34" s="156"/>
      <c r="H34" s="455"/>
      <c r="I34" s="454"/>
      <c r="J34" s="156"/>
      <c r="K34" s="156"/>
      <c r="L34" s="156"/>
      <c r="M34" s="476"/>
      <c r="N34" s="443"/>
      <c r="O34" s="156"/>
      <c r="P34" s="156"/>
      <c r="Q34" s="156"/>
      <c r="R34" s="455"/>
      <c r="S34" s="454"/>
      <c r="T34" s="156"/>
      <c r="U34" s="156"/>
      <c r="V34" s="156"/>
      <c r="W34" s="455"/>
      <c r="X34" s="454"/>
      <c r="Y34" s="156"/>
      <c r="Z34" s="156"/>
      <c r="AA34" s="156"/>
      <c r="AB34" s="455"/>
    </row>
    <row r="35" spans="1:28" ht="18" customHeight="1" x14ac:dyDescent="0.2">
      <c r="A35" s="429"/>
      <c r="B35" s="159" t="s">
        <v>784</v>
      </c>
      <c r="C35" s="455"/>
      <c r="D35" s="454"/>
      <c r="E35" s="156"/>
      <c r="F35" s="156"/>
      <c r="G35" s="156"/>
      <c r="H35" s="455"/>
      <c r="I35" s="454"/>
      <c r="J35" s="156"/>
      <c r="K35" s="156"/>
      <c r="L35" s="156"/>
      <c r="M35" s="476"/>
      <c r="N35" s="443"/>
      <c r="O35" s="156"/>
      <c r="P35" s="156"/>
      <c r="Q35" s="156"/>
      <c r="R35" s="455"/>
      <c r="S35" s="454"/>
      <c r="T35" s="156"/>
      <c r="U35" s="156"/>
      <c r="V35" s="156"/>
      <c r="W35" s="455"/>
      <c r="X35" s="454"/>
      <c r="Y35" s="156"/>
      <c r="Z35" s="156"/>
      <c r="AA35" s="156"/>
      <c r="AB35" s="455"/>
    </row>
    <row r="36" spans="1:28" ht="33.75" customHeight="1" x14ac:dyDescent="0.2">
      <c r="A36" s="429"/>
      <c r="B36" s="159" t="s">
        <v>785</v>
      </c>
      <c r="C36" s="455"/>
      <c r="D36" s="454"/>
      <c r="E36" s="156"/>
      <c r="F36" s="156"/>
      <c r="G36" s="156"/>
      <c r="H36" s="455"/>
      <c r="I36" s="454"/>
      <c r="J36" s="156"/>
      <c r="K36" s="156"/>
      <c r="L36" s="156"/>
      <c r="M36" s="476"/>
      <c r="N36" s="443"/>
      <c r="O36" s="156"/>
      <c r="P36" s="156"/>
      <c r="Q36" s="156"/>
      <c r="R36" s="455"/>
      <c r="S36" s="454"/>
      <c r="T36" s="156"/>
      <c r="U36" s="156"/>
      <c r="V36" s="156"/>
      <c r="W36" s="455"/>
      <c r="X36" s="454"/>
      <c r="Y36" s="156"/>
      <c r="Z36" s="156"/>
      <c r="AA36" s="156"/>
      <c r="AB36" s="455"/>
    </row>
    <row r="37" spans="1:28" ht="37.9" customHeight="1" x14ac:dyDescent="0.2">
      <c r="A37" s="429"/>
      <c r="B37" s="164" t="s">
        <v>786</v>
      </c>
      <c r="C37" s="455"/>
      <c r="D37" s="454"/>
      <c r="E37" s="156"/>
      <c r="F37" s="156"/>
      <c r="G37" s="156"/>
      <c r="H37" s="455"/>
      <c r="I37" s="454"/>
      <c r="J37" s="156"/>
      <c r="K37" s="156"/>
      <c r="L37" s="156"/>
      <c r="M37" s="476"/>
      <c r="N37" s="444"/>
      <c r="O37" s="156"/>
      <c r="P37" s="156"/>
      <c r="Q37" s="156"/>
      <c r="R37" s="455"/>
      <c r="S37" s="454"/>
      <c r="T37" s="156"/>
      <c r="U37" s="156"/>
      <c r="V37" s="156"/>
      <c r="W37" s="455"/>
      <c r="X37" s="454"/>
      <c r="Y37" s="156"/>
      <c r="Z37" s="156"/>
      <c r="AA37" s="156"/>
      <c r="AB37" s="455"/>
    </row>
    <row r="38" spans="1:28" ht="33" customHeight="1" x14ac:dyDescent="0.2">
      <c r="A38" s="436" t="s">
        <v>36</v>
      </c>
      <c r="B38" s="159" t="s">
        <v>787</v>
      </c>
      <c r="C38" s="430"/>
      <c r="D38" s="433"/>
      <c r="E38" s="409"/>
      <c r="F38" s="409"/>
      <c r="G38" s="409"/>
      <c r="H38" s="430"/>
      <c r="I38" s="433"/>
      <c r="J38" s="409"/>
      <c r="K38" s="409"/>
      <c r="L38" s="409"/>
      <c r="M38" s="430"/>
      <c r="N38" s="474"/>
      <c r="O38" s="409"/>
      <c r="P38" s="409"/>
      <c r="Q38" s="409"/>
      <c r="R38" s="430"/>
      <c r="S38" s="433"/>
      <c r="T38" s="409"/>
      <c r="U38" s="409"/>
      <c r="V38" s="409"/>
      <c r="W38" s="433"/>
      <c r="X38" s="433"/>
      <c r="Y38" s="409"/>
      <c r="Z38" s="409"/>
      <c r="AA38" s="409"/>
      <c r="AB38" s="430"/>
    </row>
    <row r="39" spans="1:28" ht="18" customHeight="1" x14ac:dyDescent="0.2">
      <c r="A39" s="437"/>
      <c r="B39" s="159" t="s">
        <v>789</v>
      </c>
      <c r="C39" s="431"/>
      <c r="D39" s="434"/>
      <c r="E39" s="410"/>
      <c r="F39" s="410"/>
      <c r="G39" s="410"/>
      <c r="H39" s="431"/>
      <c r="I39" s="434"/>
      <c r="J39" s="410"/>
      <c r="K39" s="410"/>
      <c r="L39" s="410"/>
      <c r="M39" s="431"/>
      <c r="N39" s="475"/>
      <c r="O39" s="165"/>
      <c r="P39" s="410"/>
      <c r="Q39" s="410"/>
      <c r="R39" s="431"/>
      <c r="S39" s="434"/>
      <c r="T39" s="410"/>
      <c r="U39" s="410"/>
      <c r="V39" s="410"/>
      <c r="W39" s="434"/>
      <c r="X39" s="434"/>
      <c r="Y39" s="410"/>
      <c r="Z39" s="410"/>
      <c r="AA39" s="410"/>
      <c r="AB39" s="431"/>
    </row>
    <row r="40" spans="1:28" ht="20.25" customHeight="1" x14ac:dyDescent="0.2">
      <c r="A40" s="437"/>
      <c r="B40" s="159" t="s">
        <v>828</v>
      </c>
      <c r="C40" s="431"/>
      <c r="D40" s="434"/>
      <c r="E40" s="409"/>
      <c r="F40" s="409"/>
      <c r="G40" s="409"/>
      <c r="H40" s="431"/>
      <c r="I40" s="434"/>
      <c r="J40" s="409"/>
      <c r="K40" s="409"/>
      <c r="L40" s="409"/>
      <c r="M40" s="431"/>
      <c r="N40" s="475"/>
      <c r="O40" s="166"/>
      <c r="P40" s="409"/>
      <c r="Q40" s="409"/>
      <c r="R40" s="431"/>
      <c r="S40" s="434"/>
      <c r="T40" s="409"/>
      <c r="U40" s="409"/>
      <c r="V40" s="409"/>
      <c r="W40" s="434"/>
      <c r="X40" s="434"/>
      <c r="Y40" s="409"/>
      <c r="Z40" s="409"/>
      <c r="AA40" s="409"/>
      <c r="AB40" s="431"/>
    </row>
    <row r="41" spans="1:28" ht="18.75" customHeight="1" x14ac:dyDescent="0.2">
      <c r="A41" s="437"/>
      <c r="B41" s="159" t="s">
        <v>829</v>
      </c>
      <c r="C41" s="431"/>
      <c r="D41" s="434"/>
      <c r="E41" s="410"/>
      <c r="F41" s="410"/>
      <c r="G41" s="410"/>
      <c r="H41" s="431"/>
      <c r="I41" s="434"/>
      <c r="J41" s="410"/>
      <c r="K41" s="410"/>
      <c r="L41" s="410"/>
      <c r="M41" s="431"/>
      <c r="N41" s="475"/>
      <c r="O41" s="165"/>
      <c r="P41" s="410"/>
      <c r="Q41" s="410"/>
      <c r="R41" s="431"/>
      <c r="S41" s="434"/>
      <c r="T41" s="410"/>
      <c r="U41" s="410"/>
      <c r="V41" s="410"/>
      <c r="W41" s="434"/>
      <c r="X41" s="434"/>
      <c r="Y41" s="410"/>
      <c r="Z41" s="410"/>
      <c r="AA41" s="410"/>
      <c r="AB41" s="431"/>
    </row>
    <row r="42" spans="1:28" ht="18" customHeight="1" x14ac:dyDescent="0.2">
      <c r="A42" s="437"/>
      <c r="B42" s="157" t="s">
        <v>425</v>
      </c>
      <c r="C42" s="431"/>
      <c r="D42" s="434"/>
      <c r="E42" s="409"/>
      <c r="F42" s="409"/>
      <c r="G42" s="409"/>
      <c r="H42" s="431"/>
      <c r="I42" s="434"/>
      <c r="J42" s="409"/>
      <c r="K42" s="409"/>
      <c r="L42" s="409"/>
      <c r="M42" s="431"/>
      <c r="N42" s="475"/>
      <c r="O42" s="166"/>
      <c r="P42" s="409"/>
      <c r="Q42" s="409"/>
      <c r="R42" s="431"/>
      <c r="S42" s="434"/>
      <c r="T42" s="409"/>
      <c r="U42" s="409"/>
      <c r="V42" s="409"/>
      <c r="W42" s="434"/>
      <c r="X42" s="434"/>
      <c r="Y42" s="409"/>
      <c r="Z42" s="409"/>
      <c r="AA42" s="409"/>
      <c r="AB42" s="431"/>
    </row>
    <row r="43" spans="1:28" ht="18" customHeight="1" x14ac:dyDescent="0.2">
      <c r="A43" s="437"/>
      <c r="B43" s="159" t="s">
        <v>905</v>
      </c>
      <c r="C43" s="431"/>
      <c r="D43" s="434"/>
      <c r="E43" s="409"/>
      <c r="F43" s="409"/>
      <c r="G43" s="409"/>
      <c r="H43" s="431"/>
      <c r="I43" s="434"/>
      <c r="J43" s="409"/>
      <c r="K43" s="409"/>
      <c r="L43" s="409"/>
      <c r="M43" s="431"/>
      <c r="N43" s="475"/>
      <c r="O43" s="166"/>
      <c r="P43" s="409"/>
      <c r="Q43" s="409"/>
      <c r="R43" s="431"/>
      <c r="S43" s="434"/>
      <c r="T43" s="409"/>
      <c r="U43" s="409"/>
      <c r="V43" s="409"/>
      <c r="W43" s="434"/>
      <c r="X43" s="434"/>
      <c r="Y43" s="409"/>
      <c r="Z43" s="409"/>
      <c r="AA43" s="409"/>
      <c r="AB43" s="431"/>
    </row>
    <row r="44" spans="1:28" ht="18" customHeight="1" x14ac:dyDescent="0.2">
      <c r="A44" s="437"/>
      <c r="B44" s="159" t="s">
        <v>906</v>
      </c>
      <c r="C44" s="431"/>
      <c r="D44" s="434"/>
      <c r="E44" s="409"/>
      <c r="F44" s="409"/>
      <c r="G44" s="409"/>
      <c r="H44" s="431"/>
      <c r="I44" s="434"/>
      <c r="J44" s="409"/>
      <c r="K44" s="409"/>
      <c r="L44" s="409"/>
      <c r="M44" s="431"/>
      <c r="N44" s="475"/>
      <c r="O44" s="166"/>
      <c r="P44" s="409"/>
      <c r="Q44" s="409"/>
      <c r="R44" s="431"/>
      <c r="S44" s="434"/>
      <c r="T44" s="409"/>
      <c r="U44" s="409"/>
      <c r="V44" s="409"/>
      <c r="W44" s="434"/>
      <c r="X44" s="434"/>
      <c r="Y44" s="409"/>
      <c r="Z44" s="409"/>
      <c r="AA44" s="409"/>
      <c r="AB44" s="431"/>
    </row>
    <row r="45" spans="1:28" ht="18" customHeight="1" x14ac:dyDescent="0.2">
      <c r="A45" s="437"/>
      <c r="B45" s="159" t="s">
        <v>907</v>
      </c>
      <c r="C45" s="431"/>
      <c r="D45" s="434"/>
      <c r="E45" s="409"/>
      <c r="F45" s="409"/>
      <c r="G45" s="409"/>
      <c r="H45" s="431"/>
      <c r="I45" s="434"/>
      <c r="J45" s="409"/>
      <c r="K45" s="409"/>
      <c r="L45" s="409"/>
      <c r="M45" s="431"/>
      <c r="N45" s="475"/>
      <c r="O45" s="166"/>
      <c r="P45" s="409"/>
      <c r="Q45" s="409"/>
      <c r="R45" s="431"/>
      <c r="S45" s="434"/>
      <c r="T45" s="409"/>
      <c r="U45" s="409"/>
      <c r="V45" s="409"/>
      <c r="W45" s="434"/>
      <c r="X45" s="434"/>
      <c r="Y45" s="409"/>
      <c r="Z45" s="409"/>
      <c r="AA45" s="409"/>
      <c r="AB45" s="431"/>
    </row>
    <row r="46" spans="1:28" ht="18" customHeight="1" x14ac:dyDescent="0.2">
      <c r="A46" s="437"/>
      <c r="B46" s="159" t="s">
        <v>908</v>
      </c>
      <c r="C46" s="431"/>
      <c r="D46" s="434"/>
      <c r="E46" s="409"/>
      <c r="F46" s="409"/>
      <c r="G46" s="409"/>
      <c r="H46" s="431"/>
      <c r="I46" s="434"/>
      <c r="J46" s="409"/>
      <c r="K46" s="409"/>
      <c r="L46" s="409"/>
      <c r="M46" s="431"/>
      <c r="N46" s="475"/>
      <c r="O46" s="166"/>
      <c r="P46" s="409"/>
      <c r="Q46" s="409"/>
      <c r="R46" s="431"/>
      <c r="S46" s="434"/>
      <c r="T46" s="409"/>
      <c r="U46" s="409"/>
      <c r="V46" s="409"/>
      <c r="W46" s="434"/>
      <c r="X46" s="434"/>
      <c r="Y46" s="409"/>
      <c r="Z46" s="409"/>
      <c r="AA46" s="409"/>
      <c r="AB46" s="431"/>
    </row>
    <row r="47" spans="1:28" ht="18" customHeight="1" x14ac:dyDescent="0.2">
      <c r="A47" s="437"/>
      <c r="B47" s="159" t="s">
        <v>909</v>
      </c>
      <c r="C47" s="431"/>
      <c r="D47" s="434"/>
      <c r="E47" s="409"/>
      <c r="F47" s="409"/>
      <c r="G47" s="409"/>
      <c r="H47" s="431"/>
      <c r="I47" s="434"/>
      <c r="J47" s="409"/>
      <c r="K47" s="409"/>
      <c r="L47" s="409"/>
      <c r="M47" s="431"/>
      <c r="N47" s="475"/>
      <c r="O47" s="166"/>
      <c r="P47" s="409"/>
      <c r="Q47" s="409"/>
      <c r="R47" s="431"/>
      <c r="S47" s="434"/>
      <c r="T47" s="409"/>
      <c r="U47" s="409"/>
      <c r="V47" s="409"/>
      <c r="W47" s="434"/>
      <c r="X47" s="434"/>
      <c r="Y47" s="409"/>
      <c r="Z47" s="409"/>
      <c r="AA47" s="409"/>
      <c r="AB47" s="431"/>
    </row>
    <row r="48" spans="1:28" ht="18" customHeight="1" x14ac:dyDescent="0.2">
      <c r="A48" s="437"/>
      <c r="B48" s="159" t="s">
        <v>910</v>
      </c>
      <c r="C48" s="431"/>
      <c r="D48" s="434"/>
      <c r="E48" s="409"/>
      <c r="F48" s="409"/>
      <c r="G48" s="409"/>
      <c r="H48" s="431"/>
      <c r="I48" s="434"/>
      <c r="J48" s="409"/>
      <c r="K48" s="409"/>
      <c r="L48" s="409"/>
      <c r="M48" s="431"/>
      <c r="N48" s="475"/>
      <c r="O48" s="166"/>
      <c r="P48" s="409"/>
      <c r="Q48" s="409"/>
      <c r="R48" s="431"/>
      <c r="S48" s="434"/>
      <c r="T48" s="409"/>
      <c r="U48" s="409"/>
      <c r="V48" s="409"/>
      <c r="W48" s="434"/>
      <c r="X48" s="434"/>
      <c r="Y48" s="409"/>
      <c r="Z48" s="409"/>
      <c r="AA48" s="409"/>
      <c r="AB48" s="431"/>
    </row>
    <row r="49" spans="1:28" ht="18" customHeight="1" x14ac:dyDescent="0.2">
      <c r="A49" s="437"/>
      <c r="B49" s="159" t="s">
        <v>911</v>
      </c>
      <c r="C49" s="431"/>
      <c r="D49" s="434"/>
      <c r="E49" s="409"/>
      <c r="F49" s="409"/>
      <c r="G49" s="409"/>
      <c r="H49" s="431"/>
      <c r="I49" s="434"/>
      <c r="J49" s="409"/>
      <c r="K49" s="409"/>
      <c r="L49" s="409"/>
      <c r="M49" s="431"/>
      <c r="N49" s="475"/>
      <c r="O49" s="166"/>
      <c r="P49" s="409"/>
      <c r="Q49" s="409"/>
      <c r="R49" s="431"/>
      <c r="S49" s="434"/>
      <c r="T49" s="409"/>
      <c r="U49" s="409"/>
      <c r="V49" s="409"/>
      <c r="W49" s="434"/>
      <c r="X49" s="434"/>
      <c r="Y49" s="409"/>
      <c r="Z49" s="409"/>
      <c r="AA49" s="409"/>
      <c r="AB49" s="431"/>
    </row>
    <row r="50" spans="1:28" ht="18" customHeight="1" x14ac:dyDescent="0.2">
      <c r="A50" s="437"/>
      <c r="B50" s="159" t="s">
        <v>1654</v>
      </c>
      <c r="C50" s="431"/>
      <c r="D50" s="434"/>
      <c r="E50" s="409"/>
      <c r="F50" s="409"/>
      <c r="G50" s="409"/>
      <c r="H50" s="431"/>
      <c r="I50" s="434"/>
      <c r="J50" s="409"/>
      <c r="K50" s="409"/>
      <c r="L50" s="409"/>
      <c r="M50" s="431"/>
      <c r="N50" s="475"/>
      <c r="O50" s="166"/>
      <c r="P50" s="409"/>
      <c r="Q50" s="409"/>
      <c r="R50" s="431"/>
      <c r="S50" s="434"/>
      <c r="T50" s="409"/>
      <c r="U50" s="409"/>
      <c r="V50" s="409"/>
      <c r="W50" s="434"/>
      <c r="X50" s="434"/>
      <c r="Y50" s="409"/>
      <c r="Z50" s="409"/>
      <c r="AA50" s="409"/>
      <c r="AB50" s="431"/>
    </row>
    <row r="51" spans="1:28" ht="18" customHeight="1" x14ac:dyDescent="0.2">
      <c r="A51" s="437"/>
      <c r="B51" s="159" t="s">
        <v>1657</v>
      </c>
      <c r="C51" s="431"/>
      <c r="D51" s="434"/>
      <c r="E51" s="409"/>
      <c r="F51" s="409"/>
      <c r="G51" s="409"/>
      <c r="H51" s="431"/>
      <c r="I51" s="434"/>
      <c r="J51" s="409"/>
      <c r="K51" s="409"/>
      <c r="L51" s="409"/>
      <c r="M51" s="431"/>
      <c r="N51" s="475"/>
      <c r="O51" s="166"/>
      <c r="P51" s="409"/>
      <c r="Q51" s="409"/>
      <c r="R51" s="431"/>
      <c r="S51" s="434"/>
      <c r="T51" s="409"/>
      <c r="U51" s="409"/>
      <c r="V51" s="409"/>
      <c r="W51" s="434"/>
      <c r="X51" s="434"/>
      <c r="Y51" s="409"/>
      <c r="Z51" s="409"/>
      <c r="AA51" s="409"/>
      <c r="AB51" s="431"/>
    </row>
    <row r="52" spans="1:28" ht="18" customHeight="1" x14ac:dyDescent="0.2">
      <c r="A52" s="437"/>
      <c r="B52" s="159" t="s">
        <v>912</v>
      </c>
      <c r="C52" s="431"/>
      <c r="D52" s="434"/>
      <c r="E52" s="409"/>
      <c r="F52" s="409"/>
      <c r="G52" s="409"/>
      <c r="H52" s="431"/>
      <c r="I52" s="434"/>
      <c r="J52" s="409"/>
      <c r="K52" s="409"/>
      <c r="L52" s="409"/>
      <c r="M52" s="431"/>
      <c r="N52" s="475"/>
      <c r="O52" s="166"/>
      <c r="P52" s="409"/>
      <c r="Q52" s="409"/>
      <c r="R52" s="431"/>
      <c r="S52" s="434"/>
      <c r="T52" s="409"/>
      <c r="U52" s="409"/>
      <c r="V52" s="409"/>
      <c r="W52" s="434"/>
      <c r="X52" s="434"/>
      <c r="Y52" s="409"/>
      <c r="Z52" s="409"/>
      <c r="AA52" s="409"/>
      <c r="AB52" s="431"/>
    </row>
    <row r="53" spans="1:28" ht="18" customHeight="1" x14ac:dyDescent="0.2">
      <c r="A53" s="437"/>
      <c r="B53" s="159" t="s">
        <v>913</v>
      </c>
      <c r="C53" s="431"/>
      <c r="D53" s="434"/>
      <c r="E53" s="409"/>
      <c r="F53" s="409"/>
      <c r="G53" s="409"/>
      <c r="H53" s="431"/>
      <c r="I53" s="434"/>
      <c r="J53" s="409"/>
      <c r="K53" s="409"/>
      <c r="L53" s="409"/>
      <c r="M53" s="431"/>
      <c r="N53" s="475"/>
      <c r="O53" s="166"/>
      <c r="P53" s="409"/>
      <c r="Q53" s="409"/>
      <c r="R53" s="431"/>
      <c r="S53" s="434"/>
      <c r="T53" s="409"/>
      <c r="U53" s="409"/>
      <c r="V53" s="409"/>
      <c r="W53" s="434"/>
      <c r="X53" s="434"/>
      <c r="Y53" s="409"/>
      <c r="Z53" s="409"/>
      <c r="AA53" s="409"/>
      <c r="AB53" s="431"/>
    </row>
    <row r="54" spans="1:28" ht="18" customHeight="1" x14ac:dyDescent="0.2">
      <c r="A54" s="437"/>
      <c r="B54" s="157" t="s">
        <v>776</v>
      </c>
      <c r="C54" s="431"/>
      <c r="D54" s="434"/>
      <c r="E54" s="409"/>
      <c r="F54" s="409"/>
      <c r="G54" s="409"/>
      <c r="H54" s="431"/>
      <c r="I54" s="434"/>
      <c r="J54" s="409"/>
      <c r="K54" s="409"/>
      <c r="L54" s="409"/>
      <c r="M54" s="431"/>
      <c r="N54" s="475"/>
      <c r="O54" s="166"/>
      <c r="P54" s="409"/>
      <c r="Q54" s="409"/>
      <c r="R54" s="431"/>
      <c r="S54" s="434"/>
      <c r="T54" s="409"/>
      <c r="U54" s="409"/>
      <c r="V54" s="409"/>
      <c r="W54" s="434"/>
      <c r="X54" s="434"/>
      <c r="Y54" s="409"/>
      <c r="Z54" s="409"/>
      <c r="AA54" s="409"/>
      <c r="AB54" s="431"/>
    </row>
    <row r="55" spans="1:28" ht="18" customHeight="1" x14ac:dyDescent="0.2">
      <c r="A55" s="437"/>
      <c r="B55" s="160" t="s">
        <v>1655</v>
      </c>
      <c r="C55" s="431"/>
      <c r="D55" s="434"/>
      <c r="E55" s="409"/>
      <c r="F55" s="409"/>
      <c r="G55" s="409"/>
      <c r="H55" s="431"/>
      <c r="I55" s="434"/>
      <c r="J55" s="409"/>
      <c r="K55" s="409"/>
      <c r="L55" s="409"/>
      <c r="M55" s="431"/>
      <c r="N55" s="475"/>
      <c r="O55" s="166"/>
      <c r="P55" s="409"/>
      <c r="Q55" s="409"/>
      <c r="R55" s="431"/>
      <c r="S55" s="434"/>
      <c r="T55" s="409"/>
      <c r="U55" s="409"/>
      <c r="V55" s="409"/>
      <c r="W55" s="434"/>
      <c r="X55" s="434"/>
      <c r="Y55" s="409"/>
      <c r="Z55" s="409"/>
      <c r="AA55" s="409"/>
      <c r="AB55" s="431"/>
    </row>
    <row r="56" spans="1:28" ht="18" customHeight="1" x14ac:dyDescent="0.2">
      <c r="A56" s="437"/>
      <c r="B56" s="160" t="s">
        <v>1656</v>
      </c>
      <c r="C56" s="431"/>
      <c r="D56" s="434"/>
      <c r="E56" s="409"/>
      <c r="F56" s="409"/>
      <c r="G56" s="409"/>
      <c r="H56" s="431"/>
      <c r="I56" s="434"/>
      <c r="J56" s="409"/>
      <c r="K56" s="409"/>
      <c r="L56" s="409"/>
      <c r="M56" s="431"/>
      <c r="N56" s="475"/>
      <c r="O56" s="166"/>
      <c r="P56" s="409"/>
      <c r="Q56" s="409"/>
      <c r="R56" s="431"/>
      <c r="S56" s="434"/>
      <c r="T56" s="409"/>
      <c r="U56" s="409"/>
      <c r="V56" s="409"/>
      <c r="W56" s="434"/>
      <c r="X56" s="434"/>
      <c r="Y56" s="409"/>
      <c r="Z56" s="409"/>
      <c r="AA56" s="409"/>
      <c r="AB56" s="431"/>
    </row>
    <row r="57" spans="1:28" ht="18" customHeight="1" x14ac:dyDescent="0.2">
      <c r="A57" s="437"/>
      <c r="B57" s="160" t="s">
        <v>1693</v>
      </c>
      <c r="C57" s="431"/>
      <c r="D57" s="434"/>
      <c r="E57" s="409"/>
      <c r="F57" s="409"/>
      <c r="G57" s="409"/>
      <c r="H57" s="431"/>
      <c r="I57" s="434"/>
      <c r="J57" s="409"/>
      <c r="K57" s="409"/>
      <c r="L57" s="409"/>
      <c r="M57" s="431"/>
      <c r="N57" s="475"/>
      <c r="O57" s="166"/>
      <c r="P57" s="409"/>
      <c r="Q57" s="409"/>
      <c r="R57" s="431"/>
      <c r="S57" s="434"/>
      <c r="T57" s="409"/>
      <c r="U57" s="409"/>
      <c r="V57" s="409"/>
      <c r="W57" s="434"/>
      <c r="X57" s="434"/>
      <c r="Y57" s="409"/>
      <c r="Z57" s="409"/>
      <c r="AA57" s="409"/>
      <c r="AB57" s="431"/>
    </row>
    <row r="58" spans="1:28" ht="31.5" customHeight="1" x14ac:dyDescent="0.2">
      <c r="A58" s="437"/>
      <c r="B58" s="160" t="s">
        <v>1695</v>
      </c>
      <c r="C58" s="431"/>
      <c r="D58" s="434"/>
      <c r="E58" s="409"/>
      <c r="F58" s="409"/>
      <c r="G58" s="409"/>
      <c r="H58" s="431"/>
      <c r="I58" s="434"/>
      <c r="J58" s="409"/>
      <c r="K58" s="409"/>
      <c r="L58" s="409"/>
      <c r="M58" s="431"/>
      <c r="N58" s="475"/>
      <c r="O58" s="166"/>
      <c r="P58" s="409"/>
      <c r="Q58" s="409"/>
      <c r="R58" s="431"/>
      <c r="S58" s="434"/>
      <c r="T58" s="409"/>
      <c r="U58" s="409"/>
      <c r="V58" s="409"/>
      <c r="W58" s="434"/>
      <c r="X58" s="434"/>
      <c r="Y58" s="409"/>
      <c r="Z58" s="409"/>
      <c r="AA58" s="409"/>
      <c r="AB58" s="431"/>
    </row>
    <row r="59" spans="1:28" ht="18" customHeight="1" x14ac:dyDescent="0.2">
      <c r="A59" s="437"/>
      <c r="B59" s="160" t="s">
        <v>1694</v>
      </c>
      <c r="C59" s="431"/>
      <c r="D59" s="434"/>
      <c r="E59" s="409"/>
      <c r="F59" s="409"/>
      <c r="G59" s="409"/>
      <c r="H59" s="431"/>
      <c r="I59" s="434"/>
      <c r="J59" s="409"/>
      <c r="K59" s="409"/>
      <c r="L59" s="409"/>
      <c r="M59" s="431"/>
      <c r="N59" s="475"/>
      <c r="O59" s="166"/>
      <c r="P59" s="409"/>
      <c r="Q59" s="409"/>
      <c r="R59" s="431"/>
      <c r="S59" s="434"/>
      <c r="T59" s="409"/>
      <c r="U59" s="409"/>
      <c r="V59" s="409"/>
      <c r="W59" s="434"/>
      <c r="X59" s="434"/>
      <c r="Y59" s="409"/>
      <c r="Z59" s="409"/>
      <c r="AA59" s="409"/>
      <c r="AB59" s="431"/>
    </row>
    <row r="60" spans="1:28" ht="32.25" customHeight="1" x14ac:dyDescent="0.2">
      <c r="A60" s="437"/>
      <c r="B60" s="160" t="s">
        <v>1696</v>
      </c>
      <c r="C60" s="431"/>
      <c r="D60" s="434"/>
      <c r="E60" s="409"/>
      <c r="F60" s="409"/>
      <c r="G60" s="409"/>
      <c r="H60" s="431"/>
      <c r="I60" s="434"/>
      <c r="J60" s="409"/>
      <c r="K60" s="409"/>
      <c r="L60" s="409"/>
      <c r="M60" s="431"/>
      <c r="N60" s="475"/>
      <c r="O60" s="166"/>
      <c r="P60" s="409"/>
      <c r="Q60" s="409"/>
      <c r="R60" s="431"/>
      <c r="S60" s="434"/>
      <c r="T60" s="409"/>
      <c r="U60" s="409"/>
      <c r="V60" s="409"/>
      <c r="W60" s="434"/>
      <c r="X60" s="434"/>
      <c r="Y60" s="409"/>
      <c r="Z60" s="409"/>
      <c r="AA60" s="409"/>
      <c r="AB60" s="431"/>
    </row>
    <row r="61" spans="1:28" ht="18" customHeight="1" x14ac:dyDescent="0.2">
      <c r="A61" s="437"/>
      <c r="B61" s="160" t="s">
        <v>1697</v>
      </c>
      <c r="C61" s="431"/>
      <c r="D61" s="434"/>
      <c r="E61" s="409"/>
      <c r="F61" s="409"/>
      <c r="G61" s="409"/>
      <c r="H61" s="431"/>
      <c r="I61" s="434"/>
      <c r="J61" s="409"/>
      <c r="K61" s="409"/>
      <c r="L61" s="409"/>
      <c r="M61" s="431"/>
      <c r="N61" s="475"/>
      <c r="O61" s="166"/>
      <c r="P61" s="409"/>
      <c r="Q61" s="409"/>
      <c r="R61" s="431"/>
      <c r="S61" s="434"/>
      <c r="T61" s="409"/>
      <c r="U61" s="409"/>
      <c r="V61" s="409"/>
      <c r="W61" s="434"/>
      <c r="X61" s="434"/>
      <c r="Y61" s="409"/>
      <c r="Z61" s="409"/>
      <c r="AA61" s="409"/>
      <c r="AB61" s="431"/>
    </row>
    <row r="62" spans="1:28" ht="18" customHeight="1" x14ac:dyDescent="0.2">
      <c r="A62" s="437"/>
      <c r="B62" s="160" t="s">
        <v>1698</v>
      </c>
      <c r="C62" s="431"/>
      <c r="D62" s="434"/>
      <c r="E62" s="409"/>
      <c r="F62" s="409"/>
      <c r="G62" s="409"/>
      <c r="H62" s="431"/>
      <c r="I62" s="434"/>
      <c r="J62" s="409"/>
      <c r="K62" s="409"/>
      <c r="L62" s="409"/>
      <c r="M62" s="431"/>
      <c r="N62" s="475"/>
      <c r="O62" s="166"/>
      <c r="P62" s="409"/>
      <c r="Q62" s="409"/>
      <c r="R62" s="431"/>
      <c r="S62" s="434"/>
      <c r="T62" s="409"/>
      <c r="U62" s="409"/>
      <c r="V62" s="409"/>
      <c r="W62" s="434"/>
      <c r="X62" s="434"/>
      <c r="Y62" s="409"/>
      <c r="Z62" s="409"/>
      <c r="AA62" s="409"/>
      <c r="AB62" s="431"/>
    </row>
    <row r="63" spans="1:28" ht="18" customHeight="1" x14ac:dyDescent="0.2">
      <c r="A63" s="437"/>
      <c r="B63" s="160" t="s">
        <v>1699</v>
      </c>
      <c r="C63" s="431"/>
      <c r="D63" s="434"/>
      <c r="E63" s="409"/>
      <c r="F63" s="409"/>
      <c r="G63" s="409"/>
      <c r="H63" s="431"/>
      <c r="I63" s="434"/>
      <c r="J63" s="409"/>
      <c r="K63" s="409"/>
      <c r="L63" s="409"/>
      <c r="M63" s="431"/>
      <c r="N63" s="475"/>
      <c r="O63" s="166"/>
      <c r="P63" s="409"/>
      <c r="Q63" s="409"/>
      <c r="R63" s="431"/>
      <c r="S63" s="434"/>
      <c r="T63" s="409"/>
      <c r="U63" s="409"/>
      <c r="V63" s="409"/>
      <c r="W63" s="434"/>
      <c r="X63" s="434"/>
      <c r="Y63" s="409"/>
      <c r="Z63" s="409"/>
      <c r="AA63" s="409"/>
      <c r="AB63" s="431"/>
    </row>
    <row r="64" spans="1:28" ht="18" customHeight="1" x14ac:dyDescent="0.2">
      <c r="A64" s="437"/>
      <c r="B64" s="160" t="s">
        <v>1739</v>
      </c>
      <c r="C64" s="431"/>
      <c r="D64" s="434"/>
      <c r="E64" s="409"/>
      <c r="F64" s="409"/>
      <c r="G64" s="409"/>
      <c r="H64" s="431"/>
      <c r="I64" s="434"/>
      <c r="J64" s="409"/>
      <c r="K64" s="409"/>
      <c r="L64" s="409"/>
      <c r="M64" s="431"/>
      <c r="N64" s="475"/>
      <c r="O64" s="166"/>
      <c r="P64" s="409"/>
      <c r="Q64" s="409"/>
      <c r="R64" s="431"/>
      <c r="S64" s="434"/>
      <c r="T64" s="409"/>
      <c r="U64" s="409"/>
      <c r="V64" s="409"/>
      <c r="W64" s="434"/>
      <c r="X64" s="434"/>
      <c r="Y64" s="409"/>
      <c r="Z64" s="409"/>
      <c r="AA64" s="409"/>
      <c r="AB64" s="431"/>
    </row>
    <row r="65" spans="1:28" ht="18" customHeight="1" x14ac:dyDescent="0.2">
      <c r="A65" s="437"/>
      <c r="B65" s="160" t="s">
        <v>1740</v>
      </c>
      <c r="C65" s="431"/>
      <c r="D65" s="434"/>
      <c r="E65" s="409"/>
      <c r="F65" s="409"/>
      <c r="G65" s="409"/>
      <c r="H65" s="431"/>
      <c r="I65" s="434"/>
      <c r="J65" s="409"/>
      <c r="K65" s="409"/>
      <c r="L65" s="409"/>
      <c r="M65" s="431"/>
      <c r="N65" s="475"/>
      <c r="O65" s="166"/>
      <c r="P65" s="409"/>
      <c r="Q65" s="409"/>
      <c r="R65" s="431"/>
      <c r="S65" s="434"/>
      <c r="T65" s="409"/>
      <c r="U65" s="409"/>
      <c r="V65" s="409"/>
      <c r="W65" s="434"/>
      <c r="X65" s="434"/>
      <c r="Y65" s="409"/>
      <c r="Z65" s="409"/>
      <c r="AA65" s="409"/>
      <c r="AB65" s="431"/>
    </row>
    <row r="66" spans="1:28" ht="18" customHeight="1" x14ac:dyDescent="0.2">
      <c r="A66" s="437"/>
      <c r="B66" s="160" t="s">
        <v>1741</v>
      </c>
      <c r="C66" s="431"/>
      <c r="D66" s="434"/>
      <c r="E66" s="409"/>
      <c r="F66" s="409"/>
      <c r="G66" s="409"/>
      <c r="H66" s="431"/>
      <c r="I66" s="434"/>
      <c r="J66" s="409"/>
      <c r="K66" s="409"/>
      <c r="L66" s="409"/>
      <c r="M66" s="431"/>
      <c r="N66" s="475"/>
      <c r="O66" s="166"/>
      <c r="P66" s="409"/>
      <c r="Q66" s="409"/>
      <c r="R66" s="431"/>
      <c r="S66" s="434"/>
      <c r="T66" s="409"/>
      <c r="U66" s="409"/>
      <c r="V66" s="409"/>
      <c r="W66" s="434"/>
      <c r="X66" s="434"/>
      <c r="Y66" s="409"/>
      <c r="Z66" s="409"/>
      <c r="AA66" s="409"/>
      <c r="AB66" s="431"/>
    </row>
    <row r="67" spans="1:28" ht="18" customHeight="1" x14ac:dyDescent="0.2">
      <c r="A67" s="437"/>
      <c r="B67" s="160" t="s">
        <v>1742</v>
      </c>
      <c r="C67" s="431"/>
      <c r="D67" s="434"/>
      <c r="E67" s="409"/>
      <c r="F67" s="409"/>
      <c r="G67" s="409"/>
      <c r="H67" s="431"/>
      <c r="I67" s="434"/>
      <c r="J67" s="409"/>
      <c r="K67" s="409"/>
      <c r="L67" s="409"/>
      <c r="M67" s="431"/>
      <c r="N67" s="475"/>
      <c r="O67" s="166"/>
      <c r="P67" s="409"/>
      <c r="Q67" s="409"/>
      <c r="R67" s="431"/>
      <c r="S67" s="434"/>
      <c r="T67" s="409"/>
      <c r="U67" s="409"/>
      <c r="V67" s="409"/>
      <c r="W67" s="434"/>
      <c r="X67" s="434"/>
      <c r="Y67" s="409"/>
      <c r="Z67" s="409"/>
      <c r="AA67" s="409"/>
      <c r="AB67" s="431"/>
    </row>
    <row r="68" spans="1:28" ht="18" customHeight="1" x14ac:dyDescent="0.2">
      <c r="A68" s="437"/>
      <c r="B68" s="160" t="s">
        <v>1743</v>
      </c>
      <c r="C68" s="431"/>
      <c r="D68" s="434"/>
      <c r="E68" s="409"/>
      <c r="F68" s="409"/>
      <c r="G68" s="409"/>
      <c r="H68" s="431"/>
      <c r="I68" s="434"/>
      <c r="J68" s="409"/>
      <c r="K68" s="409"/>
      <c r="L68" s="409"/>
      <c r="M68" s="431"/>
      <c r="N68" s="475"/>
      <c r="O68" s="166"/>
      <c r="P68" s="409"/>
      <c r="Q68" s="409"/>
      <c r="R68" s="431"/>
      <c r="S68" s="434"/>
      <c r="T68" s="409"/>
      <c r="U68" s="409"/>
      <c r="V68" s="409"/>
      <c r="W68" s="434"/>
      <c r="X68" s="434"/>
      <c r="Y68" s="409"/>
      <c r="Z68" s="409"/>
      <c r="AA68" s="409"/>
      <c r="AB68" s="431"/>
    </row>
    <row r="69" spans="1:28" ht="20.25" customHeight="1" x14ac:dyDescent="0.2">
      <c r="A69" s="437"/>
      <c r="B69" s="359" t="s">
        <v>1764</v>
      </c>
      <c r="C69" s="431"/>
      <c r="D69" s="434"/>
      <c r="E69" s="409"/>
      <c r="F69" s="409"/>
      <c r="G69" s="409"/>
      <c r="H69" s="431"/>
      <c r="I69" s="434"/>
      <c r="J69" s="409"/>
      <c r="K69" s="409"/>
      <c r="L69" s="409"/>
      <c r="M69" s="431"/>
      <c r="N69" s="475"/>
      <c r="O69" s="166"/>
      <c r="P69" s="409"/>
      <c r="Q69" s="409"/>
      <c r="R69" s="431"/>
      <c r="S69" s="434"/>
      <c r="T69" s="409"/>
      <c r="U69" s="409"/>
      <c r="V69" s="409"/>
      <c r="W69" s="434"/>
      <c r="X69" s="434"/>
      <c r="Y69" s="409"/>
      <c r="Z69" s="409"/>
      <c r="AA69" s="409"/>
      <c r="AB69" s="431"/>
    </row>
    <row r="70" spans="1:28" ht="18" customHeight="1" x14ac:dyDescent="0.25">
      <c r="A70" s="437"/>
      <c r="B70" s="360" t="s">
        <v>1765</v>
      </c>
      <c r="C70" s="431"/>
      <c r="D70" s="434"/>
      <c r="E70" s="409"/>
      <c r="F70" s="409"/>
      <c r="G70" s="409"/>
      <c r="H70" s="431"/>
      <c r="I70" s="434"/>
      <c r="J70" s="409"/>
      <c r="K70" s="409"/>
      <c r="L70" s="409"/>
      <c r="M70" s="431"/>
      <c r="N70" s="475"/>
      <c r="O70" s="166"/>
      <c r="P70" s="409"/>
      <c r="Q70" s="409"/>
      <c r="R70" s="431"/>
      <c r="S70" s="434"/>
      <c r="T70" s="409"/>
      <c r="U70" s="409"/>
      <c r="V70" s="409"/>
      <c r="W70" s="434"/>
      <c r="X70" s="434"/>
      <c r="Y70" s="409"/>
      <c r="Z70" s="409"/>
      <c r="AA70" s="409"/>
      <c r="AB70" s="431"/>
    </row>
    <row r="71" spans="1:28" ht="18" customHeight="1" x14ac:dyDescent="0.2">
      <c r="A71" s="437"/>
      <c r="B71" s="359" t="s">
        <v>1811</v>
      </c>
      <c r="C71" s="431"/>
      <c r="D71" s="434"/>
      <c r="E71" s="409"/>
      <c r="F71" s="409"/>
      <c r="G71" s="409"/>
      <c r="H71" s="431"/>
      <c r="I71" s="434"/>
      <c r="J71" s="409"/>
      <c r="K71" s="409"/>
      <c r="L71" s="409"/>
      <c r="M71" s="431"/>
      <c r="N71" s="475"/>
      <c r="O71" s="166"/>
      <c r="P71" s="409"/>
      <c r="Q71" s="409"/>
      <c r="R71" s="431"/>
      <c r="S71" s="434"/>
      <c r="T71" s="409"/>
      <c r="U71" s="409"/>
      <c r="V71" s="409"/>
      <c r="W71" s="434"/>
      <c r="X71" s="434"/>
      <c r="Y71" s="409"/>
      <c r="Z71" s="409"/>
      <c r="AA71" s="409"/>
      <c r="AB71" s="431"/>
    </row>
    <row r="72" spans="1:28" ht="18" customHeight="1" x14ac:dyDescent="0.2">
      <c r="A72" s="437"/>
      <c r="B72" s="359" t="s">
        <v>1812</v>
      </c>
      <c r="C72" s="431"/>
      <c r="D72" s="434"/>
      <c r="E72" s="409"/>
      <c r="F72" s="409"/>
      <c r="G72" s="409"/>
      <c r="H72" s="431"/>
      <c r="I72" s="434"/>
      <c r="J72" s="409"/>
      <c r="K72" s="409"/>
      <c r="L72" s="409"/>
      <c r="M72" s="431"/>
      <c r="N72" s="475"/>
      <c r="O72" s="166"/>
      <c r="P72" s="409"/>
      <c r="Q72" s="409"/>
      <c r="R72" s="431"/>
      <c r="S72" s="434"/>
      <c r="T72" s="409"/>
      <c r="U72" s="409"/>
      <c r="V72" s="409"/>
      <c r="W72" s="434"/>
      <c r="X72" s="434"/>
      <c r="Y72" s="409"/>
      <c r="Z72" s="409"/>
      <c r="AA72" s="409"/>
      <c r="AB72" s="431"/>
    </row>
    <row r="73" spans="1:28" ht="18" customHeight="1" x14ac:dyDescent="0.2">
      <c r="A73" s="437"/>
      <c r="B73" s="359" t="s">
        <v>1813</v>
      </c>
      <c r="C73" s="431"/>
      <c r="D73" s="434"/>
      <c r="E73" s="409"/>
      <c r="F73" s="409"/>
      <c r="G73" s="409"/>
      <c r="H73" s="431"/>
      <c r="I73" s="434"/>
      <c r="J73" s="409"/>
      <c r="K73" s="409"/>
      <c r="L73" s="409"/>
      <c r="M73" s="431"/>
      <c r="N73" s="475"/>
      <c r="O73" s="166"/>
      <c r="P73" s="409"/>
      <c r="Q73" s="409"/>
      <c r="R73" s="431"/>
      <c r="S73" s="434"/>
      <c r="T73" s="409"/>
      <c r="U73" s="409"/>
      <c r="V73" s="409"/>
      <c r="W73" s="434"/>
      <c r="X73" s="434"/>
      <c r="Y73" s="409"/>
      <c r="Z73" s="409"/>
      <c r="AA73" s="409"/>
      <c r="AB73" s="431"/>
    </row>
    <row r="74" spans="1:28" ht="20.25" customHeight="1" x14ac:dyDescent="0.2">
      <c r="A74" s="437"/>
      <c r="B74" s="359" t="s">
        <v>1814</v>
      </c>
      <c r="C74" s="431"/>
      <c r="D74" s="434"/>
      <c r="E74" s="409"/>
      <c r="F74" s="409"/>
      <c r="G74" s="409"/>
      <c r="H74" s="431"/>
      <c r="I74" s="434"/>
      <c r="J74" s="409"/>
      <c r="K74" s="409"/>
      <c r="L74" s="409"/>
      <c r="M74" s="431"/>
      <c r="N74" s="475"/>
      <c r="O74" s="166"/>
      <c r="P74" s="409"/>
      <c r="Q74" s="409"/>
      <c r="R74" s="431"/>
      <c r="S74" s="434"/>
      <c r="T74" s="409"/>
      <c r="U74" s="409"/>
      <c r="V74" s="409"/>
      <c r="W74" s="434"/>
      <c r="X74" s="434"/>
      <c r="Y74" s="409"/>
      <c r="Z74" s="409"/>
      <c r="AA74" s="409"/>
      <c r="AB74" s="431"/>
    </row>
    <row r="75" spans="1:28" ht="18" customHeight="1" x14ac:dyDescent="0.2">
      <c r="A75" s="437"/>
      <c r="B75" s="157" t="s">
        <v>863</v>
      </c>
      <c r="C75" s="431"/>
      <c r="D75" s="434"/>
      <c r="E75" s="409"/>
      <c r="F75" s="409"/>
      <c r="G75" s="409"/>
      <c r="H75" s="431"/>
      <c r="I75" s="434"/>
      <c r="J75" s="409"/>
      <c r="K75" s="409"/>
      <c r="L75" s="409"/>
      <c r="M75" s="431"/>
      <c r="N75" s="475"/>
      <c r="O75" s="166"/>
      <c r="P75" s="409"/>
      <c r="Q75" s="409"/>
      <c r="R75" s="431"/>
      <c r="S75" s="434"/>
      <c r="T75" s="409"/>
      <c r="U75" s="409"/>
      <c r="V75" s="409"/>
      <c r="W75" s="434"/>
      <c r="X75" s="434"/>
      <c r="Y75" s="409"/>
      <c r="Z75" s="409"/>
      <c r="AA75" s="409"/>
      <c r="AB75" s="431"/>
    </row>
    <row r="76" spans="1:28" ht="18" customHeight="1" x14ac:dyDescent="0.2">
      <c r="A76" s="437"/>
      <c r="B76" s="159" t="s">
        <v>914</v>
      </c>
      <c r="C76" s="431"/>
      <c r="D76" s="434"/>
      <c r="E76" s="409"/>
      <c r="F76" s="409"/>
      <c r="G76" s="409"/>
      <c r="H76" s="431"/>
      <c r="I76" s="434"/>
      <c r="J76" s="409"/>
      <c r="K76" s="409"/>
      <c r="L76" s="409"/>
      <c r="M76" s="431"/>
      <c r="N76" s="475"/>
      <c r="O76" s="166"/>
      <c r="P76" s="409"/>
      <c r="Q76" s="409"/>
      <c r="R76" s="431"/>
      <c r="S76" s="434"/>
      <c r="T76" s="409"/>
      <c r="U76" s="409"/>
      <c r="V76" s="409"/>
      <c r="W76" s="434"/>
      <c r="X76" s="434"/>
      <c r="Y76" s="409"/>
      <c r="Z76" s="409"/>
      <c r="AA76" s="409"/>
      <c r="AB76" s="431"/>
    </row>
    <row r="77" spans="1:28" ht="18" customHeight="1" x14ac:dyDescent="0.2">
      <c r="A77" s="437"/>
      <c r="B77" s="159" t="s">
        <v>915</v>
      </c>
      <c r="C77" s="431"/>
      <c r="D77" s="434"/>
      <c r="E77" s="409"/>
      <c r="F77" s="409"/>
      <c r="G77" s="409"/>
      <c r="H77" s="431"/>
      <c r="I77" s="434"/>
      <c r="J77" s="409"/>
      <c r="K77" s="409"/>
      <c r="L77" s="409"/>
      <c r="M77" s="431"/>
      <c r="N77" s="475"/>
      <c r="O77" s="166"/>
      <c r="P77" s="409"/>
      <c r="Q77" s="409"/>
      <c r="R77" s="431"/>
      <c r="S77" s="434"/>
      <c r="T77" s="409"/>
      <c r="U77" s="409"/>
      <c r="V77" s="409"/>
      <c r="W77" s="434"/>
      <c r="X77" s="434"/>
      <c r="Y77" s="409"/>
      <c r="Z77" s="409"/>
      <c r="AA77" s="409"/>
      <c r="AB77" s="431"/>
    </row>
    <row r="78" spans="1:28" ht="18" customHeight="1" x14ac:dyDescent="0.2">
      <c r="A78" s="437"/>
      <c r="B78" s="159" t="s">
        <v>916</v>
      </c>
      <c r="C78" s="431"/>
      <c r="D78" s="434"/>
      <c r="E78" s="409"/>
      <c r="F78" s="409"/>
      <c r="G78" s="409"/>
      <c r="H78" s="431"/>
      <c r="I78" s="434"/>
      <c r="J78" s="409"/>
      <c r="K78" s="409"/>
      <c r="L78" s="409"/>
      <c r="M78" s="431"/>
      <c r="N78" s="475"/>
      <c r="O78" s="166"/>
      <c r="P78" s="409"/>
      <c r="Q78" s="409"/>
      <c r="R78" s="431"/>
      <c r="S78" s="434"/>
      <c r="T78" s="409"/>
      <c r="U78" s="409"/>
      <c r="V78" s="409"/>
      <c r="W78" s="434"/>
      <c r="X78" s="434"/>
      <c r="Y78" s="409"/>
      <c r="Z78" s="409"/>
      <c r="AA78" s="409"/>
      <c r="AB78" s="431"/>
    </row>
    <row r="79" spans="1:28" ht="18" customHeight="1" x14ac:dyDescent="0.2">
      <c r="A79" s="437"/>
      <c r="B79" s="159" t="s">
        <v>917</v>
      </c>
      <c r="C79" s="431"/>
      <c r="D79" s="434"/>
      <c r="E79" s="409"/>
      <c r="F79" s="409"/>
      <c r="G79" s="409"/>
      <c r="H79" s="431"/>
      <c r="I79" s="434"/>
      <c r="J79" s="409"/>
      <c r="K79" s="409"/>
      <c r="L79" s="409"/>
      <c r="M79" s="431"/>
      <c r="N79" s="475"/>
      <c r="O79" s="166"/>
      <c r="P79" s="409"/>
      <c r="Q79" s="409"/>
      <c r="R79" s="431"/>
      <c r="S79" s="434"/>
      <c r="T79" s="409"/>
      <c r="U79" s="409"/>
      <c r="V79" s="409"/>
      <c r="W79" s="434"/>
      <c r="X79" s="434"/>
      <c r="Y79" s="409"/>
      <c r="Z79" s="409"/>
      <c r="AA79" s="409"/>
      <c r="AB79" s="431"/>
    </row>
    <row r="80" spans="1:28" ht="18" customHeight="1" x14ac:dyDescent="0.2">
      <c r="A80" s="437"/>
      <c r="B80" s="159" t="s">
        <v>918</v>
      </c>
      <c r="C80" s="431"/>
      <c r="D80" s="434"/>
      <c r="E80" s="409"/>
      <c r="F80" s="409"/>
      <c r="G80" s="409"/>
      <c r="H80" s="431"/>
      <c r="I80" s="434"/>
      <c r="J80" s="409"/>
      <c r="K80" s="409"/>
      <c r="L80" s="409"/>
      <c r="M80" s="431"/>
      <c r="N80" s="475"/>
      <c r="O80" s="166"/>
      <c r="P80" s="409"/>
      <c r="Q80" s="409"/>
      <c r="R80" s="431"/>
      <c r="S80" s="434"/>
      <c r="T80" s="409"/>
      <c r="U80" s="409"/>
      <c r="V80" s="409"/>
      <c r="W80" s="434"/>
      <c r="X80" s="434"/>
      <c r="Y80" s="409"/>
      <c r="Z80" s="409"/>
      <c r="AA80" s="409"/>
      <c r="AB80" s="431"/>
    </row>
    <row r="81" spans="1:28" ht="18" customHeight="1" x14ac:dyDescent="0.2">
      <c r="A81" s="437"/>
      <c r="B81" s="159" t="s">
        <v>919</v>
      </c>
      <c r="C81" s="431"/>
      <c r="D81" s="434"/>
      <c r="E81" s="409"/>
      <c r="F81" s="409"/>
      <c r="G81" s="409"/>
      <c r="H81" s="431"/>
      <c r="I81" s="434"/>
      <c r="J81" s="409"/>
      <c r="K81" s="409"/>
      <c r="L81" s="409"/>
      <c r="M81" s="431"/>
      <c r="N81" s="475"/>
      <c r="O81" s="166"/>
      <c r="P81" s="409"/>
      <c r="Q81" s="409"/>
      <c r="R81" s="431"/>
      <c r="S81" s="434"/>
      <c r="T81" s="409"/>
      <c r="U81" s="409"/>
      <c r="V81" s="409"/>
      <c r="W81" s="434"/>
      <c r="X81" s="434"/>
      <c r="Y81" s="409"/>
      <c r="Z81" s="409"/>
      <c r="AA81" s="409"/>
      <c r="AB81" s="431"/>
    </row>
    <row r="82" spans="1:28" ht="18" customHeight="1" x14ac:dyDescent="0.2">
      <c r="A82" s="437"/>
      <c r="B82" s="159" t="s">
        <v>920</v>
      </c>
      <c r="C82" s="431"/>
      <c r="D82" s="434"/>
      <c r="E82" s="409"/>
      <c r="F82" s="409"/>
      <c r="G82" s="409"/>
      <c r="H82" s="431"/>
      <c r="I82" s="434"/>
      <c r="J82" s="409"/>
      <c r="K82" s="409"/>
      <c r="L82" s="409"/>
      <c r="M82" s="431"/>
      <c r="N82" s="475"/>
      <c r="O82" s="166"/>
      <c r="P82" s="409"/>
      <c r="Q82" s="409"/>
      <c r="R82" s="431"/>
      <c r="S82" s="434"/>
      <c r="T82" s="409"/>
      <c r="U82" s="409"/>
      <c r="V82" s="409"/>
      <c r="W82" s="434"/>
      <c r="X82" s="434"/>
      <c r="Y82" s="409"/>
      <c r="Z82" s="409"/>
      <c r="AA82" s="409"/>
      <c r="AB82" s="431"/>
    </row>
    <row r="83" spans="1:28" ht="18" customHeight="1" x14ac:dyDescent="0.2">
      <c r="A83" s="437"/>
      <c r="B83" s="159" t="s">
        <v>921</v>
      </c>
      <c r="C83" s="431"/>
      <c r="D83" s="434"/>
      <c r="E83" s="409"/>
      <c r="F83" s="409"/>
      <c r="G83" s="409"/>
      <c r="H83" s="431"/>
      <c r="I83" s="434"/>
      <c r="J83" s="409"/>
      <c r="K83" s="409"/>
      <c r="L83" s="409"/>
      <c r="M83" s="431"/>
      <c r="N83" s="475"/>
      <c r="O83" s="166"/>
      <c r="P83" s="409"/>
      <c r="Q83" s="409"/>
      <c r="R83" s="431"/>
      <c r="S83" s="434"/>
      <c r="T83" s="409"/>
      <c r="U83" s="409"/>
      <c r="V83" s="409"/>
      <c r="W83" s="434"/>
      <c r="X83" s="434"/>
      <c r="Y83" s="409"/>
      <c r="Z83" s="409"/>
      <c r="AA83" s="409"/>
      <c r="AB83" s="431"/>
    </row>
    <row r="84" spans="1:28" ht="18" customHeight="1" x14ac:dyDescent="0.2">
      <c r="A84" s="437"/>
      <c r="B84" s="159" t="s">
        <v>922</v>
      </c>
      <c r="C84" s="431"/>
      <c r="D84" s="434"/>
      <c r="E84" s="409"/>
      <c r="F84" s="409"/>
      <c r="G84" s="409"/>
      <c r="H84" s="431"/>
      <c r="I84" s="434"/>
      <c r="J84" s="409"/>
      <c r="K84" s="409"/>
      <c r="L84" s="409"/>
      <c r="M84" s="431"/>
      <c r="N84" s="475"/>
      <c r="O84" s="166"/>
      <c r="P84" s="409"/>
      <c r="Q84" s="409"/>
      <c r="R84" s="431"/>
      <c r="S84" s="434"/>
      <c r="T84" s="409"/>
      <c r="U84" s="409"/>
      <c r="V84" s="409"/>
      <c r="W84" s="434"/>
      <c r="X84" s="434"/>
      <c r="Y84" s="409"/>
      <c r="Z84" s="409"/>
      <c r="AA84" s="409"/>
      <c r="AB84" s="431"/>
    </row>
    <row r="85" spans="1:28" ht="18" customHeight="1" x14ac:dyDescent="0.2">
      <c r="A85" s="437"/>
      <c r="B85" s="159" t="s">
        <v>923</v>
      </c>
      <c r="C85" s="431"/>
      <c r="D85" s="434"/>
      <c r="E85" s="409"/>
      <c r="F85" s="409"/>
      <c r="G85" s="409"/>
      <c r="H85" s="431"/>
      <c r="I85" s="434"/>
      <c r="J85" s="409"/>
      <c r="K85" s="409"/>
      <c r="L85" s="409"/>
      <c r="M85" s="431"/>
      <c r="N85" s="475"/>
      <c r="O85" s="166"/>
      <c r="P85" s="409"/>
      <c r="Q85" s="409"/>
      <c r="R85" s="431"/>
      <c r="S85" s="434"/>
      <c r="T85" s="409"/>
      <c r="U85" s="409"/>
      <c r="V85" s="409"/>
      <c r="W85" s="434"/>
      <c r="X85" s="434"/>
      <c r="Y85" s="409"/>
      <c r="Z85" s="409"/>
      <c r="AA85" s="409"/>
      <c r="AB85" s="431"/>
    </row>
    <row r="86" spans="1:28" ht="18" customHeight="1" x14ac:dyDescent="0.2">
      <c r="A86" s="437"/>
      <c r="B86" s="159" t="s">
        <v>1744</v>
      </c>
      <c r="C86" s="431"/>
      <c r="D86" s="434"/>
      <c r="E86" s="409"/>
      <c r="F86" s="409"/>
      <c r="G86" s="409"/>
      <c r="H86" s="431"/>
      <c r="I86" s="434"/>
      <c r="J86" s="409"/>
      <c r="K86" s="409"/>
      <c r="L86" s="409"/>
      <c r="M86" s="431"/>
      <c r="N86" s="475"/>
      <c r="O86" s="166"/>
      <c r="P86" s="409"/>
      <c r="Q86" s="409"/>
      <c r="R86" s="431"/>
      <c r="S86" s="434"/>
      <c r="T86" s="409"/>
      <c r="U86" s="409"/>
      <c r="V86" s="409"/>
      <c r="W86" s="434"/>
      <c r="X86" s="434"/>
      <c r="Y86" s="409"/>
      <c r="Z86" s="409"/>
      <c r="AA86" s="409"/>
      <c r="AB86" s="431"/>
    </row>
    <row r="87" spans="1:28" ht="18" customHeight="1" x14ac:dyDescent="0.2">
      <c r="A87" s="437"/>
      <c r="B87" s="157" t="s">
        <v>996</v>
      </c>
      <c r="C87" s="431"/>
      <c r="D87" s="434"/>
      <c r="E87" s="409"/>
      <c r="F87" s="409"/>
      <c r="G87" s="409"/>
      <c r="H87" s="431"/>
      <c r="I87" s="434"/>
      <c r="J87" s="409"/>
      <c r="K87" s="409"/>
      <c r="L87" s="409"/>
      <c r="M87" s="431"/>
      <c r="N87" s="475"/>
      <c r="O87" s="166"/>
      <c r="P87" s="409"/>
      <c r="Q87" s="409"/>
      <c r="R87" s="431"/>
      <c r="S87" s="434"/>
      <c r="T87" s="409"/>
      <c r="U87" s="409"/>
      <c r="V87" s="409"/>
      <c r="W87" s="434"/>
      <c r="X87" s="434"/>
      <c r="Y87" s="409"/>
      <c r="Z87" s="409"/>
      <c r="AA87" s="409"/>
      <c r="AB87" s="431"/>
    </row>
    <row r="88" spans="1:28" ht="18" customHeight="1" x14ac:dyDescent="0.2">
      <c r="A88" s="437"/>
      <c r="B88" s="159" t="s">
        <v>924</v>
      </c>
      <c r="C88" s="431"/>
      <c r="D88" s="434"/>
      <c r="E88" s="409"/>
      <c r="F88" s="409"/>
      <c r="G88" s="409"/>
      <c r="H88" s="431"/>
      <c r="I88" s="434"/>
      <c r="J88" s="409"/>
      <c r="K88" s="409"/>
      <c r="L88" s="409"/>
      <c r="M88" s="431"/>
      <c r="N88" s="475"/>
      <c r="O88" s="166"/>
      <c r="P88" s="409"/>
      <c r="Q88" s="409"/>
      <c r="R88" s="431"/>
      <c r="S88" s="434"/>
      <c r="T88" s="409"/>
      <c r="U88" s="409"/>
      <c r="V88" s="409"/>
      <c r="W88" s="434"/>
      <c r="X88" s="434"/>
      <c r="Y88" s="409"/>
      <c r="Z88" s="409"/>
      <c r="AA88" s="409"/>
      <c r="AB88" s="431"/>
    </row>
    <row r="89" spans="1:28" ht="18" customHeight="1" x14ac:dyDescent="0.2">
      <c r="A89" s="437"/>
      <c r="B89" s="159" t="s">
        <v>925</v>
      </c>
      <c r="C89" s="431"/>
      <c r="D89" s="434"/>
      <c r="E89" s="409"/>
      <c r="F89" s="409"/>
      <c r="G89" s="409"/>
      <c r="H89" s="431"/>
      <c r="I89" s="434"/>
      <c r="J89" s="409"/>
      <c r="K89" s="409"/>
      <c r="L89" s="409"/>
      <c r="M89" s="431"/>
      <c r="N89" s="475"/>
      <c r="O89" s="166"/>
      <c r="P89" s="409"/>
      <c r="Q89" s="409"/>
      <c r="R89" s="431"/>
      <c r="S89" s="434"/>
      <c r="T89" s="409"/>
      <c r="U89" s="409"/>
      <c r="V89" s="409"/>
      <c r="W89" s="434"/>
      <c r="X89" s="434"/>
      <c r="Y89" s="409"/>
      <c r="Z89" s="409"/>
      <c r="AA89" s="409"/>
      <c r="AB89" s="431"/>
    </row>
    <row r="90" spans="1:28" ht="31.5" x14ac:dyDescent="0.2">
      <c r="A90" s="437"/>
      <c r="B90" s="159" t="s">
        <v>926</v>
      </c>
      <c r="C90" s="431"/>
      <c r="D90" s="434"/>
      <c r="E90" s="409"/>
      <c r="F90" s="409"/>
      <c r="G90" s="409"/>
      <c r="H90" s="431"/>
      <c r="I90" s="434"/>
      <c r="J90" s="409"/>
      <c r="K90" s="409"/>
      <c r="L90" s="409"/>
      <c r="M90" s="431"/>
      <c r="N90" s="475"/>
      <c r="O90" s="166"/>
      <c r="P90" s="409"/>
      <c r="Q90" s="409"/>
      <c r="R90" s="431"/>
      <c r="S90" s="434"/>
      <c r="T90" s="409"/>
      <c r="U90" s="409"/>
      <c r="V90" s="409"/>
      <c r="W90" s="434"/>
      <c r="X90" s="434"/>
      <c r="Y90" s="409"/>
      <c r="Z90" s="409"/>
      <c r="AA90" s="409"/>
      <c r="AB90" s="431"/>
    </row>
    <row r="91" spans="1:28" ht="18" customHeight="1" x14ac:dyDescent="0.2">
      <c r="A91" s="437"/>
      <c r="B91" s="159" t="s">
        <v>927</v>
      </c>
      <c r="C91" s="431"/>
      <c r="D91" s="434"/>
      <c r="E91" s="409"/>
      <c r="F91" s="409"/>
      <c r="G91" s="409"/>
      <c r="H91" s="431"/>
      <c r="I91" s="434"/>
      <c r="J91" s="409"/>
      <c r="K91" s="409"/>
      <c r="L91" s="409"/>
      <c r="M91" s="431"/>
      <c r="N91" s="475"/>
      <c r="O91" s="166"/>
      <c r="P91" s="409"/>
      <c r="Q91" s="409"/>
      <c r="R91" s="431"/>
      <c r="S91" s="434"/>
      <c r="T91" s="409"/>
      <c r="U91" s="409"/>
      <c r="V91" s="409"/>
      <c r="W91" s="434"/>
      <c r="X91" s="434"/>
      <c r="Y91" s="409"/>
      <c r="Z91" s="409"/>
      <c r="AA91" s="409"/>
      <c r="AB91" s="431"/>
    </row>
    <row r="92" spans="1:28" ht="18" customHeight="1" x14ac:dyDescent="0.2">
      <c r="A92" s="437"/>
      <c r="B92" s="159" t="s">
        <v>928</v>
      </c>
      <c r="C92" s="431"/>
      <c r="D92" s="434"/>
      <c r="E92" s="409"/>
      <c r="F92" s="409"/>
      <c r="G92" s="409"/>
      <c r="H92" s="431"/>
      <c r="I92" s="434"/>
      <c r="J92" s="409"/>
      <c r="K92" s="409"/>
      <c r="L92" s="409"/>
      <c r="M92" s="431"/>
      <c r="N92" s="475"/>
      <c r="O92" s="166"/>
      <c r="P92" s="409"/>
      <c r="Q92" s="409"/>
      <c r="R92" s="431"/>
      <c r="S92" s="434"/>
      <c r="T92" s="409"/>
      <c r="U92" s="409"/>
      <c r="V92" s="409"/>
      <c r="W92" s="434"/>
      <c r="X92" s="434"/>
      <c r="Y92" s="409"/>
      <c r="Z92" s="409"/>
      <c r="AA92" s="409"/>
      <c r="AB92" s="431"/>
    </row>
    <row r="93" spans="1:28" ht="18" customHeight="1" x14ac:dyDescent="0.2">
      <c r="A93" s="437"/>
      <c r="B93" s="159" t="s">
        <v>929</v>
      </c>
      <c r="C93" s="431"/>
      <c r="D93" s="434"/>
      <c r="E93" s="409"/>
      <c r="F93" s="409"/>
      <c r="G93" s="409"/>
      <c r="H93" s="431"/>
      <c r="I93" s="434"/>
      <c r="J93" s="409"/>
      <c r="K93" s="409"/>
      <c r="L93" s="409"/>
      <c r="M93" s="431"/>
      <c r="N93" s="475"/>
      <c r="O93" s="166"/>
      <c r="P93" s="409"/>
      <c r="Q93" s="409"/>
      <c r="R93" s="431"/>
      <c r="S93" s="434"/>
      <c r="T93" s="409"/>
      <c r="U93" s="409"/>
      <c r="V93" s="409"/>
      <c r="W93" s="434"/>
      <c r="X93" s="434"/>
      <c r="Y93" s="409"/>
      <c r="Z93" s="409"/>
      <c r="AA93" s="409"/>
      <c r="AB93" s="431"/>
    </row>
    <row r="94" spans="1:28" ht="18" customHeight="1" x14ac:dyDescent="0.2">
      <c r="A94" s="437"/>
      <c r="B94" s="159" t="s">
        <v>930</v>
      </c>
      <c r="C94" s="431"/>
      <c r="D94" s="434"/>
      <c r="E94" s="409"/>
      <c r="F94" s="409"/>
      <c r="G94" s="409"/>
      <c r="H94" s="431"/>
      <c r="I94" s="434"/>
      <c r="J94" s="409"/>
      <c r="K94" s="409"/>
      <c r="L94" s="409"/>
      <c r="M94" s="431"/>
      <c r="N94" s="475"/>
      <c r="O94" s="166"/>
      <c r="P94" s="409"/>
      <c r="Q94" s="409"/>
      <c r="R94" s="431"/>
      <c r="S94" s="434"/>
      <c r="T94" s="409"/>
      <c r="U94" s="409"/>
      <c r="V94" s="409"/>
      <c r="W94" s="434"/>
      <c r="X94" s="434"/>
      <c r="Y94" s="409"/>
      <c r="Z94" s="409"/>
      <c r="AA94" s="409"/>
      <c r="AB94" s="431"/>
    </row>
    <row r="95" spans="1:28" ht="18" customHeight="1" x14ac:dyDescent="0.2">
      <c r="A95" s="437"/>
      <c r="B95" s="159" t="s">
        <v>931</v>
      </c>
      <c r="C95" s="431"/>
      <c r="D95" s="434"/>
      <c r="E95" s="409"/>
      <c r="F95" s="409"/>
      <c r="G95" s="409"/>
      <c r="H95" s="431"/>
      <c r="I95" s="434"/>
      <c r="J95" s="409"/>
      <c r="K95" s="409"/>
      <c r="L95" s="409"/>
      <c r="M95" s="431"/>
      <c r="N95" s="475"/>
      <c r="O95" s="166"/>
      <c r="P95" s="409"/>
      <c r="Q95" s="409"/>
      <c r="R95" s="431"/>
      <c r="S95" s="434"/>
      <c r="T95" s="409"/>
      <c r="U95" s="409"/>
      <c r="V95" s="409"/>
      <c r="W95" s="434"/>
      <c r="X95" s="434"/>
      <c r="Y95" s="409"/>
      <c r="Z95" s="409"/>
      <c r="AA95" s="409"/>
      <c r="AB95" s="431"/>
    </row>
    <row r="96" spans="1:28" ht="18" customHeight="1" x14ac:dyDescent="0.2">
      <c r="A96" s="437"/>
      <c r="B96" s="159" t="s">
        <v>932</v>
      </c>
      <c r="C96" s="431"/>
      <c r="D96" s="434"/>
      <c r="E96" s="409"/>
      <c r="F96" s="409"/>
      <c r="G96" s="409"/>
      <c r="H96" s="431"/>
      <c r="I96" s="434"/>
      <c r="J96" s="409"/>
      <c r="K96" s="409"/>
      <c r="L96" s="409"/>
      <c r="M96" s="431"/>
      <c r="N96" s="475"/>
      <c r="O96" s="166"/>
      <c r="P96" s="409"/>
      <c r="Q96" s="409"/>
      <c r="R96" s="431"/>
      <c r="S96" s="434"/>
      <c r="T96" s="409"/>
      <c r="U96" s="409"/>
      <c r="V96" s="409"/>
      <c r="W96" s="434"/>
      <c r="X96" s="434"/>
      <c r="Y96" s="409"/>
      <c r="Z96" s="409"/>
      <c r="AA96" s="409"/>
      <c r="AB96" s="431"/>
    </row>
    <row r="97" spans="1:28" ht="31.5" x14ac:dyDescent="0.2">
      <c r="A97" s="437"/>
      <c r="B97" s="159" t="s">
        <v>933</v>
      </c>
      <c r="C97" s="431"/>
      <c r="D97" s="434"/>
      <c r="E97" s="409"/>
      <c r="F97" s="409"/>
      <c r="G97" s="409"/>
      <c r="H97" s="431"/>
      <c r="I97" s="434"/>
      <c r="J97" s="409"/>
      <c r="K97" s="409"/>
      <c r="L97" s="409"/>
      <c r="M97" s="431"/>
      <c r="N97" s="475"/>
      <c r="O97" s="166"/>
      <c r="P97" s="409"/>
      <c r="Q97" s="409"/>
      <c r="R97" s="431"/>
      <c r="S97" s="434"/>
      <c r="T97" s="409"/>
      <c r="U97" s="409"/>
      <c r="V97" s="409"/>
      <c r="W97" s="434"/>
      <c r="X97" s="434"/>
      <c r="Y97" s="409"/>
      <c r="Z97" s="409"/>
      <c r="AA97" s="409"/>
      <c r="AB97" s="431"/>
    </row>
    <row r="98" spans="1:28" ht="18" customHeight="1" x14ac:dyDescent="0.2">
      <c r="A98" s="437"/>
      <c r="B98" s="159" t="s">
        <v>934</v>
      </c>
      <c r="C98" s="431"/>
      <c r="D98" s="434"/>
      <c r="E98" s="409"/>
      <c r="F98" s="409"/>
      <c r="G98" s="409"/>
      <c r="H98" s="431"/>
      <c r="I98" s="434"/>
      <c r="J98" s="409"/>
      <c r="K98" s="409"/>
      <c r="L98" s="409"/>
      <c r="M98" s="431"/>
      <c r="N98" s="475"/>
      <c r="O98" s="166"/>
      <c r="P98" s="409"/>
      <c r="Q98" s="409"/>
      <c r="R98" s="431"/>
      <c r="S98" s="434"/>
      <c r="T98" s="409"/>
      <c r="U98" s="409"/>
      <c r="V98" s="409"/>
      <c r="W98" s="434"/>
      <c r="X98" s="434"/>
      <c r="Y98" s="409"/>
      <c r="Z98" s="409"/>
      <c r="AA98" s="409"/>
      <c r="AB98" s="431"/>
    </row>
    <row r="99" spans="1:28" ht="21.75" customHeight="1" x14ac:dyDescent="0.2">
      <c r="A99" s="438"/>
      <c r="B99" s="164" t="s">
        <v>935</v>
      </c>
      <c r="C99" s="432"/>
      <c r="D99" s="435"/>
      <c r="E99" s="409"/>
      <c r="F99" s="409"/>
      <c r="G99" s="409"/>
      <c r="H99" s="432"/>
      <c r="I99" s="435"/>
      <c r="J99" s="409"/>
      <c r="K99" s="409"/>
      <c r="L99" s="409"/>
      <c r="M99" s="432"/>
      <c r="N99" s="478"/>
      <c r="O99" s="166"/>
      <c r="P99" s="409"/>
      <c r="Q99" s="409"/>
      <c r="R99" s="432"/>
      <c r="S99" s="435"/>
      <c r="T99" s="409"/>
      <c r="U99" s="409"/>
      <c r="V99" s="409"/>
      <c r="W99" s="435"/>
      <c r="X99" s="435"/>
      <c r="Y99" s="409"/>
      <c r="Z99" s="409"/>
      <c r="AA99" s="409"/>
      <c r="AB99" s="432"/>
    </row>
    <row r="100" spans="1:28" ht="15" customHeight="1" x14ac:dyDescent="0.2">
      <c r="A100" s="436" t="s">
        <v>1063</v>
      </c>
      <c r="B100" s="154" t="s">
        <v>977</v>
      </c>
      <c r="C100" s="430">
        <f>D100+E100+F100+G100</f>
        <v>1020</v>
      </c>
      <c r="D100" s="433">
        <v>1020</v>
      </c>
      <c r="E100" s="156">
        <v>0</v>
      </c>
      <c r="F100" s="156">
        <v>0</v>
      </c>
      <c r="G100" s="156">
        <v>0</v>
      </c>
      <c r="H100" s="430">
        <f>I100</f>
        <v>1570</v>
      </c>
      <c r="I100" s="433">
        <f>1286+283+1</f>
        <v>1570</v>
      </c>
      <c r="J100" s="156">
        <v>0</v>
      </c>
      <c r="K100" s="156">
        <v>0</v>
      </c>
      <c r="L100" s="156">
        <v>0</v>
      </c>
      <c r="M100" s="439">
        <f>N100</f>
        <v>838</v>
      </c>
      <c r="N100" s="442">
        <f>94+838-94</f>
        <v>838</v>
      </c>
      <c r="O100" s="156">
        <v>0</v>
      </c>
      <c r="P100" s="156">
        <v>0</v>
      </c>
      <c r="Q100" s="156">
        <v>0</v>
      </c>
      <c r="R100" s="430">
        <f>S100</f>
        <v>14338</v>
      </c>
      <c r="S100" s="433">
        <v>14338</v>
      </c>
      <c r="T100" s="156">
        <v>0</v>
      </c>
      <c r="U100" s="156">
        <v>0</v>
      </c>
      <c r="V100" s="156">
        <v>0</v>
      </c>
      <c r="W100" s="430">
        <f>X100</f>
        <v>632</v>
      </c>
      <c r="X100" s="433">
        <v>632</v>
      </c>
      <c r="Y100" s="156">
        <v>0</v>
      </c>
      <c r="Z100" s="156">
        <v>0</v>
      </c>
      <c r="AA100" s="156">
        <v>0</v>
      </c>
      <c r="AB100" s="430">
        <f>C100+H100+M100+R100+W100</f>
        <v>18398</v>
      </c>
    </row>
    <row r="101" spans="1:28" ht="21" customHeight="1" x14ac:dyDescent="0.2">
      <c r="A101" s="437"/>
      <c r="B101" s="161" t="s">
        <v>972</v>
      </c>
      <c r="C101" s="431"/>
      <c r="D101" s="434"/>
      <c r="E101" s="156"/>
      <c r="F101" s="156"/>
      <c r="G101" s="156"/>
      <c r="H101" s="431"/>
      <c r="I101" s="434"/>
      <c r="J101" s="156"/>
      <c r="K101" s="156"/>
      <c r="L101" s="156"/>
      <c r="M101" s="440"/>
      <c r="N101" s="443"/>
      <c r="O101" s="156"/>
      <c r="P101" s="156"/>
      <c r="Q101" s="156"/>
      <c r="R101" s="431"/>
      <c r="S101" s="434"/>
      <c r="T101" s="156"/>
      <c r="U101" s="156"/>
      <c r="V101" s="156"/>
      <c r="W101" s="431"/>
      <c r="X101" s="434"/>
      <c r="Y101" s="156"/>
      <c r="Z101" s="156"/>
      <c r="AA101" s="156"/>
      <c r="AB101" s="431"/>
    </row>
    <row r="102" spans="1:28" ht="16.5" customHeight="1" x14ac:dyDescent="0.2">
      <c r="A102" s="437"/>
      <c r="B102" s="160" t="s">
        <v>850</v>
      </c>
      <c r="C102" s="431"/>
      <c r="D102" s="434"/>
      <c r="E102" s="156"/>
      <c r="F102" s="156"/>
      <c r="G102" s="156"/>
      <c r="H102" s="431"/>
      <c r="I102" s="434"/>
      <c r="J102" s="156"/>
      <c r="K102" s="156"/>
      <c r="L102" s="156"/>
      <c r="M102" s="440"/>
      <c r="N102" s="443"/>
      <c r="O102" s="156"/>
      <c r="P102" s="156"/>
      <c r="Q102" s="156"/>
      <c r="R102" s="431"/>
      <c r="S102" s="434"/>
      <c r="T102" s="156"/>
      <c r="U102" s="156"/>
      <c r="V102" s="156"/>
      <c r="W102" s="431"/>
      <c r="X102" s="434"/>
      <c r="Y102" s="156"/>
      <c r="Z102" s="156"/>
      <c r="AA102" s="156"/>
      <c r="AB102" s="431"/>
    </row>
    <row r="103" spans="1:28" ht="16.5" customHeight="1" x14ac:dyDescent="0.2">
      <c r="A103" s="437"/>
      <c r="B103" s="159" t="s">
        <v>571</v>
      </c>
      <c r="C103" s="431"/>
      <c r="D103" s="434"/>
      <c r="E103" s="156"/>
      <c r="F103" s="156"/>
      <c r="G103" s="156"/>
      <c r="H103" s="431"/>
      <c r="I103" s="434"/>
      <c r="J103" s="156"/>
      <c r="K103" s="156"/>
      <c r="L103" s="156"/>
      <c r="M103" s="440"/>
      <c r="N103" s="443"/>
      <c r="O103" s="156"/>
      <c r="P103" s="156"/>
      <c r="Q103" s="156"/>
      <c r="R103" s="431"/>
      <c r="S103" s="434"/>
      <c r="T103" s="156"/>
      <c r="U103" s="156"/>
      <c r="V103" s="156"/>
      <c r="W103" s="431"/>
      <c r="X103" s="434"/>
      <c r="Y103" s="156"/>
      <c r="Z103" s="156"/>
      <c r="AA103" s="156"/>
      <c r="AB103" s="431"/>
    </row>
    <row r="104" spans="1:28" ht="18" customHeight="1" x14ac:dyDescent="0.2">
      <c r="A104" s="437"/>
      <c r="B104" s="160" t="s">
        <v>779</v>
      </c>
      <c r="C104" s="431"/>
      <c r="D104" s="434"/>
      <c r="E104" s="162"/>
      <c r="F104" s="162"/>
      <c r="G104" s="162"/>
      <c r="H104" s="431"/>
      <c r="I104" s="434"/>
      <c r="J104" s="162"/>
      <c r="K104" s="162"/>
      <c r="L104" s="162"/>
      <c r="M104" s="440"/>
      <c r="N104" s="443"/>
      <c r="O104" s="162"/>
      <c r="P104" s="162"/>
      <c r="Q104" s="162"/>
      <c r="R104" s="431"/>
      <c r="S104" s="434"/>
      <c r="T104" s="162"/>
      <c r="U104" s="162"/>
      <c r="V104" s="162"/>
      <c r="W104" s="431"/>
      <c r="X104" s="434"/>
      <c r="Y104" s="162"/>
      <c r="Z104" s="162"/>
      <c r="AA104" s="162"/>
      <c r="AB104" s="431"/>
    </row>
    <row r="105" spans="1:28" ht="18" customHeight="1" x14ac:dyDescent="0.2">
      <c r="A105" s="437"/>
      <c r="B105" s="161" t="s">
        <v>776</v>
      </c>
      <c r="C105" s="431"/>
      <c r="D105" s="434"/>
      <c r="E105" s="156"/>
      <c r="F105" s="156"/>
      <c r="G105" s="156"/>
      <c r="H105" s="431"/>
      <c r="I105" s="434"/>
      <c r="J105" s="156"/>
      <c r="K105" s="156"/>
      <c r="L105" s="156"/>
      <c r="M105" s="440"/>
      <c r="N105" s="443"/>
      <c r="O105" s="156"/>
      <c r="P105" s="156"/>
      <c r="Q105" s="156"/>
      <c r="R105" s="431"/>
      <c r="S105" s="434"/>
      <c r="T105" s="156"/>
      <c r="U105" s="156"/>
      <c r="V105" s="156"/>
      <c r="W105" s="431"/>
      <c r="X105" s="434"/>
      <c r="Y105" s="156"/>
      <c r="Z105" s="156"/>
      <c r="AA105" s="156"/>
      <c r="AB105" s="431"/>
    </row>
    <row r="106" spans="1:28" ht="18" customHeight="1" x14ac:dyDescent="0.2">
      <c r="A106" s="437"/>
      <c r="B106" s="160" t="s">
        <v>1641</v>
      </c>
      <c r="C106" s="431"/>
      <c r="D106" s="434"/>
      <c r="E106" s="156"/>
      <c r="F106" s="156"/>
      <c r="G106" s="156"/>
      <c r="H106" s="431"/>
      <c r="I106" s="434"/>
      <c r="J106" s="156"/>
      <c r="K106" s="156"/>
      <c r="L106" s="156"/>
      <c r="M106" s="440"/>
      <c r="N106" s="443"/>
      <c r="O106" s="156"/>
      <c r="P106" s="156"/>
      <c r="Q106" s="156"/>
      <c r="R106" s="431"/>
      <c r="S106" s="434"/>
      <c r="T106" s="156"/>
      <c r="U106" s="156"/>
      <c r="V106" s="156"/>
      <c r="W106" s="431"/>
      <c r="X106" s="434"/>
      <c r="Y106" s="156"/>
      <c r="Z106" s="156"/>
      <c r="AA106" s="156"/>
      <c r="AB106" s="431"/>
    </row>
    <row r="107" spans="1:28" ht="18" customHeight="1" x14ac:dyDescent="0.2">
      <c r="A107" s="437"/>
      <c r="B107" s="160" t="s">
        <v>571</v>
      </c>
      <c r="C107" s="431"/>
      <c r="D107" s="434"/>
      <c r="E107" s="156"/>
      <c r="F107" s="156"/>
      <c r="G107" s="156"/>
      <c r="H107" s="431"/>
      <c r="I107" s="434"/>
      <c r="J107" s="156"/>
      <c r="K107" s="156"/>
      <c r="L107" s="156"/>
      <c r="M107" s="440"/>
      <c r="N107" s="443"/>
      <c r="O107" s="156"/>
      <c r="P107" s="156"/>
      <c r="Q107" s="156"/>
      <c r="R107" s="431"/>
      <c r="S107" s="434"/>
      <c r="T107" s="156"/>
      <c r="U107" s="156"/>
      <c r="V107" s="156"/>
      <c r="W107" s="431"/>
      <c r="X107" s="434"/>
      <c r="Y107" s="156"/>
      <c r="Z107" s="156"/>
      <c r="AA107" s="156"/>
      <c r="AB107" s="431"/>
    </row>
    <row r="108" spans="1:28" ht="18" customHeight="1" x14ac:dyDescent="0.2">
      <c r="A108" s="437"/>
      <c r="B108" s="160" t="s">
        <v>779</v>
      </c>
      <c r="C108" s="431"/>
      <c r="D108" s="434"/>
      <c r="E108" s="156"/>
      <c r="F108" s="156"/>
      <c r="G108" s="156"/>
      <c r="H108" s="431"/>
      <c r="I108" s="434"/>
      <c r="J108" s="156"/>
      <c r="K108" s="156"/>
      <c r="L108" s="156"/>
      <c r="M108" s="440"/>
      <c r="N108" s="443"/>
      <c r="O108" s="156"/>
      <c r="P108" s="156"/>
      <c r="Q108" s="156"/>
      <c r="R108" s="431"/>
      <c r="S108" s="434"/>
      <c r="T108" s="156"/>
      <c r="U108" s="156"/>
      <c r="V108" s="156"/>
      <c r="W108" s="431"/>
      <c r="X108" s="434"/>
      <c r="Y108" s="156"/>
      <c r="Z108" s="156"/>
      <c r="AA108" s="156"/>
      <c r="AB108" s="431"/>
    </row>
    <row r="109" spans="1:28" ht="18" customHeight="1" x14ac:dyDescent="0.2">
      <c r="A109" s="437"/>
      <c r="B109" s="161" t="s">
        <v>863</v>
      </c>
      <c r="C109" s="431"/>
      <c r="D109" s="434"/>
      <c r="E109" s="156"/>
      <c r="F109" s="156"/>
      <c r="G109" s="156"/>
      <c r="H109" s="431"/>
      <c r="I109" s="434"/>
      <c r="J109" s="156"/>
      <c r="K109" s="156"/>
      <c r="L109" s="156"/>
      <c r="M109" s="440"/>
      <c r="N109" s="443"/>
      <c r="O109" s="156"/>
      <c r="P109" s="156"/>
      <c r="Q109" s="156"/>
      <c r="R109" s="431"/>
      <c r="S109" s="434"/>
      <c r="T109" s="156"/>
      <c r="U109" s="156"/>
      <c r="V109" s="156"/>
      <c r="W109" s="431"/>
      <c r="X109" s="434"/>
      <c r="Y109" s="156"/>
      <c r="Z109" s="156"/>
      <c r="AA109" s="156"/>
      <c r="AB109" s="431"/>
    </row>
    <row r="110" spans="1:28" ht="18" customHeight="1" x14ac:dyDescent="0.2">
      <c r="A110" s="437"/>
      <c r="B110" s="160" t="s">
        <v>897</v>
      </c>
      <c r="C110" s="431"/>
      <c r="D110" s="434"/>
      <c r="E110" s="156"/>
      <c r="F110" s="156"/>
      <c r="G110" s="156"/>
      <c r="H110" s="431"/>
      <c r="I110" s="434"/>
      <c r="J110" s="156"/>
      <c r="K110" s="156"/>
      <c r="L110" s="156"/>
      <c r="M110" s="440"/>
      <c r="N110" s="443"/>
      <c r="O110" s="156"/>
      <c r="P110" s="156"/>
      <c r="Q110" s="156"/>
      <c r="R110" s="431"/>
      <c r="S110" s="434"/>
      <c r="T110" s="156"/>
      <c r="U110" s="156"/>
      <c r="V110" s="156"/>
      <c r="W110" s="431"/>
      <c r="X110" s="434"/>
      <c r="Y110" s="156"/>
      <c r="Z110" s="156"/>
      <c r="AA110" s="156"/>
      <c r="AB110" s="431"/>
    </row>
    <row r="111" spans="1:28" ht="18" customHeight="1" x14ac:dyDescent="0.2">
      <c r="A111" s="437"/>
      <c r="B111" s="160" t="s">
        <v>898</v>
      </c>
      <c r="C111" s="431"/>
      <c r="D111" s="434"/>
      <c r="E111" s="156"/>
      <c r="F111" s="156"/>
      <c r="G111" s="156"/>
      <c r="H111" s="431"/>
      <c r="I111" s="434"/>
      <c r="J111" s="156"/>
      <c r="K111" s="156"/>
      <c r="L111" s="156"/>
      <c r="M111" s="440"/>
      <c r="N111" s="443"/>
      <c r="O111" s="156"/>
      <c r="P111" s="156"/>
      <c r="Q111" s="156"/>
      <c r="R111" s="431"/>
      <c r="S111" s="434"/>
      <c r="T111" s="156"/>
      <c r="U111" s="156"/>
      <c r="V111" s="156"/>
      <c r="W111" s="431"/>
      <c r="X111" s="434"/>
      <c r="Y111" s="156"/>
      <c r="Z111" s="156"/>
      <c r="AA111" s="156"/>
      <c r="AB111" s="431"/>
    </row>
    <row r="112" spans="1:28" ht="18" customHeight="1" x14ac:dyDescent="0.2">
      <c r="A112" s="437"/>
      <c r="B112" s="160" t="s">
        <v>901</v>
      </c>
      <c r="C112" s="431"/>
      <c r="D112" s="434"/>
      <c r="E112" s="156"/>
      <c r="F112" s="156"/>
      <c r="G112" s="156"/>
      <c r="H112" s="431"/>
      <c r="I112" s="434"/>
      <c r="J112" s="156"/>
      <c r="K112" s="156"/>
      <c r="L112" s="156"/>
      <c r="M112" s="440"/>
      <c r="N112" s="443"/>
      <c r="O112" s="156"/>
      <c r="P112" s="156"/>
      <c r="Q112" s="156"/>
      <c r="R112" s="431"/>
      <c r="S112" s="434"/>
      <c r="T112" s="156"/>
      <c r="U112" s="156"/>
      <c r="V112" s="156"/>
      <c r="W112" s="431"/>
      <c r="X112" s="434"/>
      <c r="Y112" s="156"/>
      <c r="Z112" s="156"/>
      <c r="AA112" s="156"/>
      <c r="AB112" s="431"/>
    </row>
    <row r="113" spans="1:28" ht="18" customHeight="1" x14ac:dyDescent="0.2">
      <c r="A113" s="437"/>
      <c r="B113" s="160" t="s">
        <v>902</v>
      </c>
      <c r="C113" s="431"/>
      <c r="D113" s="434"/>
      <c r="E113" s="156"/>
      <c r="F113" s="156"/>
      <c r="G113" s="156"/>
      <c r="H113" s="431"/>
      <c r="I113" s="434"/>
      <c r="J113" s="156"/>
      <c r="K113" s="156"/>
      <c r="L113" s="156"/>
      <c r="M113" s="440"/>
      <c r="N113" s="443"/>
      <c r="O113" s="156"/>
      <c r="P113" s="156"/>
      <c r="Q113" s="156"/>
      <c r="R113" s="431"/>
      <c r="S113" s="434"/>
      <c r="T113" s="156"/>
      <c r="U113" s="156"/>
      <c r="V113" s="156"/>
      <c r="W113" s="431"/>
      <c r="X113" s="434"/>
      <c r="Y113" s="156"/>
      <c r="Z113" s="156"/>
      <c r="AA113" s="156"/>
      <c r="AB113" s="431"/>
    </row>
    <row r="114" spans="1:28" ht="18" customHeight="1" x14ac:dyDescent="0.2">
      <c r="A114" s="445"/>
      <c r="B114" s="159" t="s">
        <v>903</v>
      </c>
      <c r="C114" s="431"/>
      <c r="D114" s="434"/>
      <c r="E114" s="156"/>
      <c r="F114" s="156"/>
      <c r="G114" s="156"/>
      <c r="H114" s="431"/>
      <c r="I114" s="434"/>
      <c r="J114" s="156"/>
      <c r="K114" s="156"/>
      <c r="L114" s="156"/>
      <c r="M114" s="440"/>
      <c r="N114" s="443"/>
      <c r="O114" s="156"/>
      <c r="P114" s="156"/>
      <c r="Q114" s="156"/>
      <c r="R114" s="431"/>
      <c r="S114" s="434"/>
      <c r="T114" s="156"/>
      <c r="U114" s="156"/>
      <c r="V114" s="156"/>
      <c r="W114" s="431"/>
      <c r="X114" s="434"/>
      <c r="Y114" s="156"/>
      <c r="Z114" s="156"/>
      <c r="AA114" s="156"/>
      <c r="AB114" s="431"/>
    </row>
    <row r="115" spans="1:28" ht="18" customHeight="1" x14ac:dyDescent="0.2">
      <c r="A115" s="437"/>
      <c r="B115" s="161" t="s">
        <v>996</v>
      </c>
      <c r="C115" s="431"/>
      <c r="D115" s="434"/>
      <c r="E115" s="156"/>
      <c r="F115" s="156"/>
      <c r="G115" s="156"/>
      <c r="H115" s="431"/>
      <c r="I115" s="434"/>
      <c r="J115" s="156"/>
      <c r="K115" s="156"/>
      <c r="L115" s="156"/>
      <c r="M115" s="440"/>
      <c r="N115" s="443"/>
      <c r="O115" s="156"/>
      <c r="P115" s="156"/>
      <c r="Q115" s="156"/>
      <c r="R115" s="431"/>
      <c r="S115" s="434"/>
      <c r="T115" s="156"/>
      <c r="U115" s="156"/>
      <c r="V115" s="156"/>
      <c r="W115" s="431"/>
      <c r="X115" s="434"/>
      <c r="Y115" s="156"/>
      <c r="Z115" s="156"/>
      <c r="AA115" s="156"/>
      <c r="AB115" s="431"/>
    </row>
    <row r="116" spans="1:28" ht="18" customHeight="1" x14ac:dyDescent="0.2">
      <c r="A116" s="437"/>
      <c r="B116" s="160" t="s">
        <v>899</v>
      </c>
      <c r="C116" s="431"/>
      <c r="D116" s="434"/>
      <c r="E116" s="156"/>
      <c r="F116" s="156"/>
      <c r="G116" s="156"/>
      <c r="H116" s="431"/>
      <c r="I116" s="434"/>
      <c r="J116" s="156"/>
      <c r="K116" s="156"/>
      <c r="L116" s="156"/>
      <c r="M116" s="440"/>
      <c r="N116" s="443"/>
      <c r="O116" s="156"/>
      <c r="P116" s="156"/>
      <c r="Q116" s="156"/>
      <c r="R116" s="431"/>
      <c r="S116" s="434"/>
      <c r="T116" s="156"/>
      <c r="U116" s="156"/>
      <c r="V116" s="156"/>
      <c r="W116" s="431"/>
      <c r="X116" s="434"/>
      <c r="Y116" s="156"/>
      <c r="Z116" s="156"/>
      <c r="AA116" s="156"/>
      <c r="AB116" s="431"/>
    </row>
    <row r="117" spans="1:28" ht="18" customHeight="1" x14ac:dyDescent="0.2">
      <c r="A117" s="438"/>
      <c r="B117" s="164" t="s">
        <v>900</v>
      </c>
      <c r="C117" s="432"/>
      <c r="D117" s="435"/>
      <c r="E117" s="156"/>
      <c r="F117" s="156"/>
      <c r="G117" s="156"/>
      <c r="H117" s="432"/>
      <c r="I117" s="435"/>
      <c r="J117" s="156"/>
      <c r="K117" s="156"/>
      <c r="L117" s="156"/>
      <c r="M117" s="441"/>
      <c r="N117" s="444"/>
      <c r="O117" s="156"/>
      <c r="P117" s="156"/>
      <c r="Q117" s="156"/>
      <c r="R117" s="432"/>
      <c r="S117" s="435"/>
      <c r="T117" s="156"/>
      <c r="U117" s="156"/>
      <c r="V117" s="156"/>
      <c r="W117" s="432"/>
      <c r="X117" s="435"/>
      <c r="Y117" s="156"/>
      <c r="Z117" s="156"/>
      <c r="AA117" s="156"/>
      <c r="AB117" s="432"/>
    </row>
    <row r="118" spans="1:28" ht="15" customHeight="1" x14ac:dyDescent="0.2">
      <c r="A118" s="436" t="s">
        <v>1064</v>
      </c>
      <c r="B118" s="167" t="s">
        <v>431</v>
      </c>
      <c r="C118" s="430">
        <f>D118+E118+F118+G118</f>
        <v>8411</v>
      </c>
      <c r="D118" s="433">
        <v>8411</v>
      </c>
      <c r="E118" s="409">
        <v>0</v>
      </c>
      <c r="F118" s="409">
        <v>0</v>
      </c>
      <c r="G118" s="409">
        <v>0</v>
      </c>
      <c r="H118" s="430">
        <f>I118+J118+K118+L118</f>
        <v>3081</v>
      </c>
      <c r="I118" s="433">
        <f>7310-5219+841+153-4</f>
        <v>3081</v>
      </c>
      <c r="J118" s="409">
        <v>0</v>
      </c>
      <c r="K118" s="409">
        <v>0</v>
      </c>
      <c r="L118" s="409">
        <v>0</v>
      </c>
      <c r="M118" s="439">
        <f>N118</f>
        <v>5820</v>
      </c>
      <c r="N118" s="442">
        <f>8219-6307+105+772-157-71+3259</f>
        <v>5820</v>
      </c>
      <c r="O118" s="409">
        <v>0</v>
      </c>
      <c r="P118" s="409">
        <v>0</v>
      </c>
      <c r="Q118" s="409">
        <v>0</v>
      </c>
      <c r="R118" s="430">
        <f>S118</f>
        <v>0</v>
      </c>
      <c r="S118" s="433">
        <v>0</v>
      </c>
      <c r="T118" s="409">
        <v>0</v>
      </c>
      <c r="U118" s="409">
        <v>0</v>
      </c>
      <c r="V118" s="409">
        <v>0</v>
      </c>
      <c r="W118" s="433">
        <v>0</v>
      </c>
      <c r="X118" s="433">
        <v>0</v>
      </c>
      <c r="Y118" s="409">
        <v>0</v>
      </c>
      <c r="Z118" s="409">
        <v>0</v>
      </c>
      <c r="AA118" s="409">
        <v>0</v>
      </c>
      <c r="AB118" s="430">
        <f>C118+H118+M118+R118+W118</f>
        <v>17312</v>
      </c>
    </row>
    <row r="119" spans="1:28" ht="15" customHeight="1" x14ac:dyDescent="0.2">
      <c r="A119" s="437"/>
      <c r="B119" s="168" t="s">
        <v>424</v>
      </c>
      <c r="C119" s="431"/>
      <c r="D119" s="434"/>
      <c r="E119" s="409"/>
      <c r="F119" s="409"/>
      <c r="G119" s="409"/>
      <c r="H119" s="431"/>
      <c r="I119" s="434"/>
      <c r="J119" s="409"/>
      <c r="K119" s="409"/>
      <c r="L119" s="409"/>
      <c r="M119" s="440"/>
      <c r="N119" s="443"/>
      <c r="O119" s="409"/>
      <c r="P119" s="409"/>
      <c r="Q119" s="409"/>
      <c r="R119" s="431"/>
      <c r="S119" s="434"/>
      <c r="T119" s="409"/>
      <c r="U119" s="409"/>
      <c r="V119" s="409"/>
      <c r="W119" s="434"/>
      <c r="X119" s="434"/>
      <c r="Y119" s="409"/>
      <c r="Z119" s="409"/>
      <c r="AA119" s="409"/>
      <c r="AB119" s="431"/>
    </row>
    <row r="120" spans="1:28" ht="15" customHeight="1" x14ac:dyDescent="0.2">
      <c r="A120" s="437"/>
      <c r="B120" s="167" t="s">
        <v>576</v>
      </c>
      <c r="C120" s="431"/>
      <c r="D120" s="434"/>
      <c r="E120" s="409"/>
      <c r="F120" s="409"/>
      <c r="G120" s="409"/>
      <c r="H120" s="431"/>
      <c r="I120" s="434"/>
      <c r="J120" s="409"/>
      <c r="K120" s="409"/>
      <c r="L120" s="409"/>
      <c r="M120" s="440"/>
      <c r="N120" s="443"/>
      <c r="O120" s="409"/>
      <c r="P120" s="409"/>
      <c r="Q120" s="409"/>
      <c r="R120" s="431"/>
      <c r="S120" s="434"/>
      <c r="T120" s="409"/>
      <c r="U120" s="409"/>
      <c r="V120" s="409"/>
      <c r="W120" s="434"/>
      <c r="X120" s="434"/>
      <c r="Y120" s="409"/>
      <c r="Z120" s="409"/>
      <c r="AA120" s="409"/>
      <c r="AB120" s="431"/>
    </row>
    <row r="121" spans="1:28" ht="15" customHeight="1" x14ac:dyDescent="0.2">
      <c r="A121" s="437"/>
      <c r="B121" s="167" t="s">
        <v>440</v>
      </c>
      <c r="C121" s="431"/>
      <c r="D121" s="434"/>
      <c r="E121" s="409"/>
      <c r="F121" s="409"/>
      <c r="G121" s="409"/>
      <c r="H121" s="431"/>
      <c r="I121" s="434"/>
      <c r="J121" s="409"/>
      <c r="K121" s="409"/>
      <c r="L121" s="409"/>
      <c r="M121" s="440"/>
      <c r="N121" s="443"/>
      <c r="O121" s="409"/>
      <c r="P121" s="409"/>
      <c r="Q121" s="409"/>
      <c r="R121" s="431"/>
      <c r="S121" s="434"/>
      <c r="T121" s="409"/>
      <c r="U121" s="409"/>
      <c r="V121" s="409"/>
      <c r="W121" s="434"/>
      <c r="X121" s="434"/>
      <c r="Y121" s="409"/>
      <c r="Z121" s="409"/>
      <c r="AA121" s="409"/>
      <c r="AB121" s="431"/>
    </row>
    <row r="122" spans="1:28" ht="15" customHeight="1" x14ac:dyDescent="0.2">
      <c r="A122" s="437"/>
      <c r="B122" s="167" t="s">
        <v>777</v>
      </c>
      <c r="C122" s="431"/>
      <c r="D122" s="434"/>
      <c r="E122" s="409"/>
      <c r="F122" s="409"/>
      <c r="G122" s="409"/>
      <c r="H122" s="431"/>
      <c r="I122" s="434"/>
      <c r="J122" s="409"/>
      <c r="K122" s="409"/>
      <c r="L122" s="409"/>
      <c r="M122" s="440"/>
      <c r="N122" s="443"/>
      <c r="O122" s="409"/>
      <c r="P122" s="409"/>
      <c r="Q122" s="409"/>
      <c r="R122" s="431"/>
      <c r="S122" s="434"/>
      <c r="T122" s="409"/>
      <c r="U122" s="409"/>
      <c r="V122" s="409"/>
      <c r="W122" s="434"/>
      <c r="X122" s="434"/>
      <c r="Y122" s="409"/>
      <c r="Z122" s="409"/>
      <c r="AA122" s="409"/>
      <c r="AB122" s="431"/>
    </row>
    <row r="123" spans="1:28" ht="15" customHeight="1" x14ac:dyDescent="0.2">
      <c r="A123" s="437"/>
      <c r="B123" s="167" t="s">
        <v>778</v>
      </c>
      <c r="C123" s="431"/>
      <c r="D123" s="434"/>
      <c r="E123" s="409"/>
      <c r="F123" s="409"/>
      <c r="G123" s="409"/>
      <c r="H123" s="431"/>
      <c r="I123" s="434"/>
      <c r="J123" s="409"/>
      <c r="K123" s="409"/>
      <c r="L123" s="409"/>
      <c r="M123" s="440"/>
      <c r="N123" s="443"/>
      <c r="O123" s="409"/>
      <c r="P123" s="409"/>
      <c r="Q123" s="409"/>
      <c r="R123" s="431"/>
      <c r="S123" s="434"/>
      <c r="T123" s="409"/>
      <c r="U123" s="409"/>
      <c r="V123" s="409"/>
      <c r="W123" s="434"/>
      <c r="X123" s="434"/>
      <c r="Y123" s="409"/>
      <c r="Z123" s="409"/>
      <c r="AA123" s="409"/>
      <c r="AB123" s="431"/>
    </row>
    <row r="124" spans="1:28" ht="15" customHeight="1" x14ac:dyDescent="0.2">
      <c r="A124" s="437"/>
      <c r="B124" s="167" t="s">
        <v>442</v>
      </c>
      <c r="C124" s="431"/>
      <c r="D124" s="434"/>
      <c r="E124" s="409"/>
      <c r="F124" s="409"/>
      <c r="G124" s="409"/>
      <c r="H124" s="431"/>
      <c r="I124" s="434"/>
      <c r="J124" s="409"/>
      <c r="K124" s="409"/>
      <c r="L124" s="409"/>
      <c r="M124" s="440"/>
      <c r="N124" s="443"/>
      <c r="O124" s="409"/>
      <c r="P124" s="409"/>
      <c r="Q124" s="409"/>
      <c r="R124" s="431"/>
      <c r="S124" s="434"/>
      <c r="T124" s="409"/>
      <c r="U124" s="409"/>
      <c r="V124" s="409"/>
      <c r="W124" s="434"/>
      <c r="X124" s="434"/>
      <c r="Y124" s="409"/>
      <c r="Z124" s="409"/>
      <c r="AA124" s="409"/>
      <c r="AB124" s="431"/>
    </row>
    <row r="125" spans="1:28" ht="15" customHeight="1" x14ac:dyDescent="0.2">
      <c r="A125" s="437"/>
      <c r="B125" s="167" t="s">
        <v>441</v>
      </c>
      <c r="C125" s="431"/>
      <c r="D125" s="434"/>
      <c r="E125" s="409"/>
      <c r="F125" s="409"/>
      <c r="G125" s="409"/>
      <c r="H125" s="431"/>
      <c r="I125" s="434"/>
      <c r="J125" s="409"/>
      <c r="K125" s="409"/>
      <c r="L125" s="409"/>
      <c r="M125" s="440"/>
      <c r="N125" s="443"/>
      <c r="O125" s="409"/>
      <c r="P125" s="409"/>
      <c r="Q125" s="409"/>
      <c r="R125" s="431"/>
      <c r="S125" s="434"/>
      <c r="T125" s="409"/>
      <c r="U125" s="409"/>
      <c r="V125" s="409"/>
      <c r="W125" s="434"/>
      <c r="X125" s="434"/>
      <c r="Y125" s="409"/>
      <c r="Z125" s="409"/>
      <c r="AA125" s="409"/>
      <c r="AB125" s="431"/>
    </row>
    <row r="126" spans="1:28" ht="15" customHeight="1" x14ac:dyDescent="0.2">
      <c r="A126" s="437"/>
      <c r="B126" s="167" t="s">
        <v>443</v>
      </c>
      <c r="C126" s="431"/>
      <c r="D126" s="434"/>
      <c r="E126" s="409"/>
      <c r="F126" s="409"/>
      <c r="G126" s="409"/>
      <c r="H126" s="431"/>
      <c r="I126" s="434"/>
      <c r="J126" s="409"/>
      <c r="K126" s="409"/>
      <c r="L126" s="409"/>
      <c r="M126" s="440"/>
      <c r="N126" s="443"/>
      <c r="O126" s="409"/>
      <c r="P126" s="409"/>
      <c r="Q126" s="409"/>
      <c r="R126" s="431"/>
      <c r="S126" s="434"/>
      <c r="T126" s="409"/>
      <c r="U126" s="409"/>
      <c r="V126" s="409"/>
      <c r="W126" s="434"/>
      <c r="X126" s="434"/>
      <c r="Y126" s="409"/>
      <c r="Z126" s="409"/>
      <c r="AA126" s="409"/>
      <c r="AB126" s="431"/>
    </row>
    <row r="127" spans="1:28" ht="15" customHeight="1" x14ac:dyDescent="0.2">
      <c r="A127" s="437"/>
      <c r="B127" s="167" t="s">
        <v>432</v>
      </c>
      <c r="C127" s="431"/>
      <c r="D127" s="434"/>
      <c r="E127" s="409"/>
      <c r="F127" s="409"/>
      <c r="G127" s="409"/>
      <c r="H127" s="431"/>
      <c r="I127" s="434"/>
      <c r="J127" s="409"/>
      <c r="K127" s="409"/>
      <c r="L127" s="409"/>
      <c r="M127" s="440"/>
      <c r="N127" s="443"/>
      <c r="O127" s="409"/>
      <c r="P127" s="409"/>
      <c r="Q127" s="409"/>
      <c r="R127" s="431"/>
      <c r="S127" s="434"/>
      <c r="T127" s="409"/>
      <c r="U127" s="409"/>
      <c r="V127" s="409"/>
      <c r="W127" s="434"/>
      <c r="X127" s="434"/>
      <c r="Y127" s="409"/>
      <c r="Z127" s="409"/>
      <c r="AA127" s="409"/>
      <c r="AB127" s="431"/>
    </row>
    <row r="128" spans="1:28" ht="15" customHeight="1" x14ac:dyDescent="0.2">
      <c r="A128" s="437"/>
      <c r="B128" s="167" t="s">
        <v>444</v>
      </c>
      <c r="C128" s="431"/>
      <c r="D128" s="434"/>
      <c r="E128" s="409"/>
      <c r="F128" s="409"/>
      <c r="G128" s="409"/>
      <c r="H128" s="431"/>
      <c r="I128" s="434"/>
      <c r="J128" s="409"/>
      <c r="K128" s="409"/>
      <c r="L128" s="409"/>
      <c r="M128" s="440"/>
      <c r="N128" s="443"/>
      <c r="O128" s="409"/>
      <c r="P128" s="409"/>
      <c r="Q128" s="409"/>
      <c r="R128" s="431"/>
      <c r="S128" s="434"/>
      <c r="T128" s="409"/>
      <c r="U128" s="409"/>
      <c r="V128" s="409"/>
      <c r="W128" s="434"/>
      <c r="X128" s="434"/>
      <c r="Y128" s="409"/>
      <c r="Z128" s="409"/>
      <c r="AA128" s="409"/>
      <c r="AB128" s="431"/>
    </row>
    <row r="129" spans="1:28" ht="15" customHeight="1" x14ac:dyDescent="0.2">
      <c r="A129" s="437"/>
      <c r="B129" s="167" t="s">
        <v>577</v>
      </c>
      <c r="C129" s="431"/>
      <c r="D129" s="434"/>
      <c r="E129" s="409"/>
      <c r="F129" s="409"/>
      <c r="G129" s="409"/>
      <c r="H129" s="431"/>
      <c r="I129" s="434"/>
      <c r="J129" s="409"/>
      <c r="K129" s="409"/>
      <c r="L129" s="409"/>
      <c r="M129" s="440"/>
      <c r="N129" s="443"/>
      <c r="O129" s="409"/>
      <c r="P129" s="409"/>
      <c r="Q129" s="409"/>
      <c r="R129" s="431"/>
      <c r="S129" s="434"/>
      <c r="T129" s="409"/>
      <c r="U129" s="409"/>
      <c r="V129" s="409"/>
      <c r="W129" s="434"/>
      <c r="X129" s="434"/>
      <c r="Y129" s="409"/>
      <c r="Z129" s="409"/>
      <c r="AA129" s="409"/>
      <c r="AB129" s="431"/>
    </row>
    <row r="130" spans="1:28" ht="15" customHeight="1" x14ac:dyDescent="0.2">
      <c r="A130" s="437"/>
      <c r="B130" s="167" t="s">
        <v>578</v>
      </c>
      <c r="C130" s="431"/>
      <c r="D130" s="434"/>
      <c r="E130" s="409"/>
      <c r="F130" s="409"/>
      <c r="G130" s="409"/>
      <c r="H130" s="431"/>
      <c r="I130" s="434"/>
      <c r="J130" s="409"/>
      <c r="K130" s="409"/>
      <c r="L130" s="409"/>
      <c r="M130" s="440"/>
      <c r="N130" s="443"/>
      <c r="O130" s="409"/>
      <c r="P130" s="409"/>
      <c r="Q130" s="409"/>
      <c r="R130" s="431"/>
      <c r="S130" s="434"/>
      <c r="T130" s="409"/>
      <c r="U130" s="409"/>
      <c r="V130" s="409"/>
      <c r="W130" s="434"/>
      <c r="X130" s="434"/>
      <c r="Y130" s="409"/>
      <c r="Z130" s="409"/>
      <c r="AA130" s="409"/>
      <c r="AB130" s="431"/>
    </row>
    <row r="131" spans="1:28" ht="31.5" x14ac:dyDescent="0.2">
      <c r="A131" s="437"/>
      <c r="B131" s="167" t="s">
        <v>1767</v>
      </c>
      <c r="C131" s="431"/>
      <c r="D131" s="434"/>
      <c r="E131" s="409"/>
      <c r="F131" s="409"/>
      <c r="G131" s="409"/>
      <c r="H131" s="431"/>
      <c r="I131" s="434"/>
      <c r="J131" s="409"/>
      <c r="K131" s="409"/>
      <c r="L131" s="409"/>
      <c r="M131" s="440"/>
      <c r="N131" s="443"/>
      <c r="O131" s="409"/>
      <c r="P131" s="409"/>
      <c r="Q131" s="409"/>
      <c r="R131" s="431"/>
      <c r="S131" s="434"/>
      <c r="T131" s="409"/>
      <c r="U131" s="409"/>
      <c r="V131" s="409"/>
      <c r="W131" s="434"/>
      <c r="X131" s="434"/>
      <c r="Y131" s="409"/>
      <c r="Z131" s="409"/>
      <c r="AA131" s="409"/>
      <c r="AB131" s="431"/>
    </row>
    <row r="132" spans="1:28" ht="15" customHeight="1" x14ac:dyDescent="0.2">
      <c r="A132" s="437"/>
      <c r="B132" s="168" t="s">
        <v>425</v>
      </c>
      <c r="C132" s="431"/>
      <c r="D132" s="434"/>
      <c r="E132" s="409"/>
      <c r="F132" s="409"/>
      <c r="G132" s="409"/>
      <c r="H132" s="431"/>
      <c r="I132" s="434"/>
      <c r="J132" s="409"/>
      <c r="K132" s="409"/>
      <c r="L132" s="409"/>
      <c r="M132" s="440"/>
      <c r="N132" s="443"/>
      <c r="O132" s="409"/>
      <c r="P132" s="409"/>
      <c r="Q132" s="409"/>
      <c r="R132" s="431"/>
      <c r="S132" s="434"/>
      <c r="T132" s="409"/>
      <c r="U132" s="409"/>
      <c r="V132" s="409"/>
      <c r="W132" s="434"/>
      <c r="X132" s="434"/>
      <c r="Y132" s="409"/>
      <c r="Z132" s="409"/>
      <c r="AA132" s="409"/>
      <c r="AB132" s="431"/>
    </row>
    <row r="133" spans="1:28" ht="15" customHeight="1" x14ac:dyDescent="0.2">
      <c r="A133" s="437"/>
      <c r="B133" s="167" t="s">
        <v>1045</v>
      </c>
      <c r="C133" s="431"/>
      <c r="D133" s="434"/>
      <c r="E133" s="409"/>
      <c r="F133" s="409"/>
      <c r="G133" s="409"/>
      <c r="H133" s="431"/>
      <c r="I133" s="434"/>
      <c r="J133" s="409"/>
      <c r="K133" s="409"/>
      <c r="L133" s="409"/>
      <c r="M133" s="440"/>
      <c r="N133" s="443"/>
      <c r="O133" s="409"/>
      <c r="P133" s="409"/>
      <c r="Q133" s="409"/>
      <c r="R133" s="431"/>
      <c r="S133" s="434"/>
      <c r="T133" s="409"/>
      <c r="U133" s="409"/>
      <c r="V133" s="409"/>
      <c r="W133" s="434"/>
      <c r="X133" s="434"/>
      <c r="Y133" s="409"/>
      <c r="Z133" s="409"/>
      <c r="AA133" s="409"/>
      <c r="AB133" s="431"/>
    </row>
    <row r="134" spans="1:28" ht="15" customHeight="1" x14ac:dyDescent="0.2">
      <c r="A134" s="437"/>
      <c r="B134" s="167" t="s">
        <v>1043</v>
      </c>
      <c r="C134" s="431"/>
      <c r="D134" s="434"/>
      <c r="E134" s="409"/>
      <c r="F134" s="409"/>
      <c r="G134" s="409"/>
      <c r="H134" s="431"/>
      <c r="I134" s="434"/>
      <c r="J134" s="409"/>
      <c r="K134" s="409"/>
      <c r="L134" s="409"/>
      <c r="M134" s="440"/>
      <c r="N134" s="443"/>
      <c r="O134" s="409"/>
      <c r="P134" s="409"/>
      <c r="Q134" s="409"/>
      <c r="R134" s="431"/>
      <c r="S134" s="434"/>
      <c r="T134" s="409"/>
      <c r="U134" s="409"/>
      <c r="V134" s="409"/>
      <c r="W134" s="434"/>
      <c r="X134" s="434"/>
      <c r="Y134" s="409"/>
      <c r="Z134" s="409"/>
      <c r="AA134" s="409"/>
      <c r="AB134" s="431"/>
    </row>
    <row r="135" spans="1:28" ht="18" customHeight="1" x14ac:dyDescent="0.2">
      <c r="A135" s="437"/>
      <c r="B135" s="168" t="s">
        <v>776</v>
      </c>
      <c r="C135" s="431"/>
      <c r="D135" s="434"/>
      <c r="E135" s="409"/>
      <c r="F135" s="409"/>
      <c r="G135" s="409"/>
      <c r="H135" s="431"/>
      <c r="I135" s="434"/>
      <c r="J135" s="409"/>
      <c r="K135" s="409"/>
      <c r="L135" s="409"/>
      <c r="M135" s="440"/>
      <c r="N135" s="443"/>
      <c r="O135" s="409"/>
      <c r="P135" s="409"/>
      <c r="Q135" s="409"/>
      <c r="R135" s="431"/>
      <c r="S135" s="434"/>
      <c r="T135" s="409"/>
      <c r="U135" s="409"/>
      <c r="V135" s="409"/>
      <c r="W135" s="434"/>
      <c r="X135" s="434"/>
      <c r="Y135" s="409"/>
      <c r="Z135" s="409"/>
      <c r="AA135" s="409"/>
      <c r="AB135" s="431"/>
    </row>
    <row r="136" spans="1:28" ht="18" customHeight="1" x14ac:dyDescent="0.2">
      <c r="A136" s="437"/>
      <c r="B136" s="167" t="s">
        <v>850</v>
      </c>
      <c r="C136" s="431"/>
      <c r="D136" s="434"/>
      <c r="E136" s="409"/>
      <c r="F136" s="409"/>
      <c r="G136" s="409"/>
      <c r="H136" s="431"/>
      <c r="I136" s="434"/>
      <c r="J136" s="409"/>
      <c r="K136" s="409"/>
      <c r="L136" s="409"/>
      <c r="M136" s="440"/>
      <c r="N136" s="443"/>
      <c r="O136" s="409"/>
      <c r="P136" s="409"/>
      <c r="Q136" s="409"/>
      <c r="R136" s="431"/>
      <c r="S136" s="434"/>
      <c r="T136" s="409"/>
      <c r="U136" s="409"/>
      <c r="V136" s="409"/>
      <c r="W136" s="434"/>
      <c r="X136" s="434"/>
      <c r="Y136" s="409"/>
      <c r="Z136" s="409"/>
      <c r="AA136" s="409"/>
      <c r="AB136" s="431"/>
    </row>
    <row r="137" spans="1:28" ht="18" customHeight="1" x14ac:dyDescent="0.2">
      <c r="A137" s="437"/>
      <c r="B137" s="167" t="s">
        <v>1702</v>
      </c>
      <c r="C137" s="431"/>
      <c r="D137" s="434"/>
      <c r="E137" s="411"/>
      <c r="F137" s="411"/>
      <c r="G137" s="411"/>
      <c r="H137" s="431"/>
      <c r="I137" s="434"/>
      <c r="J137" s="411"/>
      <c r="K137" s="411"/>
      <c r="L137" s="411"/>
      <c r="M137" s="440"/>
      <c r="N137" s="443"/>
      <c r="O137" s="411"/>
      <c r="P137" s="411"/>
      <c r="Q137" s="411"/>
      <c r="R137" s="431"/>
      <c r="S137" s="434"/>
      <c r="T137" s="411"/>
      <c r="U137" s="411"/>
      <c r="V137" s="411"/>
      <c r="W137" s="434"/>
      <c r="X137" s="434"/>
      <c r="Y137" s="411"/>
      <c r="Z137" s="411"/>
      <c r="AA137" s="411"/>
      <c r="AB137" s="431"/>
    </row>
    <row r="138" spans="1:28" ht="20.25" customHeight="1" x14ac:dyDescent="0.2">
      <c r="A138" s="437"/>
      <c r="B138" s="361" t="s">
        <v>1768</v>
      </c>
      <c r="C138" s="431"/>
      <c r="D138" s="434"/>
      <c r="E138" s="411"/>
      <c r="F138" s="411"/>
      <c r="G138" s="411"/>
      <c r="H138" s="431"/>
      <c r="I138" s="434"/>
      <c r="J138" s="411"/>
      <c r="K138" s="411"/>
      <c r="L138" s="411"/>
      <c r="M138" s="440"/>
      <c r="N138" s="443"/>
      <c r="O138" s="411"/>
      <c r="P138" s="411"/>
      <c r="Q138" s="411"/>
      <c r="R138" s="431"/>
      <c r="S138" s="434"/>
      <c r="T138" s="411"/>
      <c r="U138" s="411"/>
      <c r="V138" s="411"/>
      <c r="W138" s="434"/>
      <c r="X138" s="434"/>
      <c r="Y138" s="411"/>
      <c r="Z138" s="411"/>
      <c r="AA138" s="411"/>
      <c r="AB138" s="431"/>
    </row>
    <row r="139" spans="1:28" ht="33.75" customHeight="1" x14ac:dyDescent="0.2">
      <c r="A139" s="437"/>
      <c r="B139" s="361" t="s">
        <v>1766</v>
      </c>
      <c r="C139" s="431"/>
      <c r="D139" s="434"/>
      <c r="E139" s="411"/>
      <c r="F139" s="411"/>
      <c r="G139" s="411"/>
      <c r="H139" s="431"/>
      <c r="I139" s="434"/>
      <c r="J139" s="411"/>
      <c r="K139" s="411"/>
      <c r="L139" s="411"/>
      <c r="M139" s="440"/>
      <c r="N139" s="443"/>
      <c r="O139" s="411"/>
      <c r="P139" s="411"/>
      <c r="Q139" s="411"/>
      <c r="R139" s="431"/>
      <c r="S139" s="434"/>
      <c r="T139" s="411"/>
      <c r="U139" s="411"/>
      <c r="V139" s="411"/>
      <c r="W139" s="434"/>
      <c r="X139" s="434"/>
      <c r="Y139" s="411"/>
      <c r="Z139" s="411"/>
      <c r="AA139" s="411"/>
      <c r="AB139" s="431"/>
    </row>
    <row r="140" spans="1:28" ht="18.75" customHeight="1" x14ac:dyDescent="0.2">
      <c r="A140" s="437"/>
      <c r="B140" s="361" t="s">
        <v>1769</v>
      </c>
      <c r="C140" s="431"/>
      <c r="D140" s="434"/>
      <c r="E140" s="411"/>
      <c r="F140" s="411"/>
      <c r="G140" s="411"/>
      <c r="H140" s="431"/>
      <c r="I140" s="434"/>
      <c r="J140" s="411"/>
      <c r="K140" s="411"/>
      <c r="L140" s="411"/>
      <c r="M140" s="440"/>
      <c r="N140" s="443"/>
      <c r="O140" s="411"/>
      <c r="P140" s="411"/>
      <c r="Q140" s="411"/>
      <c r="R140" s="431"/>
      <c r="S140" s="434"/>
      <c r="T140" s="411"/>
      <c r="U140" s="411"/>
      <c r="V140" s="411"/>
      <c r="W140" s="434"/>
      <c r="X140" s="434"/>
      <c r="Y140" s="411"/>
      <c r="Z140" s="411"/>
      <c r="AA140" s="411"/>
      <c r="AB140" s="431"/>
    </row>
    <row r="141" spans="1:28" ht="18.75" customHeight="1" x14ac:dyDescent="0.2">
      <c r="A141" s="438"/>
      <c r="B141" s="361" t="s">
        <v>1810</v>
      </c>
      <c r="C141" s="432"/>
      <c r="D141" s="435"/>
      <c r="E141" s="411"/>
      <c r="F141" s="411"/>
      <c r="G141" s="411"/>
      <c r="H141" s="432"/>
      <c r="I141" s="435"/>
      <c r="J141" s="411"/>
      <c r="K141" s="411"/>
      <c r="L141" s="411"/>
      <c r="M141" s="441"/>
      <c r="N141" s="444"/>
      <c r="O141" s="411"/>
      <c r="P141" s="411"/>
      <c r="Q141" s="411"/>
      <c r="R141" s="432"/>
      <c r="S141" s="435"/>
      <c r="T141" s="411"/>
      <c r="U141" s="411"/>
      <c r="V141" s="411"/>
      <c r="W141" s="435"/>
      <c r="X141" s="435"/>
      <c r="Y141" s="411"/>
      <c r="Z141" s="411"/>
      <c r="AA141" s="411"/>
      <c r="AB141" s="432"/>
    </row>
    <row r="142" spans="1:28" ht="20.25" customHeight="1" x14ac:dyDescent="0.2">
      <c r="A142" s="436" t="s">
        <v>1065</v>
      </c>
      <c r="B142" s="154" t="s">
        <v>976</v>
      </c>
      <c r="C142" s="430">
        <f>D142</f>
        <v>817</v>
      </c>
      <c r="D142" s="433">
        <v>817</v>
      </c>
      <c r="E142" s="352"/>
      <c r="F142" s="352"/>
      <c r="G142" s="352"/>
      <c r="H142" s="430">
        <f>I142</f>
        <v>2512</v>
      </c>
      <c r="I142" s="433">
        <f>1695+817</f>
        <v>2512</v>
      </c>
      <c r="J142" s="352"/>
      <c r="K142" s="352"/>
      <c r="L142" s="352"/>
      <c r="M142" s="439">
        <f>N142</f>
        <v>4649</v>
      </c>
      <c r="N142" s="442">
        <f>615+578+1853+2512-486-423</f>
        <v>4649</v>
      </c>
      <c r="O142" s="352"/>
      <c r="P142" s="352"/>
      <c r="Q142" s="352"/>
      <c r="R142" s="430">
        <f>S142</f>
        <v>3573</v>
      </c>
      <c r="S142" s="433">
        <v>3573</v>
      </c>
      <c r="T142" s="352"/>
      <c r="U142" s="352"/>
      <c r="V142" s="352"/>
      <c r="W142" s="430">
        <f>X142</f>
        <v>3719</v>
      </c>
      <c r="X142" s="433">
        <v>3719</v>
      </c>
      <c r="Y142" s="352"/>
      <c r="Z142" s="352"/>
      <c r="AA142" s="352"/>
      <c r="AB142" s="430">
        <f>C142+H142+M142+R142+W142</f>
        <v>15270</v>
      </c>
    </row>
    <row r="143" spans="1:28" ht="15" customHeight="1" x14ac:dyDescent="0.2">
      <c r="A143" s="437"/>
      <c r="B143" s="157" t="s">
        <v>972</v>
      </c>
      <c r="C143" s="431"/>
      <c r="D143" s="434"/>
      <c r="E143" s="353"/>
      <c r="F143" s="353"/>
      <c r="G143" s="353"/>
      <c r="H143" s="431"/>
      <c r="I143" s="434"/>
      <c r="J143" s="353"/>
      <c r="K143" s="353"/>
      <c r="L143" s="353"/>
      <c r="M143" s="440"/>
      <c r="N143" s="443"/>
      <c r="O143" s="353"/>
      <c r="P143" s="353"/>
      <c r="Q143" s="353"/>
      <c r="R143" s="431"/>
      <c r="S143" s="434"/>
      <c r="T143" s="353"/>
      <c r="U143" s="353"/>
      <c r="V143" s="353"/>
      <c r="W143" s="431"/>
      <c r="X143" s="434"/>
      <c r="Y143" s="353"/>
      <c r="Z143" s="353"/>
      <c r="AA143" s="353"/>
      <c r="AB143" s="431"/>
    </row>
    <row r="144" spans="1:28" ht="15" customHeight="1" x14ac:dyDescent="0.2">
      <c r="A144" s="437"/>
      <c r="B144" s="159" t="s">
        <v>573</v>
      </c>
      <c r="C144" s="431"/>
      <c r="D144" s="434"/>
      <c r="E144" s="354"/>
      <c r="F144" s="354"/>
      <c r="G144" s="354"/>
      <c r="H144" s="431"/>
      <c r="I144" s="434"/>
      <c r="J144" s="354"/>
      <c r="K144" s="354"/>
      <c r="L144" s="354"/>
      <c r="M144" s="440"/>
      <c r="N144" s="443"/>
      <c r="O144" s="354"/>
      <c r="P144" s="354"/>
      <c r="Q144" s="354"/>
      <c r="R144" s="431"/>
      <c r="S144" s="434"/>
      <c r="T144" s="354"/>
      <c r="U144" s="354"/>
      <c r="V144" s="354"/>
      <c r="W144" s="431"/>
      <c r="X144" s="434"/>
      <c r="Y144" s="354"/>
      <c r="Z144" s="354"/>
      <c r="AA144" s="354"/>
      <c r="AB144" s="431"/>
    </row>
    <row r="145" spans="1:28" ht="15" customHeight="1" x14ac:dyDescent="0.2">
      <c r="A145" s="437"/>
      <c r="B145" s="159" t="s">
        <v>779</v>
      </c>
      <c r="C145" s="431"/>
      <c r="D145" s="434"/>
      <c r="E145" s="344"/>
      <c r="F145" s="344"/>
      <c r="G145" s="344"/>
      <c r="H145" s="431"/>
      <c r="I145" s="434"/>
      <c r="J145" s="344"/>
      <c r="K145" s="344"/>
      <c r="L145" s="344"/>
      <c r="M145" s="440"/>
      <c r="N145" s="443"/>
      <c r="O145" s="344"/>
      <c r="P145" s="344"/>
      <c r="Q145" s="344"/>
      <c r="R145" s="431"/>
      <c r="S145" s="434"/>
      <c r="T145" s="344"/>
      <c r="U145" s="344"/>
      <c r="V145" s="344"/>
      <c r="W145" s="431"/>
      <c r="X145" s="434"/>
      <c r="Y145" s="344"/>
      <c r="Z145" s="344"/>
      <c r="AA145" s="344"/>
      <c r="AB145" s="431"/>
    </row>
    <row r="146" spans="1:28" ht="18.75" customHeight="1" x14ac:dyDescent="0.2">
      <c r="A146" s="437"/>
      <c r="B146" s="157" t="s">
        <v>776</v>
      </c>
      <c r="C146" s="431"/>
      <c r="D146" s="434"/>
      <c r="E146" s="344"/>
      <c r="F146" s="344"/>
      <c r="G146" s="344"/>
      <c r="H146" s="431"/>
      <c r="I146" s="434"/>
      <c r="J146" s="344"/>
      <c r="K146" s="344"/>
      <c r="L146" s="344"/>
      <c r="M146" s="440"/>
      <c r="N146" s="443"/>
      <c r="O146" s="344"/>
      <c r="P146" s="344"/>
      <c r="Q146" s="344"/>
      <c r="R146" s="431"/>
      <c r="S146" s="434"/>
      <c r="T146" s="344"/>
      <c r="U146" s="344"/>
      <c r="V146" s="344"/>
      <c r="W146" s="431"/>
      <c r="X146" s="434"/>
      <c r="Y146" s="344"/>
      <c r="Z146" s="344"/>
      <c r="AA146" s="344"/>
      <c r="AB146" s="431"/>
    </row>
    <row r="147" spans="1:28" ht="18.75" customHeight="1" x14ac:dyDescent="0.2">
      <c r="A147" s="437"/>
      <c r="B147" s="159" t="s">
        <v>979</v>
      </c>
      <c r="C147" s="431"/>
      <c r="D147" s="434"/>
      <c r="E147" s="344"/>
      <c r="F147" s="344"/>
      <c r="G147" s="344"/>
      <c r="H147" s="431"/>
      <c r="I147" s="434"/>
      <c r="J147" s="344"/>
      <c r="K147" s="344"/>
      <c r="L147" s="344"/>
      <c r="M147" s="440"/>
      <c r="N147" s="443"/>
      <c r="O147" s="344"/>
      <c r="P147" s="344"/>
      <c r="Q147" s="344"/>
      <c r="R147" s="431"/>
      <c r="S147" s="434"/>
      <c r="T147" s="344"/>
      <c r="U147" s="344"/>
      <c r="V147" s="344"/>
      <c r="W147" s="431"/>
      <c r="X147" s="434"/>
      <c r="Y147" s="344"/>
      <c r="Z147" s="344"/>
      <c r="AA147" s="344"/>
      <c r="AB147" s="431"/>
    </row>
    <row r="148" spans="1:28" ht="18.75" customHeight="1" x14ac:dyDescent="0.2">
      <c r="A148" s="437"/>
      <c r="B148" s="159" t="s">
        <v>995</v>
      </c>
      <c r="C148" s="431"/>
      <c r="D148" s="434"/>
      <c r="E148" s="344"/>
      <c r="F148" s="344"/>
      <c r="G148" s="344"/>
      <c r="H148" s="431"/>
      <c r="I148" s="434"/>
      <c r="J148" s="344"/>
      <c r="K148" s="344"/>
      <c r="L148" s="344"/>
      <c r="M148" s="440"/>
      <c r="N148" s="443"/>
      <c r="O148" s="344"/>
      <c r="P148" s="344"/>
      <c r="Q148" s="344"/>
      <c r="R148" s="431"/>
      <c r="S148" s="434"/>
      <c r="T148" s="344"/>
      <c r="U148" s="344"/>
      <c r="V148" s="344"/>
      <c r="W148" s="431"/>
      <c r="X148" s="434"/>
      <c r="Y148" s="344"/>
      <c r="Z148" s="344"/>
      <c r="AA148" s="344"/>
      <c r="AB148" s="431"/>
    </row>
    <row r="149" spans="1:28" ht="17.25" customHeight="1" x14ac:dyDescent="0.2">
      <c r="A149" s="437"/>
      <c r="B149" s="358" t="s">
        <v>1805</v>
      </c>
      <c r="C149" s="431"/>
      <c r="D149" s="434"/>
      <c r="E149" s="344"/>
      <c r="F149" s="344"/>
      <c r="G149" s="344"/>
      <c r="H149" s="431"/>
      <c r="I149" s="434"/>
      <c r="J149" s="344"/>
      <c r="K149" s="344"/>
      <c r="L149" s="344"/>
      <c r="M149" s="440"/>
      <c r="N149" s="443"/>
      <c r="O149" s="344"/>
      <c r="P149" s="344"/>
      <c r="Q149" s="344"/>
      <c r="R149" s="431"/>
      <c r="S149" s="434"/>
      <c r="T149" s="344"/>
      <c r="U149" s="344"/>
      <c r="V149" s="344"/>
      <c r="W149" s="431"/>
      <c r="X149" s="434"/>
      <c r="Y149" s="344"/>
      <c r="Z149" s="344"/>
      <c r="AA149" s="344"/>
      <c r="AB149" s="431"/>
    </row>
    <row r="150" spans="1:28" ht="18.75" customHeight="1" x14ac:dyDescent="0.2">
      <c r="A150" s="437"/>
      <c r="B150" s="358" t="s">
        <v>1806</v>
      </c>
      <c r="C150" s="431"/>
      <c r="D150" s="434"/>
      <c r="E150" s="344"/>
      <c r="F150" s="344"/>
      <c r="G150" s="344"/>
      <c r="H150" s="431"/>
      <c r="I150" s="434"/>
      <c r="J150" s="344"/>
      <c r="K150" s="344"/>
      <c r="L150" s="344"/>
      <c r="M150" s="440"/>
      <c r="N150" s="443"/>
      <c r="O150" s="344"/>
      <c r="P150" s="344"/>
      <c r="Q150" s="344"/>
      <c r="R150" s="431"/>
      <c r="S150" s="434"/>
      <c r="T150" s="344"/>
      <c r="U150" s="344"/>
      <c r="V150" s="344"/>
      <c r="W150" s="431"/>
      <c r="X150" s="434"/>
      <c r="Y150" s="344"/>
      <c r="Z150" s="344"/>
      <c r="AA150" s="344"/>
      <c r="AB150" s="431"/>
    </row>
    <row r="151" spans="1:28" ht="18.75" customHeight="1" x14ac:dyDescent="0.2">
      <c r="A151" s="437"/>
      <c r="B151" s="358" t="s">
        <v>573</v>
      </c>
      <c r="C151" s="431"/>
      <c r="D151" s="434"/>
      <c r="E151" s="344"/>
      <c r="F151" s="344"/>
      <c r="G151" s="344"/>
      <c r="H151" s="431"/>
      <c r="I151" s="434"/>
      <c r="J151" s="344"/>
      <c r="K151" s="344"/>
      <c r="L151" s="344"/>
      <c r="M151" s="440"/>
      <c r="N151" s="443"/>
      <c r="O151" s="344"/>
      <c r="P151" s="344"/>
      <c r="Q151" s="344"/>
      <c r="R151" s="431"/>
      <c r="S151" s="434"/>
      <c r="T151" s="344"/>
      <c r="U151" s="344"/>
      <c r="V151" s="344"/>
      <c r="W151" s="431"/>
      <c r="X151" s="434"/>
      <c r="Y151" s="344"/>
      <c r="Z151" s="344"/>
      <c r="AA151" s="344"/>
      <c r="AB151" s="431"/>
    </row>
    <row r="152" spans="1:28" ht="18.75" customHeight="1" x14ac:dyDescent="0.2">
      <c r="A152" s="437"/>
      <c r="B152" s="358" t="s">
        <v>779</v>
      </c>
      <c r="C152" s="431"/>
      <c r="D152" s="434"/>
      <c r="E152" s="344"/>
      <c r="F152" s="344"/>
      <c r="G152" s="344"/>
      <c r="H152" s="431"/>
      <c r="I152" s="434"/>
      <c r="J152" s="344"/>
      <c r="K152" s="344"/>
      <c r="L152" s="344"/>
      <c r="M152" s="440"/>
      <c r="N152" s="443"/>
      <c r="O152" s="344"/>
      <c r="P152" s="344"/>
      <c r="Q152" s="344"/>
      <c r="R152" s="431"/>
      <c r="S152" s="434"/>
      <c r="T152" s="344"/>
      <c r="U152" s="344"/>
      <c r="V152" s="344"/>
      <c r="W152" s="431"/>
      <c r="X152" s="434"/>
      <c r="Y152" s="344"/>
      <c r="Z152" s="344"/>
      <c r="AA152" s="344"/>
      <c r="AB152" s="431"/>
    </row>
    <row r="153" spans="1:28" ht="15.75" x14ac:dyDescent="0.2">
      <c r="A153" s="437"/>
      <c r="B153" s="362" t="s">
        <v>863</v>
      </c>
      <c r="C153" s="431"/>
      <c r="D153" s="434"/>
      <c r="E153" s="344"/>
      <c r="F153" s="344"/>
      <c r="G153" s="344"/>
      <c r="H153" s="431"/>
      <c r="I153" s="434"/>
      <c r="J153" s="344"/>
      <c r="K153" s="344"/>
      <c r="L153" s="344"/>
      <c r="M153" s="440"/>
      <c r="N153" s="443"/>
      <c r="O153" s="344"/>
      <c r="P153" s="344"/>
      <c r="Q153" s="344"/>
      <c r="R153" s="431"/>
      <c r="S153" s="434"/>
      <c r="T153" s="344"/>
      <c r="U153" s="344"/>
      <c r="V153" s="344"/>
      <c r="W153" s="431"/>
      <c r="X153" s="434"/>
      <c r="Y153" s="344"/>
      <c r="Z153" s="344"/>
      <c r="AA153" s="344"/>
      <c r="AB153" s="431"/>
    </row>
    <row r="154" spans="1:28" ht="15.75" x14ac:dyDescent="0.2">
      <c r="A154" s="437"/>
      <c r="B154" s="358" t="s">
        <v>1815</v>
      </c>
      <c r="C154" s="431"/>
      <c r="D154" s="434"/>
      <c r="E154" s="344"/>
      <c r="F154" s="344"/>
      <c r="G154" s="344"/>
      <c r="H154" s="431"/>
      <c r="I154" s="434"/>
      <c r="J154" s="344"/>
      <c r="K154" s="344"/>
      <c r="L154" s="344"/>
      <c r="M154" s="440"/>
      <c r="N154" s="443"/>
      <c r="O154" s="344"/>
      <c r="P154" s="344"/>
      <c r="Q154" s="344"/>
      <c r="R154" s="431"/>
      <c r="S154" s="434"/>
      <c r="T154" s="344"/>
      <c r="U154" s="344"/>
      <c r="V154" s="344"/>
      <c r="W154" s="431"/>
      <c r="X154" s="434"/>
      <c r="Y154" s="344"/>
      <c r="Z154" s="344"/>
      <c r="AA154" s="344"/>
      <c r="AB154" s="431"/>
    </row>
    <row r="155" spans="1:28" ht="15.75" x14ac:dyDescent="0.2">
      <c r="A155" s="437"/>
      <c r="B155" s="159" t="s">
        <v>803</v>
      </c>
      <c r="C155" s="431"/>
      <c r="D155" s="434"/>
      <c r="E155" s="344"/>
      <c r="F155" s="344"/>
      <c r="G155" s="344"/>
      <c r="H155" s="431"/>
      <c r="I155" s="434"/>
      <c r="J155" s="344"/>
      <c r="K155" s="344"/>
      <c r="L155" s="344"/>
      <c r="M155" s="440"/>
      <c r="N155" s="443"/>
      <c r="O155" s="344"/>
      <c r="P155" s="344"/>
      <c r="Q155" s="344"/>
      <c r="R155" s="431"/>
      <c r="S155" s="434"/>
      <c r="T155" s="344"/>
      <c r="U155" s="344"/>
      <c r="V155" s="344"/>
      <c r="W155" s="431"/>
      <c r="X155" s="434"/>
      <c r="Y155" s="344"/>
      <c r="Z155" s="344"/>
      <c r="AA155" s="344"/>
      <c r="AB155" s="431"/>
    </row>
    <row r="156" spans="1:28" ht="15.75" x14ac:dyDescent="0.2">
      <c r="A156" s="437"/>
      <c r="B156" s="157" t="s">
        <v>996</v>
      </c>
      <c r="C156" s="431"/>
      <c r="D156" s="434"/>
      <c r="E156" s="169"/>
      <c r="F156" s="169"/>
      <c r="G156" s="169"/>
      <c r="H156" s="431"/>
      <c r="I156" s="434"/>
      <c r="J156" s="169"/>
      <c r="K156" s="169"/>
      <c r="L156" s="169"/>
      <c r="M156" s="440"/>
      <c r="N156" s="443"/>
      <c r="O156" s="169"/>
      <c r="P156" s="169"/>
      <c r="Q156" s="169"/>
      <c r="R156" s="431"/>
      <c r="S156" s="434"/>
      <c r="T156" s="169"/>
      <c r="U156" s="169"/>
      <c r="V156" s="169"/>
      <c r="W156" s="431"/>
      <c r="X156" s="434"/>
      <c r="Y156" s="169"/>
      <c r="Z156" s="169"/>
      <c r="AA156" s="169"/>
      <c r="AB156" s="431"/>
    </row>
    <row r="157" spans="1:28" ht="31.5" x14ac:dyDescent="0.2">
      <c r="A157" s="437"/>
      <c r="B157" s="159" t="s">
        <v>1644</v>
      </c>
      <c r="C157" s="431"/>
      <c r="D157" s="434"/>
      <c r="E157" s="169"/>
      <c r="F157" s="169"/>
      <c r="G157" s="169"/>
      <c r="H157" s="431"/>
      <c r="I157" s="434"/>
      <c r="J157" s="169"/>
      <c r="K157" s="169"/>
      <c r="L157" s="169"/>
      <c r="M157" s="440"/>
      <c r="N157" s="443"/>
      <c r="O157" s="169"/>
      <c r="P157" s="169"/>
      <c r="Q157" s="169"/>
      <c r="R157" s="431"/>
      <c r="S157" s="434"/>
      <c r="T157" s="169"/>
      <c r="U157" s="169"/>
      <c r="V157" s="169"/>
      <c r="W157" s="431"/>
      <c r="X157" s="434"/>
      <c r="Y157" s="169"/>
      <c r="Z157" s="169"/>
      <c r="AA157" s="169"/>
      <c r="AB157" s="431"/>
    </row>
    <row r="158" spans="1:28" ht="15.75" x14ac:dyDescent="0.2">
      <c r="A158" s="437"/>
      <c r="B158" s="159" t="s">
        <v>1642</v>
      </c>
      <c r="C158" s="431"/>
      <c r="D158" s="434"/>
      <c r="E158" s="169"/>
      <c r="F158" s="169"/>
      <c r="G158" s="169"/>
      <c r="H158" s="431"/>
      <c r="I158" s="434"/>
      <c r="J158" s="169"/>
      <c r="K158" s="169"/>
      <c r="L158" s="169"/>
      <c r="M158" s="440"/>
      <c r="N158" s="443"/>
      <c r="O158" s="169"/>
      <c r="P158" s="169"/>
      <c r="Q158" s="169"/>
      <c r="R158" s="431"/>
      <c r="S158" s="434"/>
      <c r="T158" s="169"/>
      <c r="U158" s="169"/>
      <c r="V158" s="169"/>
      <c r="W158" s="431"/>
      <c r="X158" s="434"/>
      <c r="Y158" s="169"/>
      <c r="Z158" s="169"/>
      <c r="AA158" s="169"/>
      <c r="AB158" s="431"/>
    </row>
    <row r="159" spans="1:28" ht="15.75" x14ac:dyDescent="0.2">
      <c r="A159" s="437"/>
      <c r="B159" s="159" t="s">
        <v>1643</v>
      </c>
      <c r="C159" s="431"/>
      <c r="D159" s="434"/>
      <c r="E159" s="169"/>
      <c r="F159" s="169"/>
      <c r="G159" s="169"/>
      <c r="H159" s="431"/>
      <c r="I159" s="434"/>
      <c r="J159" s="169"/>
      <c r="K159" s="169"/>
      <c r="L159" s="169"/>
      <c r="M159" s="440"/>
      <c r="N159" s="443"/>
      <c r="O159" s="169"/>
      <c r="P159" s="169"/>
      <c r="Q159" s="169"/>
      <c r="R159" s="431"/>
      <c r="S159" s="434"/>
      <c r="T159" s="169"/>
      <c r="U159" s="169"/>
      <c r="V159" s="169"/>
      <c r="W159" s="431"/>
      <c r="X159" s="434"/>
      <c r="Y159" s="169"/>
      <c r="Z159" s="169"/>
      <c r="AA159" s="169"/>
      <c r="AB159" s="431"/>
    </row>
    <row r="160" spans="1:28" ht="15.75" x14ac:dyDescent="0.2">
      <c r="A160" s="438"/>
      <c r="B160" s="159" t="s">
        <v>1824</v>
      </c>
      <c r="C160" s="432"/>
      <c r="D160" s="435"/>
      <c r="E160" s="169"/>
      <c r="F160" s="169"/>
      <c r="G160" s="169"/>
      <c r="H160" s="432"/>
      <c r="I160" s="435"/>
      <c r="J160" s="169"/>
      <c r="K160" s="169"/>
      <c r="L160" s="169"/>
      <c r="M160" s="441"/>
      <c r="N160" s="444"/>
      <c r="O160" s="169"/>
      <c r="P160" s="169"/>
      <c r="Q160" s="169"/>
      <c r="R160" s="432"/>
      <c r="S160" s="435"/>
      <c r="T160" s="169"/>
      <c r="U160" s="169"/>
      <c r="V160" s="169"/>
      <c r="W160" s="432"/>
      <c r="X160" s="435"/>
      <c r="Y160" s="169"/>
      <c r="Z160" s="169"/>
      <c r="AA160" s="169"/>
      <c r="AB160" s="432"/>
    </row>
    <row r="161" spans="1:30" ht="18" customHeight="1" x14ac:dyDescent="0.2">
      <c r="A161" s="184" t="s">
        <v>1066</v>
      </c>
      <c r="B161" s="170" t="s">
        <v>851</v>
      </c>
      <c r="C161" s="183">
        <f>D161</f>
        <v>0</v>
      </c>
      <c r="D161" s="155">
        <v>0</v>
      </c>
      <c r="E161" s="185"/>
      <c r="F161" s="185"/>
      <c r="G161" s="185"/>
      <c r="H161" s="183">
        <f>I161</f>
        <v>0</v>
      </c>
      <c r="I161" s="155">
        <v>0</v>
      </c>
      <c r="J161" s="185"/>
      <c r="K161" s="185"/>
      <c r="L161" s="185"/>
      <c r="M161" s="183">
        <f>N161</f>
        <v>10733</v>
      </c>
      <c r="N161" s="155">
        <v>10733</v>
      </c>
      <c r="O161" s="185"/>
      <c r="P161" s="185"/>
      <c r="Q161" s="185"/>
      <c r="R161" s="183">
        <f>S161</f>
        <v>0</v>
      </c>
      <c r="S161" s="155">
        <v>0</v>
      </c>
      <c r="T161" s="185"/>
      <c r="U161" s="185"/>
      <c r="V161" s="185"/>
      <c r="W161" s="183">
        <f>X161</f>
        <v>0</v>
      </c>
      <c r="X161" s="155">
        <v>0</v>
      </c>
      <c r="Y161" s="185"/>
      <c r="Z161" s="185"/>
      <c r="AA161" s="185"/>
      <c r="AB161" s="183">
        <f>C161+H161+M161+R161+W161</f>
        <v>10733</v>
      </c>
    </row>
    <row r="162" spans="1:30" ht="15.75" x14ac:dyDescent="0.2">
      <c r="A162" s="429" t="s">
        <v>1745</v>
      </c>
      <c r="B162" s="187" t="s">
        <v>1753</v>
      </c>
      <c r="C162" s="455">
        <f>D162</f>
        <v>0</v>
      </c>
      <c r="D162" s="454">
        <v>0</v>
      </c>
      <c r="E162" s="171"/>
      <c r="F162" s="171"/>
      <c r="G162" s="171"/>
      <c r="H162" s="455">
        <f>I162</f>
        <v>0</v>
      </c>
      <c r="I162" s="454">
        <v>0</v>
      </c>
      <c r="J162" s="171"/>
      <c r="K162" s="171"/>
      <c r="L162" s="171"/>
      <c r="M162" s="455">
        <f>N162</f>
        <v>486</v>
      </c>
      <c r="N162" s="454">
        <v>486</v>
      </c>
      <c r="O162" s="171"/>
      <c r="P162" s="171"/>
      <c r="Q162" s="171"/>
      <c r="R162" s="455">
        <f>S162</f>
        <v>0</v>
      </c>
      <c r="S162" s="454">
        <v>0</v>
      </c>
      <c r="T162" s="171"/>
      <c r="U162" s="171"/>
      <c r="V162" s="171"/>
      <c r="W162" s="455">
        <f>X162</f>
        <v>0</v>
      </c>
      <c r="X162" s="454">
        <v>0</v>
      </c>
      <c r="Y162" s="171"/>
      <c r="Z162" s="171"/>
      <c r="AA162" s="171"/>
      <c r="AB162" s="455">
        <f>C162+H162+M162+R162+W162</f>
        <v>486</v>
      </c>
    </row>
    <row r="163" spans="1:30" ht="15.75" x14ac:dyDescent="0.2">
      <c r="A163" s="429"/>
      <c r="B163" s="188" t="s">
        <v>776</v>
      </c>
      <c r="C163" s="455"/>
      <c r="D163" s="454"/>
      <c r="E163" s="171"/>
      <c r="F163" s="171"/>
      <c r="G163" s="171"/>
      <c r="H163" s="455"/>
      <c r="I163" s="454"/>
      <c r="J163" s="171"/>
      <c r="K163" s="171"/>
      <c r="L163" s="171"/>
      <c r="M163" s="455"/>
      <c r="N163" s="454"/>
      <c r="O163" s="171"/>
      <c r="P163" s="171"/>
      <c r="Q163" s="171"/>
      <c r="R163" s="455"/>
      <c r="S163" s="454"/>
      <c r="T163" s="171"/>
      <c r="U163" s="171"/>
      <c r="V163" s="171"/>
      <c r="W163" s="455"/>
      <c r="X163" s="454"/>
      <c r="Y163" s="171"/>
      <c r="Z163" s="171"/>
      <c r="AA163" s="171"/>
      <c r="AB163" s="455"/>
    </row>
    <row r="164" spans="1:30" ht="15.75" x14ac:dyDescent="0.2">
      <c r="A164" s="429"/>
      <c r="B164" s="189" t="s">
        <v>1749</v>
      </c>
      <c r="C164" s="455"/>
      <c r="D164" s="454"/>
      <c r="E164" s="171"/>
      <c r="F164" s="171"/>
      <c r="G164" s="171"/>
      <c r="H164" s="455"/>
      <c r="I164" s="454"/>
      <c r="J164" s="171"/>
      <c r="K164" s="171"/>
      <c r="L164" s="171"/>
      <c r="M164" s="455"/>
      <c r="N164" s="454"/>
      <c r="O164" s="171"/>
      <c r="P164" s="171"/>
      <c r="Q164" s="171"/>
      <c r="R164" s="455"/>
      <c r="S164" s="454"/>
      <c r="T164" s="171"/>
      <c r="U164" s="171"/>
      <c r="V164" s="171"/>
      <c r="W164" s="455"/>
      <c r="X164" s="454"/>
      <c r="Y164" s="171"/>
      <c r="Z164" s="171"/>
      <c r="AA164" s="171"/>
      <c r="AB164" s="455"/>
    </row>
    <row r="165" spans="1:30" ht="42" customHeight="1" x14ac:dyDescent="0.2">
      <c r="A165" s="186" t="s">
        <v>10</v>
      </c>
      <c r="B165" s="452" t="s">
        <v>1067</v>
      </c>
      <c r="C165" s="453"/>
      <c r="D165" s="453"/>
      <c r="E165" s="453"/>
      <c r="F165" s="453"/>
      <c r="G165" s="453"/>
      <c r="H165" s="453"/>
      <c r="I165" s="453"/>
      <c r="J165" s="453"/>
      <c r="K165" s="453"/>
      <c r="L165" s="453"/>
      <c r="M165" s="453"/>
      <c r="N165" s="453"/>
      <c r="O165" s="453"/>
      <c r="P165" s="453"/>
      <c r="Q165" s="453"/>
      <c r="R165" s="453"/>
      <c r="S165" s="453"/>
      <c r="T165" s="453"/>
      <c r="U165" s="453"/>
      <c r="V165" s="453"/>
      <c r="W165" s="453"/>
      <c r="X165" s="453"/>
      <c r="Y165" s="453"/>
      <c r="Z165" s="453"/>
      <c r="AA165" s="453"/>
      <c r="AB165" s="453"/>
      <c r="AC165" s="173"/>
      <c r="AD165" s="174"/>
    </row>
    <row r="166" spans="1:30" ht="15" customHeight="1" x14ac:dyDescent="0.2">
      <c r="A166" s="456" t="s">
        <v>11</v>
      </c>
      <c r="B166" s="154" t="s">
        <v>595</v>
      </c>
      <c r="C166" s="430">
        <f>D166</f>
        <v>51269</v>
      </c>
      <c r="D166" s="433">
        <v>51269</v>
      </c>
      <c r="E166" s="175"/>
      <c r="F166" s="175"/>
      <c r="G166" s="175"/>
      <c r="H166" s="430">
        <f>I166</f>
        <v>13924</v>
      </c>
      <c r="I166" s="433">
        <f>13924</f>
        <v>13924</v>
      </c>
      <c r="J166" s="175"/>
      <c r="K166" s="175"/>
      <c r="L166" s="175"/>
      <c r="M166" s="439">
        <f>N166</f>
        <v>34933</v>
      </c>
      <c r="N166" s="442">
        <f>11888+2036+1353+2370+4401+11012+1873</f>
        <v>34933</v>
      </c>
      <c r="O166" s="175"/>
      <c r="P166" s="175"/>
      <c r="Q166" s="175"/>
      <c r="R166" s="430">
        <f>S166</f>
        <v>2500</v>
      </c>
      <c r="S166" s="433">
        <f>13924-11424</f>
        <v>2500</v>
      </c>
      <c r="T166" s="175"/>
      <c r="U166" s="175"/>
      <c r="V166" s="175"/>
      <c r="W166" s="430">
        <f>X166</f>
        <v>2500</v>
      </c>
      <c r="X166" s="433">
        <f>29000+781-27281</f>
        <v>2500</v>
      </c>
      <c r="Y166" s="175"/>
      <c r="Z166" s="175"/>
      <c r="AA166" s="175"/>
      <c r="AB166" s="430">
        <f>C166+H166+M166+R166+W166</f>
        <v>105126</v>
      </c>
    </row>
    <row r="167" spans="1:30" ht="15" customHeight="1" x14ac:dyDescent="0.2">
      <c r="A167" s="457"/>
      <c r="B167" s="157" t="s">
        <v>434</v>
      </c>
      <c r="C167" s="431"/>
      <c r="D167" s="434"/>
      <c r="E167" s="175"/>
      <c r="F167" s="175"/>
      <c r="G167" s="175"/>
      <c r="H167" s="431"/>
      <c r="I167" s="434"/>
      <c r="J167" s="175"/>
      <c r="K167" s="175"/>
      <c r="L167" s="175"/>
      <c r="M167" s="440"/>
      <c r="N167" s="443"/>
      <c r="O167" s="175"/>
      <c r="P167" s="175"/>
      <c r="Q167" s="175"/>
      <c r="R167" s="431"/>
      <c r="S167" s="434"/>
      <c r="T167" s="175"/>
      <c r="U167" s="175"/>
      <c r="V167" s="175"/>
      <c r="W167" s="431"/>
      <c r="X167" s="434"/>
      <c r="Y167" s="175"/>
      <c r="Z167" s="175"/>
      <c r="AA167" s="175"/>
      <c r="AB167" s="431"/>
    </row>
    <row r="168" spans="1:30" ht="15" customHeight="1" x14ac:dyDescent="0.2">
      <c r="A168" s="457"/>
      <c r="B168" s="159" t="s">
        <v>509</v>
      </c>
      <c r="C168" s="431"/>
      <c r="D168" s="434"/>
      <c r="E168" s="175"/>
      <c r="F168" s="175"/>
      <c r="G168" s="175"/>
      <c r="H168" s="431"/>
      <c r="I168" s="434"/>
      <c r="J168" s="175"/>
      <c r="K168" s="175"/>
      <c r="L168" s="175"/>
      <c r="M168" s="440"/>
      <c r="N168" s="443"/>
      <c r="O168" s="175"/>
      <c r="P168" s="175"/>
      <c r="Q168" s="175"/>
      <c r="R168" s="431"/>
      <c r="S168" s="434"/>
      <c r="T168" s="175"/>
      <c r="U168" s="175"/>
      <c r="V168" s="175"/>
      <c r="W168" s="431"/>
      <c r="X168" s="434"/>
      <c r="Y168" s="175"/>
      <c r="Z168" s="175"/>
      <c r="AA168" s="175"/>
      <c r="AB168" s="431"/>
    </row>
    <row r="169" spans="1:30" ht="18" customHeight="1" x14ac:dyDescent="0.2">
      <c r="A169" s="457"/>
      <c r="B169" s="159" t="s">
        <v>510</v>
      </c>
      <c r="C169" s="431"/>
      <c r="D169" s="434"/>
      <c r="E169" s="175"/>
      <c r="F169" s="175"/>
      <c r="G169" s="175"/>
      <c r="H169" s="431"/>
      <c r="I169" s="434"/>
      <c r="J169" s="175"/>
      <c r="K169" s="175"/>
      <c r="L169" s="175"/>
      <c r="M169" s="440"/>
      <c r="N169" s="443"/>
      <c r="O169" s="175"/>
      <c r="P169" s="175"/>
      <c r="Q169" s="175"/>
      <c r="R169" s="431"/>
      <c r="S169" s="434"/>
      <c r="T169" s="175"/>
      <c r="U169" s="175"/>
      <c r="V169" s="175"/>
      <c r="W169" s="431"/>
      <c r="X169" s="434"/>
      <c r="Y169" s="175"/>
      <c r="Z169" s="175"/>
      <c r="AA169" s="175"/>
      <c r="AB169" s="431"/>
    </row>
    <row r="170" spans="1:30" ht="18" customHeight="1" x14ac:dyDescent="0.2">
      <c r="A170" s="457"/>
      <c r="B170" s="159" t="s">
        <v>511</v>
      </c>
      <c r="C170" s="431"/>
      <c r="D170" s="434"/>
      <c r="E170" s="175"/>
      <c r="F170" s="175"/>
      <c r="G170" s="175"/>
      <c r="H170" s="431"/>
      <c r="I170" s="434"/>
      <c r="J170" s="175"/>
      <c r="K170" s="175"/>
      <c r="L170" s="175"/>
      <c r="M170" s="440"/>
      <c r="N170" s="443"/>
      <c r="O170" s="175"/>
      <c r="P170" s="175"/>
      <c r="Q170" s="175"/>
      <c r="R170" s="431"/>
      <c r="S170" s="434"/>
      <c r="T170" s="175"/>
      <c r="U170" s="175"/>
      <c r="V170" s="175"/>
      <c r="W170" s="431"/>
      <c r="X170" s="434"/>
      <c r="Y170" s="175"/>
      <c r="Z170" s="175"/>
      <c r="AA170" s="175"/>
      <c r="AB170" s="431"/>
    </row>
    <row r="171" spans="1:30" ht="18" customHeight="1" x14ac:dyDescent="0.2">
      <c r="A171" s="457"/>
      <c r="B171" s="159" t="s">
        <v>512</v>
      </c>
      <c r="C171" s="431"/>
      <c r="D171" s="434"/>
      <c r="E171" s="175"/>
      <c r="F171" s="175"/>
      <c r="G171" s="175"/>
      <c r="H171" s="431"/>
      <c r="I171" s="434"/>
      <c r="J171" s="175"/>
      <c r="K171" s="175"/>
      <c r="L171" s="175"/>
      <c r="M171" s="440"/>
      <c r="N171" s="443"/>
      <c r="O171" s="175"/>
      <c r="P171" s="175"/>
      <c r="Q171" s="175"/>
      <c r="R171" s="431"/>
      <c r="S171" s="434"/>
      <c r="T171" s="175"/>
      <c r="U171" s="175"/>
      <c r="V171" s="175"/>
      <c r="W171" s="431"/>
      <c r="X171" s="434"/>
      <c r="Y171" s="175"/>
      <c r="Z171" s="175"/>
      <c r="AA171" s="175"/>
      <c r="AB171" s="431"/>
    </row>
    <row r="172" spans="1:30" ht="18" customHeight="1" x14ac:dyDescent="0.2">
      <c r="A172" s="437" t="s">
        <v>11</v>
      </c>
      <c r="B172" s="159" t="s">
        <v>513</v>
      </c>
      <c r="C172" s="431"/>
      <c r="D172" s="434"/>
      <c r="E172" s="175"/>
      <c r="F172" s="175"/>
      <c r="G172" s="175"/>
      <c r="H172" s="431"/>
      <c r="I172" s="434"/>
      <c r="J172" s="175"/>
      <c r="K172" s="175"/>
      <c r="L172" s="175"/>
      <c r="M172" s="440"/>
      <c r="N172" s="443"/>
      <c r="O172" s="175"/>
      <c r="P172" s="175"/>
      <c r="Q172" s="175"/>
      <c r="R172" s="431"/>
      <c r="S172" s="434"/>
      <c r="T172" s="175"/>
      <c r="U172" s="175"/>
      <c r="V172" s="175"/>
      <c r="W172" s="431"/>
      <c r="X172" s="434"/>
      <c r="Y172" s="175"/>
      <c r="Z172" s="175"/>
      <c r="AA172" s="175"/>
      <c r="AB172" s="431"/>
    </row>
    <row r="173" spans="1:30" ht="15" customHeight="1" x14ac:dyDescent="0.2">
      <c r="A173" s="437"/>
      <c r="B173" s="159" t="s">
        <v>514</v>
      </c>
      <c r="C173" s="431"/>
      <c r="D173" s="434"/>
      <c r="E173" s="175"/>
      <c r="F173" s="175"/>
      <c r="G173" s="175"/>
      <c r="H173" s="431"/>
      <c r="I173" s="434"/>
      <c r="J173" s="175"/>
      <c r="K173" s="175"/>
      <c r="L173" s="175"/>
      <c r="M173" s="440"/>
      <c r="N173" s="443"/>
      <c r="O173" s="175"/>
      <c r="P173" s="175"/>
      <c r="Q173" s="175"/>
      <c r="R173" s="431"/>
      <c r="S173" s="434"/>
      <c r="T173" s="175"/>
      <c r="U173" s="175"/>
      <c r="V173" s="175"/>
      <c r="W173" s="431"/>
      <c r="X173" s="434"/>
      <c r="Y173" s="175"/>
      <c r="Z173" s="175"/>
      <c r="AA173" s="175"/>
      <c r="AB173" s="431"/>
    </row>
    <row r="174" spans="1:30" ht="18" customHeight="1" x14ac:dyDescent="0.2">
      <c r="A174" s="437"/>
      <c r="B174" s="159" t="s">
        <v>515</v>
      </c>
      <c r="C174" s="431"/>
      <c r="D174" s="434"/>
      <c r="E174" s="175"/>
      <c r="F174" s="175"/>
      <c r="G174" s="175"/>
      <c r="H174" s="431"/>
      <c r="I174" s="434"/>
      <c r="J174" s="175"/>
      <c r="K174" s="175"/>
      <c r="L174" s="175"/>
      <c r="M174" s="440"/>
      <c r="N174" s="443"/>
      <c r="O174" s="175"/>
      <c r="P174" s="175"/>
      <c r="Q174" s="175"/>
      <c r="R174" s="431"/>
      <c r="S174" s="434"/>
      <c r="T174" s="175"/>
      <c r="U174" s="175"/>
      <c r="V174" s="175"/>
      <c r="W174" s="431"/>
      <c r="X174" s="434"/>
      <c r="Y174" s="175"/>
      <c r="Z174" s="175"/>
      <c r="AA174" s="175"/>
      <c r="AB174" s="431"/>
    </row>
    <row r="175" spans="1:30" ht="18.75" customHeight="1" x14ac:dyDescent="0.2">
      <c r="A175" s="437"/>
      <c r="B175" s="159" t="s">
        <v>516</v>
      </c>
      <c r="C175" s="431"/>
      <c r="D175" s="434"/>
      <c r="E175" s="175"/>
      <c r="F175" s="175"/>
      <c r="G175" s="175"/>
      <c r="H175" s="431"/>
      <c r="I175" s="434"/>
      <c r="J175" s="175"/>
      <c r="K175" s="175"/>
      <c r="L175" s="175"/>
      <c r="M175" s="440"/>
      <c r="N175" s="443"/>
      <c r="O175" s="175"/>
      <c r="P175" s="175"/>
      <c r="Q175" s="175"/>
      <c r="R175" s="431"/>
      <c r="S175" s="434"/>
      <c r="T175" s="175"/>
      <c r="U175" s="175"/>
      <c r="V175" s="175"/>
      <c r="W175" s="431"/>
      <c r="X175" s="434"/>
      <c r="Y175" s="175"/>
      <c r="Z175" s="175"/>
      <c r="AA175" s="175"/>
      <c r="AB175" s="431"/>
    </row>
    <row r="176" spans="1:30" ht="15.75" customHeight="1" x14ac:dyDescent="0.2">
      <c r="A176" s="437"/>
      <c r="B176" s="159" t="s">
        <v>517</v>
      </c>
      <c r="C176" s="431"/>
      <c r="D176" s="434"/>
      <c r="E176" s="175"/>
      <c r="F176" s="175"/>
      <c r="G176" s="175"/>
      <c r="H176" s="431"/>
      <c r="I176" s="434"/>
      <c r="J176" s="175"/>
      <c r="K176" s="175"/>
      <c r="L176" s="175"/>
      <c r="M176" s="440"/>
      <c r="N176" s="443"/>
      <c r="O176" s="175"/>
      <c r="P176" s="175"/>
      <c r="Q176" s="175"/>
      <c r="R176" s="431"/>
      <c r="S176" s="434"/>
      <c r="T176" s="175"/>
      <c r="U176" s="175"/>
      <c r="V176" s="175"/>
      <c r="W176" s="431"/>
      <c r="X176" s="434"/>
      <c r="Y176" s="175"/>
      <c r="Z176" s="175"/>
      <c r="AA176" s="175"/>
      <c r="AB176" s="431"/>
    </row>
    <row r="177" spans="1:28" ht="15" customHeight="1" x14ac:dyDescent="0.2">
      <c r="A177" s="437"/>
      <c r="B177" s="159" t="s">
        <v>518</v>
      </c>
      <c r="C177" s="431"/>
      <c r="D177" s="434"/>
      <c r="E177" s="175"/>
      <c r="F177" s="175"/>
      <c r="G177" s="175"/>
      <c r="H177" s="431"/>
      <c r="I177" s="434"/>
      <c r="J177" s="175"/>
      <c r="K177" s="175"/>
      <c r="L177" s="175"/>
      <c r="M177" s="440"/>
      <c r="N177" s="443"/>
      <c r="O177" s="175"/>
      <c r="P177" s="175"/>
      <c r="Q177" s="175"/>
      <c r="R177" s="431"/>
      <c r="S177" s="434"/>
      <c r="T177" s="175"/>
      <c r="U177" s="175"/>
      <c r="V177" s="175"/>
      <c r="W177" s="431"/>
      <c r="X177" s="434"/>
      <c r="Y177" s="175"/>
      <c r="Z177" s="175"/>
      <c r="AA177" s="175"/>
      <c r="AB177" s="431"/>
    </row>
    <row r="178" spans="1:28" ht="12" customHeight="1" x14ac:dyDescent="0.2">
      <c r="A178" s="437"/>
      <c r="B178" s="159" t="s">
        <v>519</v>
      </c>
      <c r="C178" s="431"/>
      <c r="D178" s="434"/>
      <c r="E178" s="175"/>
      <c r="F178" s="175"/>
      <c r="G178" s="175"/>
      <c r="H178" s="431"/>
      <c r="I178" s="434"/>
      <c r="J178" s="175"/>
      <c r="K178" s="175"/>
      <c r="L178" s="175"/>
      <c r="M178" s="440"/>
      <c r="N178" s="443"/>
      <c r="O178" s="175"/>
      <c r="P178" s="175"/>
      <c r="Q178" s="175"/>
      <c r="R178" s="431"/>
      <c r="S178" s="434"/>
      <c r="T178" s="175"/>
      <c r="U178" s="175"/>
      <c r="V178" s="175"/>
      <c r="W178" s="431"/>
      <c r="X178" s="434"/>
      <c r="Y178" s="175"/>
      <c r="Z178" s="175"/>
      <c r="AA178" s="175"/>
      <c r="AB178" s="431"/>
    </row>
    <row r="179" spans="1:28" ht="18" customHeight="1" x14ac:dyDescent="0.2">
      <c r="A179" s="437"/>
      <c r="B179" s="159" t="s">
        <v>520</v>
      </c>
      <c r="C179" s="431"/>
      <c r="D179" s="434"/>
      <c r="E179" s="175"/>
      <c r="F179" s="175"/>
      <c r="G179" s="175"/>
      <c r="H179" s="431"/>
      <c r="I179" s="434"/>
      <c r="J179" s="175"/>
      <c r="K179" s="175"/>
      <c r="L179" s="175"/>
      <c r="M179" s="440"/>
      <c r="N179" s="443"/>
      <c r="O179" s="175"/>
      <c r="P179" s="175"/>
      <c r="Q179" s="175"/>
      <c r="R179" s="431"/>
      <c r="S179" s="434"/>
      <c r="T179" s="175"/>
      <c r="U179" s="175"/>
      <c r="V179" s="175"/>
      <c r="W179" s="431"/>
      <c r="X179" s="434"/>
      <c r="Y179" s="175"/>
      <c r="Z179" s="175"/>
      <c r="AA179" s="175"/>
      <c r="AB179" s="431"/>
    </row>
    <row r="180" spans="1:28" ht="18" customHeight="1" x14ac:dyDescent="0.2">
      <c r="A180" s="437"/>
      <c r="B180" s="159" t="s">
        <v>521</v>
      </c>
      <c r="C180" s="431"/>
      <c r="D180" s="434"/>
      <c r="E180" s="175"/>
      <c r="F180" s="175"/>
      <c r="G180" s="175"/>
      <c r="H180" s="431"/>
      <c r="I180" s="434"/>
      <c r="J180" s="175"/>
      <c r="K180" s="175"/>
      <c r="L180" s="175"/>
      <c r="M180" s="440"/>
      <c r="N180" s="443"/>
      <c r="O180" s="175"/>
      <c r="P180" s="175"/>
      <c r="Q180" s="175"/>
      <c r="R180" s="431"/>
      <c r="S180" s="434"/>
      <c r="T180" s="175"/>
      <c r="U180" s="175"/>
      <c r="V180" s="175"/>
      <c r="W180" s="431"/>
      <c r="X180" s="434"/>
      <c r="Y180" s="175"/>
      <c r="Z180" s="175"/>
      <c r="AA180" s="175"/>
      <c r="AB180" s="431"/>
    </row>
    <row r="181" spans="1:28" ht="18" customHeight="1" x14ac:dyDescent="0.2">
      <c r="A181" s="437"/>
      <c r="B181" s="159" t="s">
        <v>522</v>
      </c>
      <c r="C181" s="431"/>
      <c r="D181" s="434"/>
      <c r="E181" s="175"/>
      <c r="F181" s="175"/>
      <c r="G181" s="175"/>
      <c r="H181" s="431"/>
      <c r="I181" s="434"/>
      <c r="J181" s="175"/>
      <c r="K181" s="175"/>
      <c r="L181" s="175"/>
      <c r="M181" s="440"/>
      <c r="N181" s="443"/>
      <c r="O181" s="175"/>
      <c r="P181" s="175"/>
      <c r="Q181" s="175"/>
      <c r="R181" s="431"/>
      <c r="S181" s="434"/>
      <c r="T181" s="175"/>
      <c r="U181" s="175"/>
      <c r="V181" s="175"/>
      <c r="W181" s="431"/>
      <c r="X181" s="434"/>
      <c r="Y181" s="175"/>
      <c r="Z181" s="175"/>
      <c r="AA181" s="175"/>
      <c r="AB181" s="431"/>
    </row>
    <row r="182" spans="1:28" ht="18" customHeight="1" x14ac:dyDescent="0.2">
      <c r="A182" s="437"/>
      <c r="B182" s="159" t="s">
        <v>523</v>
      </c>
      <c r="C182" s="431"/>
      <c r="D182" s="434"/>
      <c r="E182" s="175"/>
      <c r="F182" s="175"/>
      <c r="G182" s="175"/>
      <c r="H182" s="431"/>
      <c r="I182" s="434"/>
      <c r="J182" s="175"/>
      <c r="K182" s="175"/>
      <c r="L182" s="175"/>
      <c r="M182" s="440"/>
      <c r="N182" s="443"/>
      <c r="O182" s="175"/>
      <c r="P182" s="175"/>
      <c r="Q182" s="175"/>
      <c r="R182" s="431"/>
      <c r="S182" s="434"/>
      <c r="T182" s="175"/>
      <c r="U182" s="175"/>
      <c r="V182" s="175"/>
      <c r="W182" s="431"/>
      <c r="X182" s="434"/>
      <c r="Y182" s="175"/>
      <c r="Z182" s="175"/>
      <c r="AA182" s="175"/>
      <c r="AB182" s="431"/>
    </row>
    <row r="183" spans="1:28" ht="18" customHeight="1" x14ac:dyDescent="0.2">
      <c r="A183" s="437"/>
      <c r="B183" s="332" t="s">
        <v>524</v>
      </c>
      <c r="C183" s="431"/>
      <c r="D183" s="434"/>
      <c r="E183" s="175"/>
      <c r="F183" s="175"/>
      <c r="G183" s="175"/>
      <c r="H183" s="431"/>
      <c r="I183" s="434"/>
      <c r="J183" s="175"/>
      <c r="K183" s="175"/>
      <c r="L183" s="175"/>
      <c r="M183" s="440"/>
      <c r="N183" s="443"/>
      <c r="O183" s="175"/>
      <c r="P183" s="175"/>
      <c r="Q183" s="175"/>
      <c r="R183" s="431"/>
      <c r="S183" s="434"/>
      <c r="T183" s="175"/>
      <c r="U183" s="175"/>
      <c r="V183" s="175"/>
      <c r="W183" s="431"/>
      <c r="X183" s="434"/>
      <c r="Y183" s="175"/>
      <c r="Z183" s="175"/>
      <c r="AA183" s="175"/>
      <c r="AB183" s="431"/>
    </row>
    <row r="184" spans="1:28" ht="18" customHeight="1" x14ac:dyDescent="0.2">
      <c r="A184" s="437"/>
      <c r="B184" s="159" t="s">
        <v>525</v>
      </c>
      <c r="C184" s="431"/>
      <c r="D184" s="434"/>
      <c r="E184" s="175"/>
      <c r="F184" s="175"/>
      <c r="G184" s="175"/>
      <c r="H184" s="431"/>
      <c r="I184" s="434"/>
      <c r="J184" s="175"/>
      <c r="K184" s="175"/>
      <c r="L184" s="175"/>
      <c r="M184" s="440"/>
      <c r="N184" s="443"/>
      <c r="O184" s="175"/>
      <c r="P184" s="175"/>
      <c r="Q184" s="175"/>
      <c r="R184" s="431"/>
      <c r="S184" s="434"/>
      <c r="T184" s="175"/>
      <c r="U184" s="175"/>
      <c r="V184" s="175"/>
      <c r="W184" s="431"/>
      <c r="X184" s="434"/>
      <c r="Y184" s="175"/>
      <c r="Z184" s="175"/>
      <c r="AA184" s="175"/>
      <c r="AB184" s="431"/>
    </row>
    <row r="185" spans="1:28" ht="18" customHeight="1" x14ac:dyDescent="0.2">
      <c r="A185" s="437"/>
      <c r="B185" s="159" t="s">
        <v>526</v>
      </c>
      <c r="C185" s="431"/>
      <c r="D185" s="434"/>
      <c r="E185" s="175"/>
      <c r="F185" s="175"/>
      <c r="G185" s="175"/>
      <c r="H185" s="431"/>
      <c r="I185" s="434"/>
      <c r="J185" s="175"/>
      <c r="K185" s="175"/>
      <c r="L185" s="175"/>
      <c r="M185" s="440"/>
      <c r="N185" s="443"/>
      <c r="O185" s="175"/>
      <c r="P185" s="175"/>
      <c r="Q185" s="175"/>
      <c r="R185" s="431"/>
      <c r="S185" s="434"/>
      <c r="T185" s="175"/>
      <c r="U185" s="175"/>
      <c r="V185" s="175"/>
      <c r="W185" s="431"/>
      <c r="X185" s="434"/>
      <c r="Y185" s="175"/>
      <c r="Z185" s="175"/>
      <c r="AA185" s="175"/>
      <c r="AB185" s="431"/>
    </row>
    <row r="186" spans="1:28" ht="18" customHeight="1" x14ac:dyDescent="0.2">
      <c r="A186" s="437"/>
      <c r="B186" s="159" t="s">
        <v>527</v>
      </c>
      <c r="C186" s="431"/>
      <c r="D186" s="434"/>
      <c r="E186" s="175"/>
      <c r="F186" s="175"/>
      <c r="G186" s="175"/>
      <c r="H186" s="431"/>
      <c r="I186" s="434"/>
      <c r="J186" s="175"/>
      <c r="K186" s="175"/>
      <c r="L186" s="175"/>
      <c r="M186" s="440"/>
      <c r="N186" s="443"/>
      <c r="O186" s="175"/>
      <c r="P186" s="175"/>
      <c r="Q186" s="175"/>
      <c r="R186" s="431"/>
      <c r="S186" s="434"/>
      <c r="T186" s="175"/>
      <c r="U186" s="175"/>
      <c r="V186" s="175"/>
      <c r="W186" s="431"/>
      <c r="X186" s="434"/>
      <c r="Y186" s="175"/>
      <c r="Z186" s="175"/>
      <c r="AA186" s="175"/>
      <c r="AB186" s="431"/>
    </row>
    <row r="187" spans="1:28" ht="18" customHeight="1" x14ac:dyDescent="0.2">
      <c r="A187" s="437"/>
      <c r="B187" s="159" t="s">
        <v>528</v>
      </c>
      <c r="C187" s="431"/>
      <c r="D187" s="434"/>
      <c r="E187" s="175"/>
      <c r="F187" s="175"/>
      <c r="G187" s="175"/>
      <c r="H187" s="431"/>
      <c r="I187" s="434"/>
      <c r="J187" s="175"/>
      <c r="K187" s="175"/>
      <c r="L187" s="175"/>
      <c r="M187" s="440"/>
      <c r="N187" s="443"/>
      <c r="O187" s="175"/>
      <c r="P187" s="175"/>
      <c r="Q187" s="175"/>
      <c r="R187" s="431"/>
      <c r="S187" s="434"/>
      <c r="T187" s="175"/>
      <c r="U187" s="175"/>
      <c r="V187" s="175"/>
      <c r="W187" s="431"/>
      <c r="X187" s="434"/>
      <c r="Y187" s="175"/>
      <c r="Z187" s="175"/>
      <c r="AA187" s="175"/>
      <c r="AB187" s="431"/>
    </row>
    <row r="188" spans="1:28" ht="18" customHeight="1" x14ac:dyDescent="0.2">
      <c r="A188" s="437"/>
      <c r="B188" s="159" t="s">
        <v>529</v>
      </c>
      <c r="C188" s="431"/>
      <c r="D188" s="434"/>
      <c r="E188" s="175"/>
      <c r="F188" s="175"/>
      <c r="G188" s="175"/>
      <c r="H188" s="431"/>
      <c r="I188" s="434"/>
      <c r="J188" s="175"/>
      <c r="K188" s="175"/>
      <c r="L188" s="175"/>
      <c r="M188" s="440"/>
      <c r="N188" s="443"/>
      <c r="O188" s="175"/>
      <c r="P188" s="175"/>
      <c r="Q188" s="175"/>
      <c r="R188" s="431"/>
      <c r="S188" s="434"/>
      <c r="T188" s="175"/>
      <c r="U188" s="175"/>
      <c r="V188" s="175"/>
      <c r="W188" s="431"/>
      <c r="X188" s="434"/>
      <c r="Y188" s="175"/>
      <c r="Z188" s="175"/>
      <c r="AA188" s="175"/>
      <c r="AB188" s="431"/>
    </row>
    <row r="189" spans="1:28" ht="18" customHeight="1" x14ac:dyDescent="0.2">
      <c r="A189" s="437"/>
      <c r="B189" s="159" t="s">
        <v>530</v>
      </c>
      <c r="C189" s="431"/>
      <c r="D189" s="434"/>
      <c r="E189" s="175"/>
      <c r="F189" s="175"/>
      <c r="G189" s="175"/>
      <c r="H189" s="431"/>
      <c r="I189" s="434"/>
      <c r="J189" s="175"/>
      <c r="K189" s="175"/>
      <c r="L189" s="175"/>
      <c r="M189" s="440"/>
      <c r="N189" s="443"/>
      <c r="O189" s="175"/>
      <c r="P189" s="175"/>
      <c r="Q189" s="175"/>
      <c r="R189" s="431"/>
      <c r="S189" s="434"/>
      <c r="T189" s="175"/>
      <c r="U189" s="175"/>
      <c r="V189" s="175"/>
      <c r="W189" s="431"/>
      <c r="X189" s="434"/>
      <c r="Y189" s="175"/>
      <c r="Z189" s="175"/>
      <c r="AA189" s="175"/>
      <c r="AB189" s="431"/>
    </row>
    <row r="190" spans="1:28" ht="20.25" customHeight="1" x14ac:dyDescent="0.2">
      <c r="A190" s="437"/>
      <c r="B190" s="159" t="s">
        <v>531</v>
      </c>
      <c r="C190" s="431"/>
      <c r="D190" s="434"/>
      <c r="E190" s="175"/>
      <c r="F190" s="175"/>
      <c r="G190" s="175"/>
      <c r="H190" s="431"/>
      <c r="I190" s="434"/>
      <c r="J190" s="175"/>
      <c r="K190" s="175"/>
      <c r="L190" s="175"/>
      <c r="M190" s="440"/>
      <c r="N190" s="443"/>
      <c r="O190" s="175"/>
      <c r="P190" s="175"/>
      <c r="Q190" s="175"/>
      <c r="R190" s="431"/>
      <c r="S190" s="434"/>
      <c r="T190" s="175"/>
      <c r="U190" s="175"/>
      <c r="V190" s="175"/>
      <c r="W190" s="431"/>
      <c r="X190" s="434"/>
      <c r="Y190" s="175"/>
      <c r="Z190" s="175"/>
      <c r="AA190" s="175"/>
      <c r="AB190" s="431"/>
    </row>
    <row r="191" spans="1:28" ht="18" customHeight="1" x14ac:dyDescent="0.2">
      <c r="A191" s="437"/>
      <c r="B191" s="159" t="s">
        <v>532</v>
      </c>
      <c r="C191" s="431"/>
      <c r="D191" s="434"/>
      <c r="E191" s="175"/>
      <c r="F191" s="175"/>
      <c r="G191" s="175"/>
      <c r="H191" s="431"/>
      <c r="I191" s="434"/>
      <c r="J191" s="175"/>
      <c r="K191" s="175"/>
      <c r="L191" s="175"/>
      <c r="M191" s="440"/>
      <c r="N191" s="443"/>
      <c r="O191" s="175"/>
      <c r="P191" s="175"/>
      <c r="Q191" s="175"/>
      <c r="R191" s="431"/>
      <c r="S191" s="434"/>
      <c r="T191" s="175"/>
      <c r="U191" s="175"/>
      <c r="V191" s="175"/>
      <c r="W191" s="431"/>
      <c r="X191" s="434"/>
      <c r="Y191" s="175"/>
      <c r="Z191" s="175"/>
      <c r="AA191" s="175"/>
      <c r="AB191" s="431"/>
    </row>
    <row r="192" spans="1:28" ht="18" customHeight="1" x14ac:dyDescent="0.2">
      <c r="A192" s="437"/>
      <c r="B192" s="159" t="s">
        <v>533</v>
      </c>
      <c r="C192" s="431"/>
      <c r="D192" s="434"/>
      <c r="E192" s="175"/>
      <c r="F192" s="175"/>
      <c r="G192" s="175"/>
      <c r="H192" s="431"/>
      <c r="I192" s="434"/>
      <c r="J192" s="175"/>
      <c r="K192" s="175"/>
      <c r="L192" s="175"/>
      <c r="M192" s="440"/>
      <c r="N192" s="443"/>
      <c r="O192" s="175"/>
      <c r="P192" s="175"/>
      <c r="Q192" s="175"/>
      <c r="R192" s="431"/>
      <c r="S192" s="434"/>
      <c r="T192" s="175"/>
      <c r="U192" s="175"/>
      <c r="V192" s="175"/>
      <c r="W192" s="431"/>
      <c r="X192" s="434"/>
      <c r="Y192" s="175"/>
      <c r="Z192" s="175"/>
      <c r="AA192" s="175"/>
      <c r="AB192" s="431"/>
    </row>
    <row r="193" spans="1:28" ht="18" customHeight="1" x14ac:dyDescent="0.2">
      <c r="A193" s="437"/>
      <c r="B193" s="159" t="s">
        <v>534</v>
      </c>
      <c r="C193" s="431"/>
      <c r="D193" s="434"/>
      <c r="E193" s="175"/>
      <c r="F193" s="175"/>
      <c r="G193" s="175"/>
      <c r="H193" s="431"/>
      <c r="I193" s="434"/>
      <c r="J193" s="175"/>
      <c r="K193" s="175"/>
      <c r="L193" s="175"/>
      <c r="M193" s="440"/>
      <c r="N193" s="443"/>
      <c r="O193" s="175"/>
      <c r="P193" s="175"/>
      <c r="Q193" s="175"/>
      <c r="R193" s="431"/>
      <c r="S193" s="434"/>
      <c r="T193" s="175"/>
      <c r="U193" s="175"/>
      <c r="V193" s="175"/>
      <c r="W193" s="431"/>
      <c r="X193" s="434"/>
      <c r="Y193" s="175"/>
      <c r="Z193" s="175"/>
      <c r="AA193" s="175"/>
      <c r="AB193" s="431"/>
    </row>
    <row r="194" spans="1:28" ht="18" customHeight="1" x14ac:dyDescent="0.2">
      <c r="A194" s="437"/>
      <c r="B194" s="159" t="s">
        <v>535</v>
      </c>
      <c r="C194" s="431"/>
      <c r="D194" s="434"/>
      <c r="E194" s="175"/>
      <c r="F194" s="175"/>
      <c r="G194" s="175"/>
      <c r="H194" s="431"/>
      <c r="I194" s="434"/>
      <c r="J194" s="175"/>
      <c r="K194" s="175"/>
      <c r="L194" s="175"/>
      <c r="M194" s="440"/>
      <c r="N194" s="443"/>
      <c r="O194" s="175"/>
      <c r="P194" s="175"/>
      <c r="Q194" s="175"/>
      <c r="R194" s="431"/>
      <c r="S194" s="434"/>
      <c r="T194" s="175"/>
      <c r="U194" s="175"/>
      <c r="V194" s="175"/>
      <c r="W194" s="431"/>
      <c r="X194" s="434"/>
      <c r="Y194" s="175"/>
      <c r="Z194" s="175"/>
      <c r="AA194" s="175"/>
      <c r="AB194" s="431"/>
    </row>
    <row r="195" spans="1:28" ht="18" customHeight="1" x14ac:dyDescent="0.2">
      <c r="A195" s="437"/>
      <c r="B195" s="159" t="s">
        <v>536</v>
      </c>
      <c r="C195" s="431"/>
      <c r="D195" s="434"/>
      <c r="E195" s="175"/>
      <c r="F195" s="175"/>
      <c r="G195" s="175"/>
      <c r="H195" s="431"/>
      <c r="I195" s="434"/>
      <c r="J195" s="175"/>
      <c r="K195" s="175"/>
      <c r="L195" s="175"/>
      <c r="M195" s="440"/>
      <c r="N195" s="443"/>
      <c r="O195" s="175"/>
      <c r="P195" s="175"/>
      <c r="Q195" s="175"/>
      <c r="R195" s="431"/>
      <c r="S195" s="434"/>
      <c r="T195" s="175"/>
      <c r="U195" s="175"/>
      <c r="V195" s="175"/>
      <c r="W195" s="431"/>
      <c r="X195" s="434"/>
      <c r="Y195" s="175"/>
      <c r="Z195" s="175"/>
      <c r="AA195" s="175"/>
      <c r="AB195" s="431"/>
    </row>
    <row r="196" spans="1:28" ht="18" customHeight="1" x14ac:dyDescent="0.2">
      <c r="A196" s="437"/>
      <c r="B196" s="159" t="s">
        <v>537</v>
      </c>
      <c r="C196" s="431"/>
      <c r="D196" s="434"/>
      <c r="E196" s="175"/>
      <c r="F196" s="175"/>
      <c r="G196" s="175"/>
      <c r="H196" s="431"/>
      <c r="I196" s="434"/>
      <c r="J196" s="175"/>
      <c r="K196" s="175"/>
      <c r="L196" s="175"/>
      <c r="M196" s="440"/>
      <c r="N196" s="443"/>
      <c r="O196" s="175"/>
      <c r="P196" s="175"/>
      <c r="Q196" s="175"/>
      <c r="R196" s="431"/>
      <c r="S196" s="434"/>
      <c r="T196" s="175"/>
      <c r="U196" s="175"/>
      <c r="V196" s="175"/>
      <c r="W196" s="431"/>
      <c r="X196" s="434"/>
      <c r="Y196" s="175"/>
      <c r="Z196" s="175"/>
      <c r="AA196" s="175"/>
      <c r="AB196" s="431"/>
    </row>
    <row r="197" spans="1:28" ht="18" customHeight="1" x14ac:dyDescent="0.2">
      <c r="A197" s="437"/>
      <c r="B197" s="159" t="s">
        <v>538</v>
      </c>
      <c r="C197" s="431"/>
      <c r="D197" s="434"/>
      <c r="E197" s="175"/>
      <c r="F197" s="175"/>
      <c r="G197" s="175"/>
      <c r="H197" s="431"/>
      <c r="I197" s="434"/>
      <c r="J197" s="175"/>
      <c r="K197" s="175"/>
      <c r="L197" s="175"/>
      <c r="M197" s="440"/>
      <c r="N197" s="443"/>
      <c r="O197" s="175"/>
      <c r="P197" s="175"/>
      <c r="Q197" s="175"/>
      <c r="R197" s="431"/>
      <c r="S197" s="434"/>
      <c r="T197" s="175"/>
      <c r="U197" s="175"/>
      <c r="V197" s="175"/>
      <c r="W197" s="431"/>
      <c r="X197" s="434"/>
      <c r="Y197" s="175"/>
      <c r="Z197" s="175"/>
      <c r="AA197" s="175"/>
      <c r="AB197" s="431"/>
    </row>
    <row r="198" spans="1:28" ht="18" customHeight="1" x14ac:dyDescent="0.2">
      <c r="A198" s="437"/>
      <c r="B198" s="159" t="s">
        <v>539</v>
      </c>
      <c r="C198" s="431"/>
      <c r="D198" s="434"/>
      <c r="E198" s="175"/>
      <c r="F198" s="175"/>
      <c r="G198" s="175"/>
      <c r="H198" s="431"/>
      <c r="I198" s="434"/>
      <c r="J198" s="175"/>
      <c r="K198" s="175"/>
      <c r="L198" s="175"/>
      <c r="M198" s="440"/>
      <c r="N198" s="443"/>
      <c r="O198" s="175"/>
      <c r="P198" s="175"/>
      <c r="Q198" s="175"/>
      <c r="R198" s="431"/>
      <c r="S198" s="434"/>
      <c r="T198" s="175"/>
      <c r="U198" s="175"/>
      <c r="V198" s="175"/>
      <c r="W198" s="431"/>
      <c r="X198" s="434"/>
      <c r="Y198" s="175"/>
      <c r="Z198" s="175"/>
      <c r="AA198" s="175"/>
      <c r="AB198" s="431"/>
    </row>
    <row r="199" spans="1:28" ht="18" customHeight="1" x14ac:dyDescent="0.2">
      <c r="A199" s="437"/>
      <c r="B199" s="159" t="s">
        <v>540</v>
      </c>
      <c r="C199" s="431"/>
      <c r="D199" s="434"/>
      <c r="E199" s="175"/>
      <c r="F199" s="175"/>
      <c r="G199" s="175"/>
      <c r="H199" s="431"/>
      <c r="I199" s="434"/>
      <c r="J199" s="175"/>
      <c r="K199" s="175"/>
      <c r="L199" s="175"/>
      <c r="M199" s="440"/>
      <c r="N199" s="443"/>
      <c r="O199" s="175"/>
      <c r="P199" s="175"/>
      <c r="Q199" s="175"/>
      <c r="R199" s="431"/>
      <c r="S199" s="434"/>
      <c r="T199" s="175"/>
      <c r="U199" s="175"/>
      <c r="V199" s="175"/>
      <c r="W199" s="431"/>
      <c r="X199" s="434"/>
      <c r="Y199" s="175"/>
      <c r="Z199" s="175"/>
      <c r="AA199" s="175"/>
      <c r="AB199" s="431"/>
    </row>
    <row r="200" spans="1:28" ht="18" customHeight="1" x14ac:dyDescent="0.2">
      <c r="A200" s="437"/>
      <c r="B200" s="159" t="s">
        <v>541</v>
      </c>
      <c r="C200" s="431"/>
      <c r="D200" s="434"/>
      <c r="E200" s="175"/>
      <c r="F200" s="175"/>
      <c r="G200" s="175"/>
      <c r="H200" s="431"/>
      <c r="I200" s="434"/>
      <c r="J200" s="175"/>
      <c r="K200" s="175"/>
      <c r="L200" s="175"/>
      <c r="M200" s="440"/>
      <c r="N200" s="443"/>
      <c r="O200" s="175"/>
      <c r="P200" s="175"/>
      <c r="Q200" s="175"/>
      <c r="R200" s="431"/>
      <c r="S200" s="434"/>
      <c r="T200" s="175"/>
      <c r="U200" s="175"/>
      <c r="V200" s="175"/>
      <c r="W200" s="431"/>
      <c r="X200" s="434"/>
      <c r="Y200" s="175"/>
      <c r="Z200" s="175"/>
      <c r="AA200" s="175"/>
      <c r="AB200" s="431"/>
    </row>
    <row r="201" spans="1:28" ht="18" customHeight="1" x14ac:dyDescent="0.2">
      <c r="A201" s="437"/>
      <c r="B201" s="159" t="s">
        <v>542</v>
      </c>
      <c r="C201" s="431"/>
      <c r="D201" s="434"/>
      <c r="E201" s="175"/>
      <c r="F201" s="175"/>
      <c r="G201" s="175"/>
      <c r="H201" s="431"/>
      <c r="I201" s="434"/>
      <c r="J201" s="175"/>
      <c r="K201" s="175"/>
      <c r="L201" s="175"/>
      <c r="M201" s="440"/>
      <c r="N201" s="443"/>
      <c r="O201" s="175"/>
      <c r="P201" s="175"/>
      <c r="Q201" s="175"/>
      <c r="R201" s="431"/>
      <c r="S201" s="434"/>
      <c r="T201" s="175"/>
      <c r="U201" s="175"/>
      <c r="V201" s="175"/>
      <c r="W201" s="431"/>
      <c r="X201" s="434"/>
      <c r="Y201" s="175"/>
      <c r="Z201" s="175"/>
      <c r="AA201" s="175"/>
      <c r="AB201" s="431"/>
    </row>
    <row r="202" spans="1:28" ht="18" customHeight="1" x14ac:dyDescent="0.2">
      <c r="A202" s="437"/>
      <c r="B202" s="159" t="s">
        <v>543</v>
      </c>
      <c r="C202" s="431"/>
      <c r="D202" s="434"/>
      <c r="E202" s="175"/>
      <c r="F202" s="175"/>
      <c r="G202" s="175"/>
      <c r="H202" s="431"/>
      <c r="I202" s="434"/>
      <c r="J202" s="175"/>
      <c r="K202" s="175"/>
      <c r="L202" s="175"/>
      <c r="M202" s="440"/>
      <c r="N202" s="443"/>
      <c r="O202" s="175"/>
      <c r="P202" s="175"/>
      <c r="Q202" s="175"/>
      <c r="R202" s="431"/>
      <c r="S202" s="434"/>
      <c r="T202" s="175"/>
      <c r="U202" s="175"/>
      <c r="V202" s="175"/>
      <c r="W202" s="431"/>
      <c r="X202" s="434"/>
      <c r="Y202" s="175"/>
      <c r="Z202" s="175"/>
      <c r="AA202" s="175"/>
      <c r="AB202" s="431"/>
    </row>
    <row r="203" spans="1:28" ht="18" customHeight="1" x14ac:dyDescent="0.2">
      <c r="A203" s="437"/>
      <c r="B203" s="159" t="s">
        <v>544</v>
      </c>
      <c r="C203" s="431"/>
      <c r="D203" s="434"/>
      <c r="E203" s="175"/>
      <c r="F203" s="175"/>
      <c r="G203" s="175"/>
      <c r="H203" s="431"/>
      <c r="I203" s="434"/>
      <c r="J203" s="175"/>
      <c r="K203" s="175"/>
      <c r="L203" s="175"/>
      <c r="M203" s="440"/>
      <c r="N203" s="443"/>
      <c r="O203" s="175"/>
      <c r="P203" s="175"/>
      <c r="Q203" s="175"/>
      <c r="R203" s="431"/>
      <c r="S203" s="434"/>
      <c r="T203" s="175"/>
      <c r="U203" s="175"/>
      <c r="V203" s="175"/>
      <c r="W203" s="431"/>
      <c r="X203" s="434"/>
      <c r="Y203" s="175"/>
      <c r="Z203" s="175"/>
      <c r="AA203" s="175"/>
      <c r="AB203" s="431"/>
    </row>
    <row r="204" spans="1:28" ht="18" customHeight="1" x14ac:dyDescent="0.2">
      <c r="A204" s="437"/>
      <c r="B204" s="159" t="s">
        <v>545</v>
      </c>
      <c r="C204" s="431"/>
      <c r="D204" s="434"/>
      <c r="E204" s="175"/>
      <c r="F204" s="175"/>
      <c r="G204" s="175"/>
      <c r="H204" s="431"/>
      <c r="I204" s="434"/>
      <c r="J204" s="175"/>
      <c r="K204" s="175"/>
      <c r="L204" s="175"/>
      <c r="M204" s="440"/>
      <c r="N204" s="443"/>
      <c r="O204" s="175"/>
      <c r="P204" s="175"/>
      <c r="Q204" s="175"/>
      <c r="R204" s="431"/>
      <c r="S204" s="434"/>
      <c r="T204" s="175"/>
      <c r="U204" s="175"/>
      <c r="V204" s="175"/>
      <c r="W204" s="431"/>
      <c r="X204" s="434"/>
      <c r="Y204" s="175"/>
      <c r="Z204" s="175"/>
      <c r="AA204" s="175"/>
      <c r="AB204" s="431"/>
    </row>
    <row r="205" spans="1:28" ht="18" customHeight="1" x14ac:dyDescent="0.2">
      <c r="A205" s="437"/>
      <c r="B205" s="159" t="s">
        <v>546</v>
      </c>
      <c r="C205" s="431"/>
      <c r="D205" s="434"/>
      <c r="E205" s="175"/>
      <c r="F205" s="175"/>
      <c r="G205" s="175"/>
      <c r="H205" s="431"/>
      <c r="I205" s="434"/>
      <c r="J205" s="175"/>
      <c r="K205" s="175"/>
      <c r="L205" s="175"/>
      <c r="M205" s="440"/>
      <c r="N205" s="443"/>
      <c r="O205" s="175"/>
      <c r="P205" s="175"/>
      <c r="Q205" s="175"/>
      <c r="R205" s="431"/>
      <c r="S205" s="434"/>
      <c r="T205" s="175"/>
      <c r="U205" s="175"/>
      <c r="V205" s="175"/>
      <c r="W205" s="431"/>
      <c r="X205" s="434"/>
      <c r="Y205" s="175"/>
      <c r="Z205" s="175"/>
      <c r="AA205" s="175"/>
      <c r="AB205" s="431"/>
    </row>
    <row r="206" spans="1:28" ht="18" customHeight="1" x14ac:dyDescent="0.2">
      <c r="A206" s="437"/>
      <c r="B206" s="159" t="s">
        <v>547</v>
      </c>
      <c r="C206" s="431"/>
      <c r="D206" s="434"/>
      <c r="E206" s="175"/>
      <c r="F206" s="175"/>
      <c r="G206" s="175"/>
      <c r="H206" s="431"/>
      <c r="I206" s="434"/>
      <c r="J206" s="175"/>
      <c r="K206" s="175"/>
      <c r="L206" s="175"/>
      <c r="M206" s="440"/>
      <c r="N206" s="443"/>
      <c r="O206" s="175"/>
      <c r="P206" s="175"/>
      <c r="Q206" s="175"/>
      <c r="R206" s="431"/>
      <c r="S206" s="434"/>
      <c r="T206" s="175"/>
      <c r="U206" s="175"/>
      <c r="V206" s="175"/>
      <c r="W206" s="431"/>
      <c r="X206" s="434"/>
      <c r="Y206" s="175"/>
      <c r="Z206" s="175"/>
      <c r="AA206" s="175"/>
      <c r="AB206" s="431"/>
    </row>
    <row r="207" spans="1:28" ht="18" customHeight="1" x14ac:dyDescent="0.2">
      <c r="A207" s="437"/>
      <c r="B207" s="159" t="s">
        <v>548</v>
      </c>
      <c r="C207" s="431"/>
      <c r="D207" s="434"/>
      <c r="E207" s="175"/>
      <c r="F207" s="175"/>
      <c r="G207" s="175"/>
      <c r="H207" s="431"/>
      <c r="I207" s="434"/>
      <c r="J207" s="175"/>
      <c r="K207" s="175"/>
      <c r="L207" s="175"/>
      <c r="M207" s="440"/>
      <c r="N207" s="443"/>
      <c r="O207" s="175"/>
      <c r="P207" s="175"/>
      <c r="Q207" s="175"/>
      <c r="R207" s="431"/>
      <c r="S207" s="434"/>
      <c r="T207" s="175"/>
      <c r="U207" s="175"/>
      <c r="V207" s="175"/>
      <c r="W207" s="431"/>
      <c r="X207" s="434"/>
      <c r="Y207" s="175"/>
      <c r="Z207" s="175"/>
      <c r="AA207" s="175"/>
      <c r="AB207" s="431"/>
    </row>
    <row r="208" spans="1:28" ht="18" customHeight="1" x14ac:dyDescent="0.2">
      <c r="A208" s="437"/>
      <c r="B208" s="159" t="s">
        <v>549</v>
      </c>
      <c r="C208" s="431"/>
      <c r="D208" s="434"/>
      <c r="E208" s="175"/>
      <c r="F208" s="175"/>
      <c r="G208" s="175"/>
      <c r="H208" s="431"/>
      <c r="I208" s="434"/>
      <c r="J208" s="175"/>
      <c r="K208" s="175"/>
      <c r="L208" s="175"/>
      <c r="M208" s="440"/>
      <c r="N208" s="443"/>
      <c r="O208" s="175"/>
      <c r="P208" s="175"/>
      <c r="Q208" s="175"/>
      <c r="R208" s="431"/>
      <c r="S208" s="434"/>
      <c r="T208" s="175"/>
      <c r="U208" s="175"/>
      <c r="V208" s="175"/>
      <c r="W208" s="431"/>
      <c r="X208" s="434"/>
      <c r="Y208" s="175"/>
      <c r="Z208" s="175"/>
      <c r="AA208" s="175"/>
      <c r="AB208" s="431"/>
    </row>
    <row r="209" spans="1:28" ht="18" customHeight="1" x14ac:dyDescent="0.2">
      <c r="A209" s="437"/>
      <c r="B209" s="159" t="s">
        <v>550</v>
      </c>
      <c r="C209" s="431"/>
      <c r="D209" s="434"/>
      <c r="E209" s="175"/>
      <c r="F209" s="175"/>
      <c r="G209" s="175"/>
      <c r="H209" s="431"/>
      <c r="I209" s="434"/>
      <c r="J209" s="175"/>
      <c r="K209" s="175"/>
      <c r="L209" s="175"/>
      <c r="M209" s="440"/>
      <c r="N209" s="443"/>
      <c r="O209" s="175"/>
      <c r="P209" s="175"/>
      <c r="Q209" s="175"/>
      <c r="R209" s="431"/>
      <c r="S209" s="434"/>
      <c r="T209" s="175"/>
      <c r="U209" s="175"/>
      <c r="V209" s="175"/>
      <c r="W209" s="431"/>
      <c r="X209" s="434"/>
      <c r="Y209" s="175"/>
      <c r="Z209" s="175"/>
      <c r="AA209" s="175"/>
      <c r="AB209" s="431"/>
    </row>
    <row r="210" spans="1:28" ht="18" customHeight="1" x14ac:dyDescent="0.2">
      <c r="A210" s="437"/>
      <c r="B210" s="159" t="s">
        <v>551</v>
      </c>
      <c r="C210" s="431"/>
      <c r="D210" s="434"/>
      <c r="E210" s="175"/>
      <c r="F210" s="175"/>
      <c r="G210" s="175"/>
      <c r="H210" s="431"/>
      <c r="I210" s="434"/>
      <c r="J210" s="175"/>
      <c r="K210" s="175"/>
      <c r="L210" s="175"/>
      <c r="M210" s="440"/>
      <c r="N210" s="443"/>
      <c r="O210" s="175"/>
      <c r="P210" s="175"/>
      <c r="Q210" s="175"/>
      <c r="R210" s="431"/>
      <c r="S210" s="434"/>
      <c r="T210" s="175"/>
      <c r="U210" s="175"/>
      <c r="V210" s="175"/>
      <c r="W210" s="431"/>
      <c r="X210" s="434"/>
      <c r="Y210" s="175"/>
      <c r="Z210" s="175"/>
      <c r="AA210" s="175"/>
      <c r="AB210" s="431"/>
    </row>
    <row r="211" spans="1:28" ht="18" customHeight="1" x14ac:dyDescent="0.2">
      <c r="A211" s="437"/>
      <c r="B211" s="159" t="s">
        <v>552</v>
      </c>
      <c r="C211" s="431"/>
      <c r="D211" s="434"/>
      <c r="E211" s="175"/>
      <c r="F211" s="175"/>
      <c r="G211" s="175"/>
      <c r="H211" s="431"/>
      <c r="I211" s="434"/>
      <c r="J211" s="175"/>
      <c r="K211" s="175"/>
      <c r="L211" s="175"/>
      <c r="M211" s="440"/>
      <c r="N211" s="443"/>
      <c r="O211" s="175"/>
      <c r="P211" s="175"/>
      <c r="Q211" s="175"/>
      <c r="R211" s="431"/>
      <c r="S211" s="434"/>
      <c r="T211" s="175"/>
      <c r="U211" s="175"/>
      <c r="V211" s="175"/>
      <c r="W211" s="431"/>
      <c r="X211" s="434"/>
      <c r="Y211" s="175"/>
      <c r="Z211" s="175"/>
      <c r="AA211" s="175"/>
      <c r="AB211" s="431"/>
    </row>
    <row r="212" spans="1:28" ht="18" customHeight="1" x14ac:dyDescent="0.2">
      <c r="A212" s="437"/>
      <c r="B212" s="159" t="s">
        <v>553</v>
      </c>
      <c r="C212" s="431"/>
      <c r="D212" s="434"/>
      <c r="E212" s="175"/>
      <c r="F212" s="175"/>
      <c r="G212" s="175"/>
      <c r="H212" s="431"/>
      <c r="I212" s="434"/>
      <c r="J212" s="175"/>
      <c r="K212" s="175"/>
      <c r="L212" s="175"/>
      <c r="M212" s="440"/>
      <c r="N212" s="443"/>
      <c r="O212" s="175"/>
      <c r="P212" s="175"/>
      <c r="Q212" s="175"/>
      <c r="R212" s="431"/>
      <c r="S212" s="434"/>
      <c r="T212" s="175"/>
      <c r="U212" s="175"/>
      <c r="V212" s="175"/>
      <c r="W212" s="431"/>
      <c r="X212" s="434"/>
      <c r="Y212" s="175"/>
      <c r="Z212" s="175"/>
      <c r="AA212" s="175"/>
      <c r="AB212" s="431"/>
    </row>
    <row r="213" spans="1:28" ht="18" customHeight="1" x14ac:dyDescent="0.2">
      <c r="A213" s="437"/>
      <c r="B213" s="159" t="s">
        <v>554</v>
      </c>
      <c r="C213" s="431"/>
      <c r="D213" s="434"/>
      <c r="E213" s="175"/>
      <c r="F213" s="175"/>
      <c r="G213" s="175"/>
      <c r="H213" s="431"/>
      <c r="I213" s="434"/>
      <c r="J213" s="175"/>
      <c r="K213" s="175"/>
      <c r="L213" s="175"/>
      <c r="M213" s="440"/>
      <c r="N213" s="443"/>
      <c r="O213" s="175"/>
      <c r="P213" s="175"/>
      <c r="Q213" s="175"/>
      <c r="R213" s="431"/>
      <c r="S213" s="434"/>
      <c r="T213" s="175"/>
      <c r="U213" s="175"/>
      <c r="V213" s="175"/>
      <c r="W213" s="431"/>
      <c r="X213" s="434"/>
      <c r="Y213" s="175"/>
      <c r="Z213" s="175"/>
      <c r="AA213" s="175"/>
      <c r="AB213" s="431"/>
    </row>
    <row r="214" spans="1:28" ht="15" customHeight="1" x14ac:dyDescent="0.2">
      <c r="A214" s="437"/>
      <c r="B214" s="159" t="s">
        <v>555</v>
      </c>
      <c r="C214" s="431"/>
      <c r="D214" s="434"/>
      <c r="E214" s="175"/>
      <c r="F214" s="175"/>
      <c r="G214" s="175"/>
      <c r="H214" s="431"/>
      <c r="I214" s="434"/>
      <c r="J214" s="175"/>
      <c r="K214" s="175"/>
      <c r="L214" s="175"/>
      <c r="M214" s="440"/>
      <c r="N214" s="443"/>
      <c r="O214" s="175"/>
      <c r="P214" s="175"/>
      <c r="Q214" s="175"/>
      <c r="R214" s="431"/>
      <c r="S214" s="434"/>
      <c r="T214" s="175"/>
      <c r="U214" s="175"/>
      <c r="V214" s="175"/>
      <c r="W214" s="431"/>
      <c r="X214" s="434"/>
      <c r="Y214" s="175"/>
      <c r="Z214" s="175"/>
      <c r="AA214" s="175"/>
      <c r="AB214" s="431"/>
    </row>
    <row r="215" spans="1:28" ht="14.25" customHeight="1" x14ac:dyDescent="0.2">
      <c r="A215" s="437"/>
      <c r="B215" s="159" t="s">
        <v>556</v>
      </c>
      <c r="C215" s="431"/>
      <c r="D215" s="434"/>
      <c r="E215" s="13"/>
      <c r="F215" s="13"/>
      <c r="G215" s="13"/>
      <c r="H215" s="431"/>
      <c r="I215" s="434"/>
      <c r="J215" s="13"/>
      <c r="K215" s="13"/>
      <c r="L215" s="13"/>
      <c r="M215" s="440"/>
      <c r="N215" s="443"/>
      <c r="O215" s="13"/>
      <c r="P215" s="13"/>
      <c r="Q215" s="13"/>
      <c r="R215" s="431"/>
      <c r="S215" s="434"/>
      <c r="T215" s="13"/>
      <c r="U215" s="13"/>
      <c r="V215" s="13"/>
      <c r="W215" s="431"/>
      <c r="X215" s="434"/>
      <c r="Y215" s="13"/>
      <c r="Z215" s="13"/>
      <c r="AA215" s="13"/>
      <c r="AB215" s="431"/>
    </row>
    <row r="216" spans="1:28" ht="15" customHeight="1" x14ac:dyDescent="0.2">
      <c r="A216" s="437"/>
      <c r="B216" s="159" t="s">
        <v>557</v>
      </c>
      <c r="C216" s="431"/>
      <c r="D216" s="434"/>
      <c r="E216" s="13"/>
      <c r="F216" s="13"/>
      <c r="G216" s="13"/>
      <c r="H216" s="431"/>
      <c r="I216" s="434"/>
      <c r="J216" s="13"/>
      <c r="K216" s="13"/>
      <c r="L216" s="13"/>
      <c r="M216" s="440"/>
      <c r="N216" s="443"/>
      <c r="O216" s="13"/>
      <c r="P216" s="13"/>
      <c r="Q216" s="13"/>
      <c r="R216" s="431"/>
      <c r="S216" s="434"/>
      <c r="T216" s="13"/>
      <c r="U216" s="13"/>
      <c r="V216" s="13"/>
      <c r="W216" s="431"/>
      <c r="X216" s="434"/>
      <c r="Y216" s="13"/>
      <c r="Z216" s="13"/>
      <c r="AA216" s="13"/>
      <c r="AB216" s="431"/>
    </row>
    <row r="217" spans="1:28" ht="15" customHeight="1" x14ac:dyDescent="0.2">
      <c r="A217" s="437"/>
      <c r="B217" s="159" t="s">
        <v>1771</v>
      </c>
      <c r="C217" s="431"/>
      <c r="D217" s="434"/>
      <c r="E217" s="13"/>
      <c r="F217" s="13"/>
      <c r="G217" s="13"/>
      <c r="H217" s="431"/>
      <c r="I217" s="434"/>
      <c r="J217" s="13"/>
      <c r="K217" s="13"/>
      <c r="L217" s="13"/>
      <c r="M217" s="440"/>
      <c r="N217" s="443"/>
      <c r="O217" s="13"/>
      <c r="P217" s="13"/>
      <c r="Q217" s="13"/>
      <c r="R217" s="431"/>
      <c r="S217" s="434"/>
      <c r="T217" s="13"/>
      <c r="U217" s="13"/>
      <c r="V217" s="13"/>
      <c r="W217" s="431"/>
      <c r="X217" s="434"/>
      <c r="Y217" s="13"/>
      <c r="Z217" s="13"/>
      <c r="AA217" s="13"/>
      <c r="AB217" s="431"/>
    </row>
    <row r="218" spans="1:28" ht="15" customHeight="1" x14ac:dyDescent="0.2">
      <c r="A218" s="437"/>
      <c r="B218" s="159" t="s">
        <v>558</v>
      </c>
      <c r="C218" s="431"/>
      <c r="D218" s="434"/>
      <c r="E218" s="13"/>
      <c r="F218" s="13"/>
      <c r="G218" s="13"/>
      <c r="H218" s="431"/>
      <c r="I218" s="434"/>
      <c r="J218" s="13"/>
      <c r="K218" s="13"/>
      <c r="L218" s="13"/>
      <c r="M218" s="440"/>
      <c r="N218" s="443"/>
      <c r="O218" s="13"/>
      <c r="P218" s="13"/>
      <c r="Q218" s="13"/>
      <c r="R218" s="431"/>
      <c r="S218" s="434"/>
      <c r="T218" s="13"/>
      <c r="U218" s="13"/>
      <c r="V218" s="13"/>
      <c r="W218" s="431"/>
      <c r="X218" s="434"/>
      <c r="Y218" s="13"/>
      <c r="Z218" s="13"/>
      <c r="AA218" s="13"/>
      <c r="AB218" s="431"/>
    </row>
    <row r="219" spans="1:28" ht="18" customHeight="1" x14ac:dyDescent="0.2">
      <c r="A219" s="437" t="s">
        <v>11</v>
      </c>
      <c r="B219" s="159" t="s">
        <v>559</v>
      </c>
      <c r="C219" s="431"/>
      <c r="D219" s="434"/>
      <c r="E219" s="13"/>
      <c r="F219" s="13"/>
      <c r="G219" s="13"/>
      <c r="H219" s="431"/>
      <c r="I219" s="434"/>
      <c r="J219" s="13"/>
      <c r="K219" s="13"/>
      <c r="L219" s="13"/>
      <c r="M219" s="440"/>
      <c r="N219" s="443"/>
      <c r="O219" s="13"/>
      <c r="P219" s="13"/>
      <c r="Q219" s="13"/>
      <c r="R219" s="431"/>
      <c r="S219" s="434"/>
      <c r="T219" s="13"/>
      <c r="U219" s="13"/>
      <c r="V219" s="13"/>
      <c r="W219" s="431"/>
      <c r="X219" s="434"/>
      <c r="Y219" s="13"/>
      <c r="Z219" s="13"/>
      <c r="AA219" s="13"/>
      <c r="AB219" s="431"/>
    </row>
    <row r="220" spans="1:28" ht="18" customHeight="1" x14ac:dyDescent="0.2">
      <c r="A220" s="437"/>
      <c r="B220" s="159" t="s">
        <v>560</v>
      </c>
      <c r="C220" s="431"/>
      <c r="D220" s="434"/>
      <c r="E220" s="13"/>
      <c r="F220" s="13"/>
      <c r="G220" s="13"/>
      <c r="H220" s="431"/>
      <c r="I220" s="434"/>
      <c r="J220" s="13"/>
      <c r="K220" s="13"/>
      <c r="L220" s="13"/>
      <c r="M220" s="440"/>
      <c r="N220" s="443"/>
      <c r="O220" s="13"/>
      <c r="P220" s="13"/>
      <c r="Q220" s="13"/>
      <c r="R220" s="431"/>
      <c r="S220" s="434"/>
      <c r="T220" s="13"/>
      <c r="U220" s="13"/>
      <c r="V220" s="13"/>
      <c r="W220" s="431"/>
      <c r="X220" s="434"/>
      <c r="Y220" s="13"/>
      <c r="Z220" s="13"/>
      <c r="AA220" s="13"/>
      <c r="AB220" s="431"/>
    </row>
    <row r="221" spans="1:28" ht="18" customHeight="1" x14ac:dyDescent="0.2">
      <c r="A221" s="437"/>
      <c r="B221" s="159" t="s">
        <v>813</v>
      </c>
      <c r="C221" s="431"/>
      <c r="D221" s="434"/>
      <c r="E221" s="13"/>
      <c r="F221" s="13"/>
      <c r="G221" s="13"/>
      <c r="H221" s="431"/>
      <c r="I221" s="434"/>
      <c r="J221" s="13"/>
      <c r="K221" s="13"/>
      <c r="L221" s="13"/>
      <c r="M221" s="440"/>
      <c r="N221" s="443"/>
      <c r="O221" s="13"/>
      <c r="P221" s="13"/>
      <c r="Q221" s="13"/>
      <c r="R221" s="431"/>
      <c r="S221" s="434"/>
      <c r="T221" s="13"/>
      <c r="U221" s="13"/>
      <c r="V221" s="13"/>
      <c r="W221" s="431"/>
      <c r="X221" s="434"/>
      <c r="Y221" s="13"/>
      <c r="Z221" s="13"/>
      <c r="AA221" s="13"/>
      <c r="AB221" s="431"/>
    </row>
    <row r="222" spans="1:28" ht="18" customHeight="1" x14ac:dyDescent="0.2">
      <c r="A222" s="437"/>
      <c r="B222" s="159" t="s">
        <v>527</v>
      </c>
      <c r="C222" s="431"/>
      <c r="D222" s="434"/>
      <c r="E222" s="13"/>
      <c r="F222" s="13"/>
      <c r="G222" s="13"/>
      <c r="H222" s="431"/>
      <c r="I222" s="434"/>
      <c r="J222" s="13"/>
      <c r="K222" s="13"/>
      <c r="L222" s="13"/>
      <c r="M222" s="440"/>
      <c r="N222" s="443"/>
      <c r="O222" s="13"/>
      <c r="P222" s="13"/>
      <c r="Q222" s="13"/>
      <c r="R222" s="431"/>
      <c r="S222" s="434"/>
      <c r="T222" s="13"/>
      <c r="U222" s="13"/>
      <c r="V222" s="13"/>
      <c r="W222" s="431"/>
      <c r="X222" s="434"/>
      <c r="Y222" s="13"/>
      <c r="Z222" s="13"/>
      <c r="AA222" s="13"/>
      <c r="AB222" s="431"/>
    </row>
    <row r="223" spans="1:28" ht="18" customHeight="1" x14ac:dyDescent="0.2">
      <c r="A223" s="437"/>
      <c r="B223" s="159" t="s">
        <v>814</v>
      </c>
      <c r="C223" s="431"/>
      <c r="D223" s="434"/>
      <c r="E223" s="13"/>
      <c r="F223" s="13"/>
      <c r="G223" s="13"/>
      <c r="H223" s="431"/>
      <c r="I223" s="434"/>
      <c r="J223" s="13"/>
      <c r="K223" s="13"/>
      <c r="L223" s="13"/>
      <c r="M223" s="440"/>
      <c r="N223" s="443"/>
      <c r="O223" s="13"/>
      <c r="P223" s="13"/>
      <c r="Q223" s="13"/>
      <c r="R223" s="431"/>
      <c r="S223" s="434"/>
      <c r="T223" s="13"/>
      <c r="U223" s="13"/>
      <c r="V223" s="13"/>
      <c r="W223" s="431"/>
      <c r="X223" s="434"/>
      <c r="Y223" s="13"/>
      <c r="Z223" s="13"/>
      <c r="AA223" s="13"/>
      <c r="AB223" s="431"/>
    </row>
    <row r="224" spans="1:28" ht="18" customHeight="1" x14ac:dyDescent="0.2">
      <c r="A224" s="437"/>
      <c r="B224" s="159" t="s">
        <v>815</v>
      </c>
      <c r="C224" s="431"/>
      <c r="D224" s="434"/>
      <c r="E224" s="13"/>
      <c r="F224" s="13"/>
      <c r="G224" s="13"/>
      <c r="H224" s="431"/>
      <c r="I224" s="434"/>
      <c r="J224" s="13"/>
      <c r="K224" s="13"/>
      <c r="L224" s="13"/>
      <c r="M224" s="440"/>
      <c r="N224" s="443"/>
      <c r="O224" s="13"/>
      <c r="P224" s="13"/>
      <c r="Q224" s="13"/>
      <c r="R224" s="431"/>
      <c r="S224" s="434"/>
      <c r="T224" s="13"/>
      <c r="U224" s="13"/>
      <c r="V224" s="13"/>
      <c r="W224" s="431"/>
      <c r="X224" s="434"/>
      <c r="Y224" s="13"/>
      <c r="Z224" s="13"/>
      <c r="AA224" s="13"/>
      <c r="AB224" s="431"/>
    </row>
    <row r="225" spans="1:28" ht="18" customHeight="1" x14ac:dyDescent="0.2">
      <c r="A225" s="437"/>
      <c r="B225" s="159" t="s">
        <v>816</v>
      </c>
      <c r="C225" s="431"/>
      <c r="D225" s="434"/>
      <c r="E225" s="13"/>
      <c r="F225" s="13"/>
      <c r="G225" s="13"/>
      <c r="H225" s="431"/>
      <c r="I225" s="434"/>
      <c r="J225" s="13"/>
      <c r="K225" s="13"/>
      <c r="L225" s="13"/>
      <c r="M225" s="440"/>
      <c r="N225" s="443"/>
      <c r="O225" s="13"/>
      <c r="P225" s="13"/>
      <c r="Q225" s="13"/>
      <c r="R225" s="431"/>
      <c r="S225" s="434"/>
      <c r="T225" s="13"/>
      <c r="U225" s="13"/>
      <c r="V225" s="13"/>
      <c r="W225" s="431"/>
      <c r="X225" s="434"/>
      <c r="Y225" s="13"/>
      <c r="Z225" s="13"/>
      <c r="AA225" s="13"/>
      <c r="AB225" s="431"/>
    </row>
    <row r="226" spans="1:28" ht="18" customHeight="1" x14ac:dyDescent="0.2">
      <c r="A226" s="437"/>
      <c r="B226" s="159" t="s">
        <v>817</v>
      </c>
      <c r="C226" s="431"/>
      <c r="D226" s="434"/>
      <c r="E226" s="13"/>
      <c r="F226" s="13"/>
      <c r="G226" s="13"/>
      <c r="H226" s="431"/>
      <c r="I226" s="434"/>
      <c r="J226" s="13"/>
      <c r="K226" s="13"/>
      <c r="L226" s="13"/>
      <c r="M226" s="440"/>
      <c r="N226" s="443"/>
      <c r="O226" s="13"/>
      <c r="P226" s="13"/>
      <c r="Q226" s="13"/>
      <c r="R226" s="431"/>
      <c r="S226" s="434"/>
      <c r="T226" s="13"/>
      <c r="U226" s="13"/>
      <c r="V226" s="13"/>
      <c r="W226" s="431"/>
      <c r="X226" s="434"/>
      <c r="Y226" s="13"/>
      <c r="Z226" s="13"/>
      <c r="AA226" s="13"/>
      <c r="AB226" s="431"/>
    </row>
    <row r="227" spans="1:28" ht="18" customHeight="1" x14ac:dyDescent="0.2">
      <c r="A227" s="437"/>
      <c r="B227" s="159" t="s">
        <v>993</v>
      </c>
      <c r="C227" s="431"/>
      <c r="D227" s="434"/>
      <c r="E227" s="13"/>
      <c r="F227" s="13"/>
      <c r="G227" s="13"/>
      <c r="H227" s="431"/>
      <c r="I227" s="434"/>
      <c r="J227" s="13"/>
      <c r="K227" s="13"/>
      <c r="L227" s="13"/>
      <c r="M227" s="440"/>
      <c r="N227" s="443"/>
      <c r="O227" s="13"/>
      <c r="P227" s="13"/>
      <c r="Q227" s="13"/>
      <c r="R227" s="431"/>
      <c r="S227" s="434"/>
      <c r="T227" s="13"/>
      <c r="U227" s="13"/>
      <c r="V227" s="13"/>
      <c r="W227" s="431"/>
      <c r="X227" s="434"/>
      <c r="Y227" s="13"/>
      <c r="Z227" s="13"/>
      <c r="AA227" s="13"/>
      <c r="AB227" s="431"/>
    </row>
    <row r="228" spans="1:28" ht="17.25" customHeight="1" x14ac:dyDescent="0.2">
      <c r="A228" s="437"/>
      <c r="B228" s="159" t="s">
        <v>818</v>
      </c>
      <c r="C228" s="431"/>
      <c r="D228" s="434"/>
      <c r="E228" s="13"/>
      <c r="F228" s="13"/>
      <c r="G228" s="13"/>
      <c r="H228" s="431"/>
      <c r="I228" s="434"/>
      <c r="J228" s="13"/>
      <c r="K228" s="13"/>
      <c r="L228" s="13"/>
      <c r="M228" s="440"/>
      <c r="N228" s="443"/>
      <c r="O228" s="13"/>
      <c r="P228" s="13"/>
      <c r="Q228" s="13"/>
      <c r="R228" s="431"/>
      <c r="S228" s="434"/>
      <c r="T228" s="13"/>
      <c r="U228" s="13"/>
      <c r="V228" s="13"/>
      <c r="W228" s="431"/>
      <c r="X228" s="434"/>
      <c r="Y228" s="13"/>
      <c r="Z228" s="13"/>
      <c r="AA228" s="13"/>
      <c r="AB228" s="431"/>
    </row>
    <row r="229" spans="1:28" ht="18" customHeight="1" x14ac:dyDescent="0.2">
      <c r="A229" s="445"/>
      <c r="B229" s="157" t="s">
        <v>425</v>
      </c>
      <c r="C229" s="431"/>
      <c r="D229" s="434"/>
      <c r="E229" s="13"/>
      <c r="F229" s="13"/>
      <c r="G229" s="13"/>
      <c r="H229" s="431"/>
      <c r="I229" s="434"/>
      <c r="J229" s="13"/>
      <c r="K229" s="13"/>
      <c r="L229" s="13"/>
      <c r="M229" s="440"/>
      <c r="N229" s="443"/>
      <c r="O229" s="13"/>
      <c r="P229" s="13"/>
      <c r="Q229" s="13"/>
      <c r="R229" s="431"/>
      <c r="S229" s="434"/>
      <c r="T229" s="13"/>
      <c r="U229" s="13"/>
      <c r="V229" s="13"/>
      <c r="W229" s="431"/>
      <c r="X229" s="434"/>
      <c r="Y229" s="13"/>
      <c r="Z229" s="13"/>
      <c r="AA229" s="13"/>
      <c r="AB229" s="431"/>
    </row>
    <row r="230" spans="1:28" ht="18" customHeight="1" x14ac:dyDescent="0.2">
      <c r="A230" s="437"/>
      <c r="B230" s="159" t="s">
        <v>714</v>
      </c>
      <c r="C230" s="431"/>
      <c r="D230" s="434"/>
      <c r="E230" s="13"/>
      <c r="F230" s="13"/>
      <c r="G230" s="13"/>
      <c r="H230" s="431"/>
      <c r="I230" s="434"/>
      <c r="J230" s="13"/>
      <c r="K230" s="13"/>
      <c r="L230" s="13"/>
      <c r="M230" s="440"/>
      <c r="N230" s="443"/>
      <c r="O230" s="13"/>
      <c r="P230" s="13"/>
      <c r="Q230" s="13"/>
      <c r="R230" s="431"/>
      <c r="S230" s="434"/>
      <c r="T230" s="13"/>
      <c r="U230" s="13"/>
      <c r="V230" s="13"/>
      <c r="W230" s="431"/>
      <c r="X230" s="434"/>
      <c r="Y230" s="13"/>
      <c r="Z230" s="13"/>
      <c r="AA230" s="13"/>
      <c r="AB230" s="431"/>
    </row>
    <row r="231" spans="1:28" ht="18" customHeight="1" x14ac:dyDescent="0.2">
      <c r="A231" s="437"/>
      <c r="B231" s="159" t="s">
        <v>715</v>
      </c>
      <c r="C231" s="431"/>
      <c r="D231" s="434"/>
      <c r="E231" s="13"/>
      <c r="F231" s="13"/>
      <c r="G231" s="13"/>
      <c r="H231" s="431"/>
      <c r="I231" s="434"/>
      <c r="J231" s="13"/>
      <c r="K231" s="13"/>
      <c r="L231" s="13"/>
      <c r="M231" s="440"/>
      <c r="N231" s="443"/>
      <c r="O231" s="13"/>
      <c r="P231" s="13"/>
      <c r="Q231" s="13"/>
      <c r="R231" s="431"/>
      <c r="S231" s="434"/>
      <c r="T231" s="13"/>
      <c r="U231" s="13"/>
      <c r="V231" s="13"/>
      <c r="W231" s="431"/>
      <c r="X231" s="434"/>
      <c r="Y231" s="13"/>
      <c r="Z231" s="13"/>
      <c r="AA231" s="13"/>
      <c r="AB231" s="431"/>
    </row>
    <row r="232" spans="1:28" ht="18" customHeight="1" x14ac:dyDescent="0.2">
      <c r="A232" s="437"/>
      <c r="B232" s="159" t="s">
        <v>716</v>
      </c>
      <c r="C232" s="431"/>
      <c r="D232" s="434"/>
      <c r="E232" s="13"/>
      <c r="F232" s="13"/>
      <c r="G232" s="13"/>
      <c r="H232" s="431"/>
      <c r="I232" s="434"/>
      <c r="J232" s="13"/>
      <c r="K232" s="13"/>
      <c r="L232" s="13"/>
      <c r="M232" s="440"/>
      <c r="N232" s="443"/>
      <c r="O232" s="13"/>
      <c r="P232" s="13"/>
      <c r="Q232" s="13"/>
      <c r="R232" s="431"/>
      <c r="S232" s="434"/>
      <c r="T232" s="13"/>
      <c r="U232" s="13"/>
      <c r="V232" s="13"/>
      <c r="W232" s="431"/>
      <c r="X232" s="434"/>
      <c r="Y232" s="13"/>
      <c r="Z232" s="13"/>
      <c r="AA232" s="13"/>
      <c r="AB232" s="431"/>
    </row>
    <row r="233" spans="1:28" ht="18" customHeight="1" x14ac:dyDescent="0.2">
      <c r="A233" s="437"/>
      <c r="B233" s="159" t="s">
        <v>717</v>
      </c>
      <c r="C233" s="431"/>
      <c r="D233" s="434"/>
      <c r="E233" s="13"/>
      <c r="F233" s="13"/>
      <c r="G233" s="13"/>
      <c r="H233" s="431"/>
      <c r="I233" s="434"/>
      <c r="J233" s="13"/>
      <c r="K233" s="13"/>
      <c r="L233" s="13"/>
      <c r="M233" s="440"/>
      <c r="N233" s="443"/>
      <c r="O233" s="13"/>
      <c r="P233" s="13"/>
      <c r="Q233" s="13"/>
      <c r="R233" s="431"/>
      <c r="S233" s="434"/>
      <c r="T233" s="13"/>
      <c r="U233" s="13"/>
      <c r="V233" s="13"/>
      <c r="W233" s="431"/>
      <c r="X233" s="434"/>
      <c r="Y233" s="13"/>
      <c r="Z233" s="13"/>
      <c r="AA233" s="13"/>
      <c r="AB233" s="431"/>
    </row>
    <row r="234" spans="1:28" ht="18" customHeight="1" x14ac:dyDescent="0.2">
      <c r="A234" s="437"/>
      <c r="B234" s="159" t="s">
        <v>718</v>
      </c>
      <c r="C234" s="431"/>
      <c r="D234" s="434"/>
      <c r="E234" s="13"/>
      <c r="F234" s="13"/>
      <c r="G234" s="13"/>
      <c r="H234" s="431"/>
      <c r="I234" s="434"/>
      <c r="J234" s="13"/>
      <c r="K234" s="13"/>
      <c r="L234" s="13"/>
      <c r="M234" s="440"/>
      <c r="N234" s="443"/>
      <c r="O234" s="13"/>
      <c r="P234" s="13"/>
      <c r="Q234" s="13"/>
      <c r="R234" s="431"/>
      <c r="S234" s="434"/>
      <c r="T234" s="13"/>
      <c r="U234" s="13"/>
      <c r="V234" s="13"/>
      <c r="W234" s="431"/>
      <c r="X234" s="434"/>
      <c r="Y234" s="13"/>
      <c r="Z234" s="13"/>
      <c r="AA234" s="13"/>
      <c r="AB234" s="431"/>
    </row>
    <row r="235" spans="1:28" ht="18" customHeight="1" x14ac:dyDescent="0.2">
      <c r="A235" s="437"/>
      <c r="B235" s="159" t="s">
        <v>719</v>
      </c>
      <c r="C235" s="431"/>
      <c r="D235" s="434"/>
      <c r="E235" s="13"/>
      <c r="F235" s="13"/>
      <c r="G235" s="13"/>
      <c r="H235" s="431"/>
      <c r="I235" s="434"/>
      <c r="J235" s="13"/>
      <c r="K235" s="13"/>
      <c r="L235" s="13"/>
      <c r="M235" s="440"/>
      <c r="N235" s="443"/>
      <c r="O235" s="13"/>
      <c r="P235" s="13"/>
      <c r="Q235" s="13"/>
      <c r="R235" s="431"/>
      <c r="S235" s="434"/>
      <c r="T235" s="13"/>
      <c r="U235" s="13"/>
      <c r="V235" s="13"/>
      <c r="W235" s="431"/>
      <c r="X235" s="434"/>
      <c r="Y235" s="13"/>
      <c r="Z235" s="13"/>
      <c r="AA235" s="13"/>
      <c r="AB235" s="431"/>
    </row>
    <row r="236" spans="1:28" ht="22.5" customHeight="1" x14ac:dyDescent="0.2">
      <c r="A236" s="437"/>
      <c r="B236" s="159" t="s">
        <v>720</v>
      </c>
      <c r="C236" s="431"/>
      <c r="D236" s="434"/>
      <c r="E236" s="13"/>
      <c r="F236" s="13"/>
      <c r="G236" s="13"/>
      <c r="H236" s="431"/>
      <c r="I236" s="434"/>
      <c r="J236" s="13"/>
      <c r="K236" s="13"/>
      <c r="L236" s="13"/>
      <c r="M236" s="440"/>
      <c r="N236" s="443"/>
      <c r="O236" s="13"/>
      <c r="P236" s="13"/>
      <c r="Q236" s="13"/>
      <c r="R236" s="431"/>
      <c r="S236" s="434"/>
      <c r="T236" s="13"/>
      <c r="U236" s="13"/>
      <c r="V236" s="13"/>
      <c r="W236" s="431"/>
      <c r="X236" s="434"/>
      <c r="Y236" s="13"/>
      <c r="Z236" s="13"/>
      <c r="AA236" s="13"/>
      <c r="AB236" s="431"/>
    </row>
    <row r="237" spans="1:28" ht="18" customHeight="1" x14ac:dyDescent="0.2">
      <c r="A237" s="437"/>
      <c r="B237" s="159" t="s">
        <v>721</v>
      </c>
      <c r="C237" s="431"/>
      <c r="D237" s="434"/>
      <c r="E237" s="13"/>
      <c r="F237" s="13"/>
      <c r="G237" s="13"/>
      <c r="H237" s="431"/>
      <c r="I237" s="434"/>
      <c r="J237" s="13"/>
      <c r="K237" s="13"/>
      <c r="L237" s="13"/>
      <c r="M237" s="440"/>
      <c r="N237" s="443"/>
      <c r="O237" s="13"/>
      <c r="P237" s="13"/>
      <c r="Q237" s="13"/>
      <c r="R237" s="431"/>
      <c r="S237" s="434"/>
      <c r="T237" s="13"/>
      <c r="U237" s="13"/>
      <c r="V237" s="13"/>
      <c r="W237" s="431"/>
      <c r="X237" s="434"/>
      <c r="Y237" s="13"/>
      <c r="Z237" s="13"/>
      <c r="AA237" s="13"/>
      <c r="AB237" s="431"/>
    </row>
    <row r="238" spans="1:28" ht="18" customHeight="1" x14ac:dyDescent="0.2">
      <c r="A238" s="437"/>
      <c r="B238" s="159" t="s">
        <v>722</v>
      </c>
      <c r="C238" s="431"/>
      <c r="D238" s="434"/>
      <c r="E238" s="13"/>
      <c r="F238" s="13"/>
      <c r="G238" s="13"/>
      <c r="H238" s="431"/>
      <c r="I238" s="434"/>
      <c r="J238" s="13"/>
      <c r="K238" s="13"/>
      <c r="L238" s="13"/>
      <c r="M238" s="440"/>
      <c r="N238" s="443"/>
      <c r="O238" s="13"/>
      <c r="P238" s="13"/>
      <c r="Q238" s="13"/>
      <c r="R238" s="431"/>
      <c r="S238" s="434"/>
      <c r="T238" s="13"/>
      <c r="U238" s="13"/>
      <c r="V238" s="13"/>
      <c r="W238" s="431"/>
      <c r="X238" s="434"/>
      <c r="Y238" s="13"/>
      <c r="Z238" s="13"/>
      <c r="AA238" s="13"/>
      <c r="AB238" s="431"/>
    </row>
    <row r="239" spans="1:28" ht="18" customHeight="1" x14ac:dyDescent="0.2">
      <c r="A239" s="437"/>
      <c r="B239" s="159" t="s">
        <v>723</v>
      </c>
      <c r="C239" s="431"/>
      <c r="D239" s="434"/>
      <c r="E239" s="13"/>
      <c r="F239" s="13"/>
      <c r="G239" s="13"/>
      <c r="H239" s="431"/>
      <c r="I239" s="434"/>
      <c r="J239" s="13"/>
      <c r="K239" s="13"/>
      <c r="L239" s="13"/>
      <c r="M239" s="440"/>
      <c r="N239" s="443"/>
      <c r="O239" s="13"/>
      <c r="P239" s="13"/>
      <c r="Q239" s="13"/>
      <c r="R239" s="431"/>
      <c r="S239" s="434"/>
      <c r="T239" s="13"/>
      <c r="U239" s="13"/>
      <c r="V239" s="13"/>
      <c r="W239" s="431"/>
      <c r="X239" s="434"/>
      <c r="Y239" s="13"/>
      <c r="Z239" s="13"/>
      <c r="AA239" s="13"/>
      <c r="AB239" s="431"/>
    </row>
    <row r="240" spans="1:28" ht="18" customHeight="1" x14ac:dyDescent="0.2">
      <c r="A240" s="437"/>
      <c r="B240" s="159" t="s">
        <v>724</v>
      </c>
      <c r="C240" s="431"/>
      <c r="D240" s="434"/>
      <c r="E240" s="13"/>
      <c r="F240" s="13"/>
      <c r="G240" s="13"/>
      <c r="H240" s="431"/>
      <c r="I240" s="434"/>
      <c r="J240" s="13"/>
      <c r="K240" s="13"/>
      <c r="L240" s="13"/>
      <c r="M240" s="440"/>
      <c r="N240" s="443"/>
      <c r="O240" s="13"/>
      <c r="P240" s="13"/>
      <c r="Q240" s="13"/>
      <c r="R240" s="431"/>
      <c r="S240" s="434"/>
      <c r="T240" s="13"/>
      <c r="U240" s="13"/>
      <c r="V240" s="13"/>
      <c r="W240" s="431"/>
      <c r="X240" s="434"/>
      <c r="Y240" s="13"/>
      <c r="Z240" s="13"/>
      <c r="AA240" s="13"/>
      <c r="AB240" s="431"/>
    </row>
    <row r="241" spans="1:28" ht="18" customHeight="1" x14ac:dyDescent="0.2">
      <c r="A241" s="437"/>
      <c r="B241" s="159" t="s">
        <v>725</v>
      </c>
      <c r="C241" s="431"/>
      <c r="D241" s="434"/>
      <c r="E241" s="13"/>
      <c r="F241" s="13"/>
      <c r="G241" s="13"/>
      <c r="H241" s="431"/>
      <c r="I241" s="434"/>
      <c r="J241" s="13"/>
      <c r="K241" s="13"/>
      <c r="L241" s="13"/>
      <c r="M241" s="440"/>
      <c r="N241" s="443"/>
      <c r="O241" s="13"/>
      <c r="P241" s="13"/>
      <c r="Q241" s="13"/>
      <c r="R241" s="431"/>
      <c r="S241" s="434"/>
      <c r="T241" s="13"/>
      <c r="U241" s="13"/>
      <c r="V241" s="13"/>
      <c r="W241" s="431"/>
      <c r="X241" s="434"/>
      <c r="Y241" s="13"/>
      <c r="Z241" s="13"/>
      <c r="AA241" s="13"/>
      <c r="AB241" s="431"/>
    </row>
    <row r="242" spans="1:28" ht="18" customHeight="1" x14ac:dyDescent="0.2">
      <c r="A242" s="437"/>
      <c r="B242" s="159" t="s">
        <v>726</v>
      </c>
      <c r="C242" s="431"/>
      <c r="D242" s="434"/>
      <c r="E242" s="13"/>
      <c r="F242" s="13"/>
      <c r="G242" s="13"/>
      <c r="H242" s="431"/>
      <c r="I242" s="434"/>
      <c r="J242" s="13"/>
      <c r="K242" s="13"/>
      <c r="L242" s="13"/>
      <c r="M242" s="440"/>
      <c r="N242" s="443"/>
      <c r="O242" s="13"/>
      <c r="P242" s="13"/>
      <c r="Q242" s="13"/>
      <c r="R242" s="431"/>
      <c r="S242" s="434"/>
      <c r="T242" s="13"/>
      <c r="U242" s="13"/>
      <c r="V242" s="13"/>
      <c r="W242" s="431"/>
      <c r="X242" s="434"/>
      <c r="Y242" s="13"/>
      <c r="Z242" s="13"/>
      <c r="AA242" s="13"/>
      <c r="AB242" s="431"/>
    </row>
    <row r="243" spans="1:28" ht="18" customHeight="1" x14ac:dyDescent="0.2">
      <c r="A243" s="437"/>
      <c r="B243" s="159" t="s">
        <v>727</v>
      </c>
      <c r="C243" s="431"/>
      <c r="D243" s="434"/>
      <c r="E243" s="13"/>
      <c r="F243" s="13"/>
      <c r="G243" s="13"/>
      <c r="H243" s="431"/>
      <c r="I243" s="434"/>
      <c r="J243" s="13"/>
      <c r="K243" s="13"/>
      <c r="L243" s="13"/>
      <c r="M243" s="440"/>
      <c r="N243" s="443"/>
      <c r="O243" s="13"/>
      <c r="P243" s="13"/>
      <c r="Q243" s="13"/>
      <c r="R243" s="431"/>
      <c r="S243" s="434"/>
      <c r="T243" s="13"/>
      <c r="U243" s="13"/>
      <c r="V243" s="13"/>
      <c r="W243" s="431"/>
      <c r="X243" s="434"/>
      <c r="Y243" s="13"/>
      <c r="Z243" s="13"/>
      <c r="AA243" s="13"/>
      <c r="AB243" s="431"/>
    </row>
    <row r="244" spans="1:28" ht="18" customHeight="1" x14ac:dyDescent="0.2">
      <c r="A244" s="437"/>
      <c r="B244" s="159" t="s">
        <v>728</v>
      </c>
      <c r="C244" s="431"/>
      <c r="D244" s="434"/>
      <c r="E244" s="13"/>
      <c r="F244" s="13"/>
      <c r="G244" s="13"/>
      <c r="H244" s="431"/>
      <c r="I244" s="434"/>
      <c r="J244" s="13"/>
      <c r="K244" s="13"/>
      <c r="L244" s="13"/>
      <c r="M244" s="440"/>
      <c r="N244" s="443"/>
      <c r="O244" s="13"/>
      <c r="P244" s="13"/>
      <c r="Q244" s="13"/>
      <c r="R244" s="431"/>
      <c r="S244" s="434"/>
      <c r="T244" s="13"/>
      <c r="U244" s="13"/>
      <c r="V244" s="13"/>
      <c r="W244" s="431"/>
      <c r="X244" s="434"/>
      <c r="Y244" s="13"/>
      <c r="Z244" s="13"/>
      <c r="AA244" s="13"/>
      <c r="AB244" s="431"/>
    </row>
    <row r="245" spans="1:28" ht="16.149999999999999" customHeight="1" x14ac:dyDescent="0.2">
      <c r="A245" s="437"/>
      <c r="B245" s="159" t="s">
        <v>729</v>
      </c>
      <c r="C245" s="431"/>
      <c r="D245" s="434"/>
      <c r="E245" s="13"/>
      <c r="F245" s="13"/>
      <c r="G245" s="13"/>
      <c r="H245" s="431"/>
      <c r="I245" s="434"/>
      <c r="J245" s="13"/>
      <c r="K245" s="13"/>
      <c r="L245" s="13"/>
      <c r="M245" s="440"/>
      <c r="N245" s="443"/>
      <c r="O245" s="13"/>
      <c r="P245" s="13"/>
      <c r="Q245" s="13"/>
      <c r="R245" s="431"/>
      <c r="S245" s="434"/>
      <c r="T245" s="13"/>
      <c r="U245" s="13"/>
      <c r="V245" s="13"/>
      <c r="W245" s="431"/>
      <c r="X245" s="434"/>
      <c r="Y245" s="13"/>
      <c r="Z245" s="13"/>
      <c r="AA245" s="13"/>
      <c r="AB245" s="431"/>
    </row>
    <row r="246" spans="1:28" ht="16.149999999999999" customHeight="1" x14ac:dyDescent="0.2">
      <c r="A246" s="437"/>
      <c r="B246" s="159" t="s">
        <v>730</v>
      </c>
      <c r="C246" s="431"/>
      <c r="D246" s="434"/>
      <c r="E246" s="13"/>
      <c r="F246" s="13"/>
      <c r="G246" s="13"/>
      <c r="H246" s="431"/>
      <c r="I246" s="434"/>
      <c r="J246" s="13"/>
      <c r="K246" s="13"/>
      <c r="L246" s="13"/>
      <c r="M246" s="440"/>
      <c r="N246" s="443"/>
      <c r="O246" s="13"/>
      <c r="P246" s="13"/>
      <c r="Q246" s="13"/>
      <c r="R246" s="431"/>
      <c r="S246" s="434"/>
      <c r="T246" s="13"/>
      <c r="U246" s="13"/>
      <c r="V246" s="13"/>
      <c r="W246" s="431"/>
      <c r="X246" s="434"/>
      <c r="Y246" s="13"/>
      <c r="Z246" s="13"/>
      <c r="AA246" s="13"/>
      <c r="AB246" s="431"/>
    </row>
    <row r="247" spans="1:28" ht="16.149999999999999" customHeight="1" x14ac:dyDescent="0.2">
      <c r="A247" s="437"/>
      <c r="B247" s="159" t="s">
        <v>731</v>
      </c>
      <c r="C247" s="431"/>
      <c r="D247" s="434"/>
      <c r="E247" s="13"/>
      <c r="F247" s="13"/>
      <c r="G247" s="13"/>
      <c r="H247" s="431"/>
      <c r="I247" s="434"/>
      <c r="J247" s="13"/>
      <c r="K247" s="13"/>
      <c r="L247" s="13"/>
      <c r="M247" s="440"/>
      <c r="N247" s="443"/>
      <c r="O247" s="13"/>
      <c r="P247" s="13"/>
      <c r="Q247" s="13"/>
      <c r="R247" s="431"/>
      <c r="S247" s="434"/>
      <c r="T247" s="13"/>
      <c r="U247" s="13"/>
      <c r="V247" s="13"/>
      <c r="W247" s="431"/>
      <c r="X247" s="434"/>
      <c r="Y247" s="13"/>
      <c r="Z247" s="13"/>
      <c r="AA247" s="13"/>
      <c r="AB247" s="431"/>
    </row>
    <row r="248" spans="1:28" ht="16.149999999999999" customHeight="1" x14ac:dyDescent="0.2">
      <c r="A248" s="437"/>
      <c r="B248" s="159" t="s">
        <v>732</v>
      </c>
      <c r="C248" s="431"/>
      <c r="D248" s="434"/>
      <c r="E248" s="13"/>
      <c r="F248" s="13"/>
      <c r="G248" s="13"/>
      <c r="H248" s="431"/>
      <c r="I248" s="434"/>
      <c r="J248" s="13"/>
      <c r="K248" s="13"/>
      <c r="L248" s="13"/>
      <c r="M248" s="440"/>
      <c r="N248" s="443"/>
      <c r="O248" s="13"/>
      <c r="P248" s="13"/>
      <c r="Q248" s="13"/>
      <c r="R248" s="431"/>
      <c r="S248" s="434"/>
      <c r="T248" s="13"/>
      <c r="U248" s="13"/>
      <c r="V248" s="13"/>
      <c r="W248" s="431"/>
      <c r="X248" s="434"/>
      <c r="Y248" s="13"/>
      <c r="Z248" s="13"/>
      <c r="AA248" s="13"/>
      <c r="AB248" s="431"/>
    </row>
    <row r="249" spans="1:28" ht="16.149999999999999" customHeight="1" x14ac:dyDescent="0.2">
      <c r="A249" s="437"/>
      <c r="B249" s="159" t="s">
        <v>733</v>
      </c>
      <c r="C249" s="431"/>
      <c r="D249" s="434"/>
      <c r="E249" s="13"/>
      <c r="F249" s="13"/>
      <c r="G249" s="13"/>
      <c r="H249" s="431"/>
      <c r="I249" s="434"/>
      <c r="J249" s="13"/>
      <c r="K249" s="13"/>
      <c r="L249" s="13"/>
      <c r="M249" s="440"/>
      <c r="N249" s="443"/>
      <c r="O249" s="13"/>
      <c r="P249" s="13"/>
      <c r="Q249" s="13"/>
      <c r="R249" s="431"/>
      <c r="S249" s="434"/>
      <c r="T249" s="13"/>
      <c r="U249" s="13"/>
      <c r="V249" s="13"/>
      <c r="W249" s="431"/>
      <c r="X249" s="434"/>
      <c r="Y249" s="13"/>
      <c r="Z249" s="13"/>
      <c r="AA249" s="13"/>
      <c r="AB249" s="431"/>
    </row>
    <row r="250" spans="1:28" ht="16.149999999999999" customHeight="1" x14ac:dyDescent="0.2">
      <c r="A250" s="437"/>
      <c r="B250" s="159" t="s">
        <v>734</v>
      </c>
      <c r="C250" s="431"/>
      <c r="D250" s="434"/>
      <c r="E250" s="13"/>
      <c r="F250" s="13"/>
      <c r="G250" s="13"/>
      <c r="H250" s="431"/>
      <c r="I250" s="434"/>
      <c r="J250" s="13"/>
      <c r="K250" s="13"/>
      <c r="L250" s="13"/>
      <c r="M250" s="440"/>
      <c r="N250" s="443"/>
      <c r="O250" s="13"/>
      <c r="P250" s="13"/>
      <c r="Q250" s="13"/>
      <c r="R250" s="431"/>
      <c r="S250" s="434"/>
      <c r="T250" s="13"/>
      <c r="U250" s="13"/>
      <c r="V250" s="13"/>
      <c r="W250" s="431"/>
      <c r="X250" s="434"/>
      <c r="Y250" s="13"/>
      <c r="Z250" s="13"/>
      <c r="AA250" s="13"/>
      <c r="AB250" s="431"/>
    </row>
    <row r="251" spans="1:28" ht="16.149999999999999" customHeight="1" x14ac:dyDescent="0.2">
      <c r="A251" s="437"/>
      <c r="B251" s="159" t="s">
        <v>735</v>
      </c>
      <c r="C251" s="431"/>
      <c r="D251" s="434"/>
      <c r="E251" s="13"/>
      <c r="F251" s="13"/>
      <c r="G251" s="13"/>
      <c r="H251" s="431"/>
      <c r="I251" s="434"/>
      <c r="J251" s="13"/>
      <c r="K251" s="13"/>
      <c r="L251" s="13"/>
      <c r="M251" s="440"/>
      <c r="N251" s="443"/>
      <c r="O251" s="13"/>
      <c r="P251" s="13"/>
      <c r="Q251" s="13"/>
      <c r="R251" s="431"/>
      <c r="S251" s="434"/>
      <c r="T251" s="13"/>
      <c r="U251" s="13"/>
      <c r="V251" s="13"/>
      <c r="W251" s="431"/>
      <c r="X251" s="434"/>
      <c r="Y251" s="13"/>
      <c r="Z251" s="13"/>
      <c r="AA251" s="13"/>
      <c r="AB251" s="431"/>
    </row>
    <row r="252" spans="1:28" ht="16.149999999999999" customHeight="1" x14ac:dyDescent="0.2">
      <c r="A252" s="437"/>
      <c r="B252" s="159" t="s">
        <v>736</v>
      </c>
      <c r="C252" s="431"/>
      <c r="D252" s="434"/>
      <c r="E252" s="13"/>
      <c r="F252" s="13"/>
      <c r="G252" s="13"/>
      <c r="H252" s="431"/>
      <c r="I252" s="434"/>
      <c r="J252" s="13"/>
      <c r="K252" s="13"/>
      <c r="L252" s="13"/>
      <c r="M252" s="440"/>
      <c r="N252" s="443"/>
      <c r="O252" s="13"/>
      <c r="P252" s="13"/>
      <c r="Q252" s="13"/>
      <c r="R252" s="431"/>
      <c r="S252" s="434"/>
      <c r="T252" s="13"/>
      <c r="U252" s="13"/>
      <c r="V252" s="13"/>
      <c r="W252" s="431"/>
      <c r="X252" s="434"/>
      <c r="Y252" s="13"/>
      <c r="Z252" s="13"/>
      <c r="AA252" s="13"/>
      <c r="AB252" s="431"/>
    </row>
    <row r="253" spans="1:28" ht="16.149999999999999" customHeight="1" x14ac:dyDescent="0.2">
      <c r="A253" s="437"/>
      <c r="B253" s="159" t="s">
        <v>737</v>
      </c>
      <c r="C253" s="431"/>
      <c r="D253" s="434"/>
      <c r="E253" s="13"/>
      <c r="F253" s="13"/>
      <c r="G253" s="13"/>
      <c r="H253" s="431"/>
      <c r="I253" s="434"/>
      <c r="J253" s="13"/>
      <c r="K253" s="13"/>
      <c r="L253" s="13"/>
      <c r="M253" s="440"/>
      <c r="N253" s="443"/>
      <c r="O253" s="13"/>
      <c r="P253" s="13"/>
      <c r="Q253" s="13"/>
      <c r="R253" s="431"/>
      <c r="S253" s="434"/>
      <c r="T253" s="13"/>
      <c r="U253" s="13"/>
      <c r="V253" s="13"/>
      <c r="W253" s="431"/>
      <c r="X253" s="434"/>
      <c r="Y253" s="13"/>
      <c r="Z253" s="13"/>
      <c r="AA253" s="13"/>
      <c r="AB253" s="431"/>
    </row>
    <row r="254" spans="1:28" ht="16.149999999999999" customHeight="1" x14ac:dyDescent="0.2">
      <c r="A254" s="437"/>
      <c r="B254" s="159" t="s">
        <v>738</v>
      </c>
      <c r="C254" s="431"/>
      <c r="D254" s="434"/>
      <c r="E254" s="13"/>
      <c r="F254" s="13"/>
      <c r="G254" s="13"/>
      <c r="H254" s="431"/>
      <c r="I254" s="434"/>
      <c r="J254" s="13"/>
      <c r="K254" s="13"/>
      <c r="L254" s="13"/>
      <c r="M254" s="440"/>
      <c r="N254" s="443"/>
      <c r="O254" s="13"/>
      <c r="P254" s="13"/>
      <c r="Q254" s="13"/>
      <c r="R254" s="431"/>
      <c r="S254" s="434"/>
      <c r="T254" s="13"/>
      <c r="U254" s="13"/>
      <c r="V254" s="13"/>
      <c r="W254" s="431"/>
      <c r="X254" s="434"/>
      <c r="Y254" s="13"/>
      <c r="Z254" s="13"/>
      <c r="AA254" s="13"/>
      <c r="AB254" s="431"/>
    </row>
    <row r="255" spans="1:28" ht="16.149999999999999" customHeight="1" x14ac:dyDescent="0.2">
      <c r="A255" s="437"/>
      <c r="B255" s="159" t="s">
        <v>739</v>
      </c>
      <c r="C255" s="431"/>
      <c r="D255" s="434"/>
      <c r="E255" s="13"/>
      <c r="F255" s="13"/>
      <c r="G255" s="13"/>
      <c r="H255" s="431"/>
      <c r="I255" s="434"/>
      <c r="J255" s="13"/>
      <c r="K255" s="13"/>
      <c r="L255" s="13"/>
      <c r="M255" s="440"/>
      <c r="N255" s="443"/>
      <c r="O255" s="13"/>
      <c r="P255" s="13"/>
      <c r="Q255" s="13"/>
      <c r="R255" s="431"/>
      <c r="S255" s="434"/>
      <c r="T255" s="13"/>
      <c r="U255" s="13"/>
      <c r="V255" s="13"/>
      <c r="W255" s="431"/>
      <c r="X255" s="434"/>
      <c r="Y255" s="13"/>
      <c r="Z255" s="13"/>
      <c r="AA255" s="13"/>
      <c r="AB255" s="431"/>
    </row>
    <row r="256" spans="1:28" ht="16.149999999999999" customHeight="1" x14ac:dyDescent="0.2">
      <c r="A256" s="437"/>
      <c r="B256" s="159" t="s">
        <v>740</v>
      </c>
      <c r="C256" s="431"/>
      <c r="D256" s="434"/>
      <c r="E256" s="13"/>
      <c r="F256" s="13"/>
      <c r="G256" s="13"/>
      <c r="H256" s="431"/>
      <c r="I256" s="434"/>
      <c r="J256" s="13"/>
      <c r="K256" s="13"/>
      <c r="L256" s="13"/>
      <c r="M256" s="440"/>
      <c r="N256" s="443"/>
      <c r="O256" s="13"/>
      <c r="P256" s="13"/>
      <c r="Q256" s="13"/>
      <c r="R256" s="431"/>
      <c r="S256" s="434"/>
      <c r="T256" s="13"/>
      <c r="U256" s="13"/>
      <c r="V256" s="13"/>
      <c r="W256" s="431"/>
      <c r="X256" s="434"/>
      <c r="Y256" s="13"/>
      <c r="Z256" s="13"/>
      <c r="AA256" s="13"/>
      <c r="AB256" s="431"/>
    </row>
    <row r="257" spans="1:28" ht="16.149999999999999" customHeight="1" x14ac:dyDescent="0.2">
      <c r="A257" s="437"/>
      <c r="B257" s="159" t="s">
        <v>741</v>
      </c>
      <c r="C257" s="431"/>
      <c r="D257" s="434"/>
      <c r="E257" s="13"/>
      <c r="F257" s="13"/>
      <c r="G257" s="13"/>
      <c r="H257" s="431"/>
      <c r="I257" s="434"/>
      <c r="J257" s="13"/>
      <c r="K257" s="13"/>
      <c r="L257" s="13"/>
      <c r="M257" s="440"/>
      <c r="N257" s="443"/>
      <c r="O257" s="13"/>
      <c r="P257" s="13"/>
      <c r="Q257" s="13"/>
      <c r="R257" s="431"/>
      <c r="S257" s="434"/>
      <c r="T257" s="13"/>
      <c r="U257" s="13"/>
      <c r="V257" s="13"/>
      <c r="W257" s="431"/>
      <c r="X257" s="434"/>
      <c r="Y257" s="13"/>
      <c r="Z257" s="13"/>
      <c r="AA257" s="13"/>
      <c r="AB257" s="431"/>
    </row>
    <row r="258" spans="1:28" ht="16.149999999999999" customHeight="1" x14ac:dyDescent="0.2">
      <c r="A258" s="437"/>
      <c r="B258" s="159" t="s">
        <v>742</v>
      </c>
      <c r="C258" s="431"/>
      <c r="D258" s="434"/>
      <c r="E258" s="13"/>
      <c r="F258" s="13"/>
      <c r="G258" s="13"/>
      <c r="H258" s="431"/>
      <c r="I258" s="434"/>
      <c r="J258" s="13"/>
      <c r="K258" s="13"/>
      <c r="L258" s="13"/>
      <c r="M258" s="440"/>
      <c r="N258" s="443"/>
      <c r="O258" s="13"/>
      <c r="P258" s="13"/>
      <c r="Q258" s="13"/>
      <c r="R258" s="431"/>
      <c r="S258" s="434"/>
      <c r="T258" s="13"/>
      <c r="U258" s="13"/>
      <c r="V258" s="13"/>
      <c r="W258" s="431"/>
      <c r="X258" s="434"/>
      <c r="Y258" s="13"/>
      <c r="Z258" s="13"/>
      <c r="AA258" s="13"/>
      <c r="AB258" s="431"/>
    </row>
    <row r="259" spans="1:28" ht="16.149999999999999" customHeight="1" x14ac:dyDescent="0.2">
      <c r="A259" s="437"/>
      <c r="B259" s="159" t="s">
        <v>743</v>
      </c>
      <c r="C259" s="431"/>
      <c r="D259" s="434"/>
      <c r="E259" s="13"/>
      <c r="F259" s="13"/>
      <c r="G259" s="13"/>
      <c r="H259" s="431"/>
      <c r="I259" s="434"/>
      <c r="J259" s="13"/>
      <c r="K259" s="13"/>
      <c r="L259" s="13"/>
      <c r="M259" s="440"/>
      <c r="N259" s="443"/>
      <c r="O259" s="13"/>
      <c r="P259" s="13"/>
      <c r="Q259" s="13"/>
      <c r="R259" s="431"/>
      <c r="S259" s="434"/>
      <c r="T259" s="13"/>
      <c r="U259" s="13"/>
      <c r="V259" s="13"/>
      <c r="W259" s="431"/>
      <c r="X259" s="434"/>
      <c r="Y259" s="13"/>
      <c r="Z259" s="13"/>
      <c r="AA259" s="13"/>
      <c r="AB259" s="431"/>
    </row>
    <row r="260" spans="1:28" ht="16.149999999999999" customHeight="1" x14ac:dyDescent="0.2">
      <c r="A260" s="437"/>
      <c r="B260" s="159" t="s">
        <v>744</v>
      </c>
      <c r="C260" s="431"/>
      <c r="D260" s="434"/>
      <c r="E260" s="13"/>
      <c r="F260" s="13"/>
      <c r="G260" s="13"/>
      <c r="H260" s="431"/>
      <c r="I260" s="434"/>
      <c r="J260" s="13"/>
      <c r="K260" s="13"/>
      <c r="L260" s="13"/>
      <c r="M260" s="440"/>
      <c r="N260" s="443"/>
      <c r="O260" s="13"/>
      <c r="P260" s="13"/>
      <c r="Q260" s="13"/>
      <c r="R260" s="431"/>
      <c r="S260" s="434"/>
      <c r="T260" s="13"/>
      <c r="U260" s="13"/>
      <c r="V260" s="13"/>
      <c r="W260" s="431"/>
      <c r="X260" s="434"/>
      <c r="Y260" s="13"/>
      <c r="Z260" s="13"/>
      <c r="AA260" s="13"/>
      <c r="AB260" s="431"/>
    </row>
    <row r="261" spans="1:28" ht="16.149999999999999" customHeight="1" x14ac:dyDescent="0.2">
      <c r="A261" s="437"/>
      <c r="B261" s="159" t="s">
        <v>745</v>
      </c>
      <c r="C261" s="431"/>
      <c r="D261" s="434"/>
      <c r="E261" s="13"/>
      <c r="F261" s="13"/>
      <c r="G261" s="13"/>
      <c r="H261" s="431"/>
      <c r="I261" s="434"/>
      <c r="J261" s="13"/>
      <c r="K261" s="13"/>
      <c r="L261" s="13"/>
      <c r="M261" s="440"/>
      <c r="N261" s="443"/>
      <c r="O261" s="13"/>
      <c r="P261" s="13"/>
      <c r="Q261" s="13"/>
      <c r="R261" s="431"/>
      <c r="S261" s="434"/>
      <c r="T261" s="13"/>
      <c r="U261" s="13"/>
      <c r="V261" s="13"/>
      <c r="W261" s="431"/>
      <c r="X261" s="434"/>
      <c r="Y261" s="13"/>
      <c r="Z261" s="13"/>
      <c r="AA261" s="13"/>
      <c r="AB261" s="431"/>
    </row>
    <row r="262" spans="1:28" ht="16.149999999999999" customHeight="1" x14ac:dyDescent="0.2">
      <c r="A262" s="437"/>
      <c r="B262" s="159" t="s">
        <v>746</v>
      </c>
      <c r="C262" s="431"/>
      <c r="D262" s="434"/>
      <c r="E262" s="13"/>
      <c r="F262" s="13"/>
      <c r="G262" s="13"/>
      <c r="H262" s="431"/>
      <c r="I262" s="434"/>
      <c r="J262" s="13"/>
      <c r="K262" s="13"/>
      <c r="L262" s="13"/>
      <c r="M262" s="440"/>
      <c r="N262" s="443"/>
      <c r="O262" s="13"/>
      <c r="P262" s="13"/>
      <c r="Q262" s="13"/>
      <c r="R262" s="431"/>
      <c r="S262" s="434"/>
      <c r="T262" s="13"/>
      <c r="U262" s="13"/>
      <c r="V262" s="13"/>
      <c r="W262" s="431"/>
      <c r="X262" s="434"/>
      <c r="Y262" s="13"/>
      <c r="Z262" s="13"/>
      <c r="AA262" s="13"/>
      <c r="AB262" s="431"/>
    </row>
    <row r="263" spans="1:28" ht="16.149999999999999" customHeight="1" x14ac:dyDescent="0.2">
      <c r="A263" s="437"/>
      <c r="B263" s="159" t="s">
        <v>747</v>
      </c>
      <c r="C263" s="431"/>
      <c r="D263" s="434"/>
      <c r="E263" s="13"/>
      <c r="F263" s="13"/>
      <c r="G263" s="13"/>
      <c r="H263" s="431"/>
      <c r="I263" s="434"/>
      <c r="J263" s="13"/>
      <c r="K263" s="13"/>
      <c r="L263" s="13"/>
      <c r="M263" s="440"/>
      <c r="N263" s="443"/>
      <c r="O263" s="13"/>
      <c r="P263" s="13"/>
      <c r="Q263" s="13"/>
      <c r="R263" s="431"/>
      <c r="S263" s="434"/>
      <c r="T263" s="13"/>
      <c r="U263" s="13"/>
      <c r="V263" s="13"/>
      <c r="W263" s="431"/>
      <c r="X263" s="434"/>
      <c r="Y263" s="13"/>
      <c r="Z263" s="13"/>
      <c r="AA263" s="13"/>
      <c r="AB263" s="431"/>
    </row>
    <row r="264" spans="1:28" ht="15" customHeight="1" x14ac:dyDescent="0.2">
      <c r="A264" s="437"/>
      <c r="B264" s="159" t="s">
        <v>748</v>
      </c>
      <c r="C264" s="431"/>
      <c r="D264" s="434"/>
      <c r="E264" s="13"/>
      <c r="F264" s="13"/>
      <c r="G264" s="13"/>
      <c r="H264" s="431"/>
      <c r="I264" s="434"/>
      <c r="J264" s="13"/>
      <c r="K264" s="13"/>
      <c r="L264" s="13"/>
      <c r="M264" s="440"/>
      <c r="N264" s="443"/>
      <c r="O264" s="13"/>
      <c r="P264" s="13"/>
      <c r="Q264" s="13"/>
      <c r="R264" s="431"/>
      <c r="S264" s="434"/>
      <c r="T264" s="13"/>
      <c r="U264" s="13"/>
      <c r="V264" s="13"/>
      <c r="W264" s="431"/>
      <c r="X264" s="434"/>
      <c r="Y264" s="13"/>
      <c r="Z264" s="13"/>
      <c r="AA264" s="13"/>
      <c r="AB264" s="431"/>
    </row>
    <row r="265" spans="1:28" ht="16.5" customHeight="1" x14ac:dyDescent="0.2">
      <c r="A265" s="437"/>
      <c r="B265" s="159" t="s">
        <v>749</v>
      </c>
      <c r="C265" s="431"/>
      <c r="D265" s="434"/>
      <c r="E265" s="13"/>
      <c r="F265" s="13"/>
      <c r="G265" s="13"/>
      <c r="H265" s="431"/>
      <c r="I265" s="434"/>
      <c r="J265" s="13"/>
      <c r="K265" s="13"/>
      <c r="L265" s="13"/>
      <c r="M265" s="440"/>
      <c r="N265" s="443"/>
      <c r="O265" s="13"/>
      <c r="P265" s="13"/>
      <c r="Q265" s="13"/>
      <c r="R265" s="431"/>
      <c r="S265" s="434"/>
      <c r="T265" s="13"/>
      <c r="U265" s="13"/>
      <c r="V265" s="13"/>
      <c r="W265" s="431"/>
      <c r="X265" s="434"/>
      <c r="Y265" s="13"/>
      <c r="Z265" s="13"/>
      <c r="AA265" s="13"/>
      <c r="AB265" s="431"/>
    </row>
    <row r="266" spans="1:28" ht="15.75" customHeight="1" x14ac:dyDescent="0.2">
      <c r="A266" s="437"/>
      <c r="B266" s="159" t="s">
        <v>750</v>
      </c>
      <c r="C266" s="431"/>
      <c r="D266" s="434"/>
      <c r="E266" s="175"/>
      <c r="F266" s="175"/>
      <c r="G266" s="175"/>
      <c r="H266" s="431"/>
      <c r="I266" s="434"/>
      <c r="J266" s="175"/>
      <c r="K266" s="175"/>
      <c r="L266" s="175"/>
      <c r="M266" s="440"/>
      <c r="N266" s="443"/>
      <c r="O266" s="175"/>
      <c r="P266" s="175"/>
      <c r="Q266" s="175"/>
      <c r="R266" s="431"/>
      <c r="S266" s="434"/>
      <c r="T266" s="175"/>
      <c r="U266" s="175"/>
      <c r="V266" s="175"/>
      <c r="W266" s="431"/>
      <c r="X266" s="434"/>
      <c r="Y266" s="175"/>
      <c r="Z266" s="175"/>
      <c r="AA266" s="175"/>
      <c r="AB266" s="431"/>
    </row>
    <row r="267" spans="1:28" ht="15.75" customHeight="1" x14ac:dyDescent="0.2">
      <c r="A267" s="437" t="s">
        <v>11</v>
      </c>
      <c r="B267" s="159" t="s">
        <v>751</v>
      </c>
      <c r="C267" s="431"/>
      <c r="D267" s="434"/>
      <c r="E267" s="175"/>
      <c r="F267" s="175"/>
      <c r="G267" s="175"/>
      <c r="H267" s="431"/>
      <c r="I267" s="434"/>
      <c r="J267" s="175"/>
      <c r="K267" s="175"/>
      <c r="L267" s="175"/>
      <c r="M267" s="440"/>
      <c r="N267" s="443"/>
      <c r="O267" s="175"/>
      <c r="P267" s="175"/>
      <c r="Q267" s="175"/>
      <c r="R267" s="431"/>
      <c r="S267" s="434"/>
      <c r="T267" s="175"/>
      <c r="U267" s="175"/>
      <c r="V267" s="175"/>
      <c r="W267" s="431"/>
      <c r="X267" s="434"/>
      <c r="Y267" s="175"/>
      <c r="Z267" s="175"/>
      <c r="AA267" s="175"/>
      <c r="AB267" s="431"/>
    </row>
    <row r="268" spans="1:28" ht="15.75" customHeight="1" x14ac:dyDescent="0.2">
      <c r="A268" s="437"/>
      <c r="B268" s="157" t="s">
        <v>776</v>
      </c>
      <c r="C268" s="431"/>
      <c r="D268" s="434"/>
      <c r="E268" s="175"/>
      <c r="F268" s="175"/>
      <c r="G268" s="175"/>
      <c r="H268" s="431"/>
      <c r="I268" s="434"/>
      <c r="J268" s="175"/>
      <c r="K268" s="175"/>
      <c r="L268" s="175"/>
      <c r="M268" s="440"/>
      <c r="N268" s="443"/>
      <c r="O268" s="175"/>
      <c r="P268" s="175"/>
      <c r="Q268" s="175"/>
      <c r="R268" s="431"/>
      <c r="S268" s="434"/>
      <c r="T268" s="175"/>
      <c r="U268" s="175"/>
      <c r="V268" s="175"/>
      <c r="W268" s="431"/>
      <c r="X268" s="434"/>
      <c r="Y268" s="175"/>
      <c r="Z268" s="175"/>
      <c r="AA268" s="175"/>
      <c r="AB268" s="431"/>
    </row>
    <row r="269" spans="1:28" ht="16.149999999999999" customHeight="1" x14ac:dyDescent="0.2">
      <c r="A269" s="437"/>
      <c r="B269" s="159" t="s">
        <v>752</v>
      </c>
      <c r="C269" s="431"/>
      <c r="D269" s="434"/>
      <c r="E269" s="175"/>
      <c r="F269" s="175"/>
      <c r="G269" s="175"/>
      <c r="H269" s="431"/>
      <c r="I269" s="434"/>
      <c r="J269" s="175"/>
      <c r="K269" s="175"/>
      <c r="L269" s="175"/>
      <c r="M269" s="440"/>
      <c r="N269" s="443"/>
      <c r="O269" s="175"/>
      <c r="P269" s="175"/>
      <c r="Q269" s="175"/>
      <c r="R269" s="431"/>
      <c r="S269" s="434"/>
      <c r="T269" s="175"/>
      <c r="U269" s="175"/>
      <c r="V269" s="175"/>
      <c r="W269" s="431"/>
      <c r="X269" s="434"/>
      <c r="Y269" s="175"/>
      <c r="Z269" s="175"/>
      <c r="AA269" s="175"/>
      <c r="AB269" s="431"/>
    </row>
    <row r="270" spans="1:28" ht="16.149999999999999" customHeight="1" x14ac:dyDescent="0.2">
      <c r="A270" s="437"/>
      <c r="B270" s="159" t="s">
        <v>753</v>
      </c>
      <c r="C270" s="431"/>
      <c r="D270" s="434"/>
      <c r="E270" s="175"/>
      <c r="F270" s="175"/>
      <c r="G270" s="175"/>
      <c r="H270" s="431"/>
      <c r="I270" s="434"/>
      <c r="J270" s="175"/>
      <c r="K270" s="175"/>
      <c r="L270" s="175"/>
      <c r="M270" s="440"/>
      <c r="N270" s="443"/>
      <c r="O270" s="175"/>
      <c r="P270" s="175"/>
      <c r="Q270" s="175"/>
      <c r="R270" s="431"/>
      <c r="S270" s="434"/>
      <c r="T270" s="175"/>
      <c r="U270" s="175"/>
      <c r="V270" s="175"/>
      <c r="W270" s="431"/>
      <c r="X270" s="434"/>
      <c r="Y270" s="175"/>
      <c r="Z270" s="175"/>
      <c r="AA270" s="175"/>
      <c r="AB270" s="431"/>
    </row>
    <row r="271" spans="1:28" ht="16.149999999999999" customHeight="1" x14ac:dyDescent="0.2">
      <c r="A271" s="437"/>
      <c r="B271" s="159" t="s">
        <v>754</v>
      </c>
      <c r="C271" s="431"/>
      <c r="D271" s="434"/>
      <c r="E271" s="175"/>
      <c r="F271" s="175"/>
      <c r="G271" s="175"/>
      <c r="H271" s="431"/>
      <c r="I271" s="434"/>
      <c r="J271" s="175"/>
      <c r="K271" s="175"/>
      <c r="L271" s="175"/>
      <c r="M271" s="440"/>
      <c r="N271" s="443"/>
      <c r="O271" s="175"/>
      <c r="P271" s="175"/>
      <c r="Q271" s="175"/>
      <c r="R271" s="431"/>
      <c r="S271" s="434"/>
      <c r="T271" s="175"/>
      <c r="U271" s="175"/>
      <c r="V271" s="175"/>
      <c r="W271" s="431"/>
      <c r="X271" s="434"/>
      <c r="Y271" s="175"/>
      <c r="Z271" s="175"/>
      <c r="AA271" s="175"/>
      <c r="AB271" s="431"/>
    </row>
    <row r="272" spans="1:28" ht="16.149999999999999" customHeight="1" x14ac:dyDescent="0.2">
      <c r="A272" s="437"/>
      <c r="B272" s="159" t="s">
        <v>755</v>
      </c>
      <c r="C272" s="431"/>
      <c r="D272" s="434"/>
      <c r="E272" s="175"/>
      <c r="F272" s="175"/>
      <c r="G272" s="175"/>
      <c r="H272" s="431"/>
      <c r="I272" s="434"/>
      <c r="J272" s="175"/>
      <c r="K272" s="175"/>
      <c r="L272" s="175"/>
      <c r="M272" s="440"/>
      <c r="N272" s="443"/>
      <c r="O272" s="175"/>
      <c r="P272" s="175"/>
      <c r="Q272" s="175"/>
      <c r="R272" s="431"/>
      <c r="S272" s="434"/>
      <c r="T272" s="175"/>
      <c r="U272" s="175"/>
      <c r="V272" s="175"/>
      <c r="W272" s="431"/>
      <c r="X272" s="434"/>
      <c r="Y272" s="175"/>
      <c r="Z272" s="175"/>
      <c r="AA272" s="175"/>
      <c r="AB272" s="431"/>
    </row>
    <row r="273" spans="1:28" ht="16.149999999999999" customHeight="1" x14ac:dyDescent="0.2">
      <c r="A273" s="437"/>
      <c r="B273" s="159" t="s">
        <v>756</v>
      </c>
      <c r="C273" s="431"/>
      <c r="D273" s="434"/>
      <c r="E273" s="175"/>
      <c r="F273" s="175"/>
      <c r="G273" s="175"/>
      <c r="H273" s="431"/>
      <c r="I273" s="434"/>
      <c r="J273" s="175"/>
      <c r="K273" s="175"/>
      <c r="L273" s="175"/>
      <c r="M273" s="440"/>
      <c r="N273" s="443"/>
      <c r="O273" s="175"/>
      <c r="P273" s="175"/>
      <c r="Q273" s="175"/>
      <c r="R273" s="431"/>
      <c r="S273" s="434"/>
      <c r="T273" s="175"/>
      <c r="U273" s="175"/>
      <c r="V273" s="175"/>
      <c r="W273" s="431"/>
      <c r="X273" s="434"/>
      <c r="Y273" s="175"/>
      <c r="Z273" s="175"/>
      <c r="AA273" s="175"/>
      <c r="AB273" s="431"/>
    </row>
    <row r="274" spans="1:28" ht="16.149999999999999" customHeight="1" x14ac:dyDescent="0.2">
      <c r="A274" s="437"/>
      <c r="B274" s="159" t="s">
        <v>757</v>
      </c>
      <c r="C274" s="431"/>
      <c r="D274" s="434"/>
      <c r="E274" s="175"/>
      <c r="F274" s="175"/>
      <c r="G274" s="175"/>
      <c r="H274" s="431"/>
      <c r="I274" s="434"/>
      <c r="J274" s="175"/>
      <c r="K274" s="175"/>
      <c r="L274" s="175"/>
      <c r="M274" s="440"/>
      <c r="N274" s="443"/>
      <c r="O274" s="175"/>
      <c r="P274" s="175"/>
      <c r="Q274" s="175"/>
      <c r="R274" s="431"/>
      <c r="S274" s="434"/>
      <c r="T274" s="175"/>
      <c r="U274" s="175"/>
      <c r="V274" s="175"/>
      <c r="W274" s="431"/>
      <c r="X274" s="434"/>
      <c r="Y274" s="175"/>
      <c r="Z274" s="175"/>
      <c r="AA274" s="175"/>
      <c r="AB274" s="431"/>
    </row>
    <row r="275" spans="1:28" ht="12.75" customHeight="1" x14ac:dyDescent="0.2">
      <c r="A275" s="437"/>
      <c r="B275" s="159" t="s">
        <v>758</v>
      </c>
      <c r="C275" s="431"/>
      <c r="D275" s="434"/>
      <c r="E275" s="175"/>
      <c r="F275" s="175"/>
      <c r="G275" s="175"/>
      <c r="H275" s="431"/>
      <c r="I275" s="434"/>
      <c r="J275" s="175"/>
      <c r="K275" s="175"/>
      <c r="L275" s="175"/>
      <c r="M275" s="440"/>
      <c r="N275" s="443"/>
      <c r="O275" s="175"/>
      <c r="P275" s="175"/>
      <c r="Q275" s="175"/>
      <c r="R275" s="431"/>
      <c r="S275" s="434"/>
      <c r="T275" s="175"/>
      <c r="U275" s="175"/>
      <c r="V275" s="175"/>
      <c r="W275" s="431"/>
      <c r="X275" s="434"/>
      <c r="Y275" s="175"/>
      <c r="Z275" s="175"/>
      <c r="AA275" s="175"/>
      <c r="AB275" s="431"/>
    </row>
    <row r="276" spans="1:28" ht="12.75" customHeight="1" x14ac:dyDescent="0.2">
      <c r="A276" s="437"/>
      <c r="B276" s="159" t="s">
        <v>759</v>
      </c>
      <c r="C276" s="431"/>
      <c r="D276" s="434"/>
      <c r="E276" s="175"/>
      <c r="F276" s="175"/>
      <c r="G276" s="175"/>
      <c r="H276" s="431"/>
      <c r="I276" s="434"/>
      <c r="J276" s="175"/>
      <c r="K276" s="175"/>
      <c r="L276" s="175"/>
      <c r="M276" s="440"/>
      <c r="N276" s="443"/>
      <c r="O276" s="175"/>
      <c r="P276" s="175"/>
      <c r="Q276" s="175"/>
      <c r="R276" s="431"/>
      <c r="S276" s="434"/>
      <c r="T276" s="175"/>
      <c r="U276" s="175"/>
      <c r="V276" s="175"/>
      <c r="W276" s="431"/>
      <c r="X276" s="434"/>
      <c r="Y276" s="175"/>
      <c r="Z276" s="175"/>
      <c r="AA276" s="175"/>
      <c r="AB276" s="431"/>
    </row>
    <row r="277" spans="1:28" ht="13.5" customHeight="1" x14ac:dyDescent="0.2">
      <c r="A277" s="437"/>
      <c r="B277" s="159" t="s">
        <v>760</v>
      </c>
      <c r="C277" s="431"/>
      <c r="D277" s="434"/>
      <c r="E277" s="175"/>
      <c r="F277" s="175"/>
      <c r="G277" s="175"/>
      <c r="H277" s="431"/>
      <c r="I277" s="434"/>
      <c r="J277" s="175"/>
      <c r="K277" s="175"/>
      <c r="L277" s="175"/>
      <c r="M277" s="440"/>
      <c r="N277" s="443"/>
      <c r="O277" s="175"/>
      <c r="P277" s="175"/>
      <c r="Q277" s="175"/>
      <c r="R277" s="431"/>
      <c r="S277" s="434"/>
      <c r="T277" s="175"/>
      <c r="U277" s="175"/>
      <c r="V277" s="175"/>
      <c r="W277" s="431"/>
      <c r="X277" s="434"/>
      <c r="Y277" s="175"/>
      <c r="Z277" s="175"/>
      <c r="AA277" s="175"/>
      <c r="AB277" s="431"/>
    </row>
    <row r="278" spans="1:28" ht="16.149999999999999" customHeight="1" x14ac:dyDescent="0.2">
      <c r="A278" s="437"/>
      <c r="B278" s="159" t="s">
        <v>761</v>
      </c>
      <c r="C278" s="431"/>
      <c r="D278" s="434"/>
      <c r="E278" s="175"/>
      <c r="F278" s="175"/>
      <c r="G278" s="175"/>
      <c r="H278" s="431"/>
      <c r="I278" s="434"/>
      <c r="J278" s="175"/>
      <c r="K278" s="175"/>
      <c r="L278" s="175"/>
      <c r="M278" s="440"/>
      <c r="N278" s="443"/>
      <c r="O278" s="175"/>
      <c r="P278" s="175"/>
      <c r="Q278" s="175"/>
      <c r="R278" s="431"/>
      <c r="S278" s="434"/>
      <c r="T278" s="175"/>
      <c r="U278" s="175"/>
      <c r="V278" s="175"/>
      <c r="W278" s="431"/>
      <c r="X278" s="434"/>
      <c r="Y278" s="175"/>
      <c r="Z278" s="175"/>
      <c r="AA278" s="175"/>
      <c r="AB278" s="431"/>
    </row>
    <row r="279" spans="1:28" ht="16.149999999999999" customHeight="1" x14ac:dyDescent="0.2">
      <c r="A279" s="437"/>
      <c r="B279" s="176" t="s">
        <v>762</v>
      </c>
      <c r="C279" s="431"/>
      <c r="D279" s="434"/>
      <c r="E279" s="177"/>
      <c r="F279" s="177"/>
      <c r="G279" s="177"/>
      <c r="H279" s="431"/>
      <c r="I279" s="434"/>
      <c r="J279" s="177"/>
      <c r="K279" s="177"/>
      <c r="L279" s="177"/>
      <c r="M279" s="440"/>
      <c r="N279" s="443"/>
      <c r="O279" s="177"/>
      <c r="P279" s="177"/>
      <c r="Q279" s="177"/>
      <c r="R279" s="431"/>
      <c r="S279" s="434"/>
      <c r="T279" s="177"/>
      <c r="U279" s="177"/>
      <c r="V279" s="177"/>
      <c r="W279" s="431"/>
      <c r="X279" s="434"/>
      <c r="Y279" s="177"/>
      <c r="Z279" s="177"/>
      <c r="AA279" s="177"/>
      <c r="AB279" s="431"/>
    </row>
    <row r="280" spans="1:28" ht="16.149999999999999" customHeight="1" x14ac:dyDescent="0.2">
      <c r="A280" s="437"/>
      <c r="B280" s="176" t="s">
        <v>763</v>
      </c>
      <c r="C280" s="431"/>
      <c r="D280" s="434"/>
      <c r="E280" s="175"/>
      <c r="F280" s="175"/>
      <c r="G280" s="175"/>
      <c r="H280" s="431"/>
      <c r="I280" s="434"/>
      <c r="J280" s="175"/>
      <c r="K280" s="175"/>
      <c r="L280" s="175"/>
      <c r="M280" s="440"/>
      <c r="N280" s="443"/>
      <c r="O280" s="175"/>
      <c r="P280" s="175"/>
      <c r="Q280" s="175"/>
      <c r="R280" s="431"/>
      <c r="S280" s="434"/>
      <c r="T280" s="175"/>
      <c r="U280" s="175"/>
      <c r="V280" s="175"/>
      <c r="W280" s="431"/>
      <c r="X280" s="434"/>
      <c r="Y280" s="175"/>
      <c r="Z280" s="175"/>
      <c r="AA280" s="175"/>
      <c r="AB280" s="431"/>
    </row>
    <row r="281" spans="1:28" ht="16.149999999999999" customHeight="1" x14ac:dyDescent="0.2">
      <c r="A281" s="437"/>
      <c r="B281" s="176" t="s">
        <v>764</v>
      </c>
      <c r="C281" s="431"/>
      <c r="D281" s="434"/>
      <c r="E281" s="177"/>
      <c r="F281" s="177"/>
      <c r="G281" s="177"/>
      <c r="H281" s="431"/>
      <c r="I281" s="434"/>
      <c r="J281" s="177"/>
      <c r="K281" s="177"/>
      <c r="L281" s="177"/>
      <c r="M281" s="440"/>
      <c r="N281" s="443"/>
      <c r="O281" s="177"/>
      <c r="P281" s="177"/>
      <c r="Q281" s="177"/>
      <c r="R281" s="431"/>
      <c r="S281" s="434"/>
      <c r="T281" s="177"/>
      <c r="U281" s="177"/>
      <c r="V281" s="177"/>
      <c r="W281" s="431"/>
      <c r="X281" s="434"/>
      <c r="Y281" s="177"/>
      <c r="Z281" s="177"/>
      <c r="AA281" s="177"/>
      <c r="AB281" s="431"/>
    </row>
    <row r="282" spans="1:28" ht="16.149999999999999" customHeight="1" x14ac:dyDescent="0.2">
      <c r="A282" s="437"/>
      <c r="B282" s="176" t="s">
        <v>765</v>
      </c>
      <c r="C282" s="431"/>
      <c r="D282" s="434"/>
      <c r="E282" s="175"/>
      <c r="F282" s="175"/>
      <c r="G282" s="175"/>
      <c r="H282" s="431"/>
      <c r="I282" s="434"/>
      <c r="J282" s="175"/>
      <c r="K282" s="175"/>
      <c r="L282" s="175"/>
      <c r="M282" s="440"/>
      <c r="N282" s="443"/>
      <c r="O282" s="175"/>
      <c r="P282" s="175"/>
      <c r="Q282" s="175"/>
      <c r="R282" s="431"/>
      <c r="S282" s="434"/>
      <c r="T282" s="175"/>
      <c r="U282" s="175"/>
      <c r="V282" s="175"/>
      <c r="W282" s="431"/>
      <c r="X282" s="434"/>
      <c r="Y282" s="175"/>
      <c r="Z282" s="175"/>
      <c r="AA282" s="175"/>
      <c r="AB282" s="431"/>
    </row>
    <row r="283" spans="1:28" ht="33.75" customHeight="1" x14ac:dyDescent="0.2">
      <c r="A283" s="437"/>
      <c r="B283" s="176" t="s">
        <v>766</v>
      </c>
      <c r="C283" s="431"/>
      <c r="D283" s="434"/>
      <c r="E283" s="175"/>
      <c r="F283" s="175"/>
      <c r="G283" s="175"/>
      <c r="H283" s="431"/>
      <c r="I283" s="434"/>
      <c r="J283" s="175"/>
      <c r="K283" s="175"/>
      <c r="L283" s="175"/>
      <c r="M283" s="440"/>
      <c r="N283" s="443"/>
      <c r="O283" s="175"/>
      <c r="P283" s="175"/>
      <c r="Q283" s="175"/>
      <c r="R283" s="431"/>
      <c r="S283" s="434"/>
      <c r="T283" s="175"/>
      <c r="U283" s="175"/>
      <c r="V283" s="175"/>
      <c r="W283" s="431"/>
      <c r="X283" s="434"/>
      <c r="Y283" s="175"/>
      <c r="Z283" s="175"/>
      <c r="AA283" s="175"/>
      <c r="AB283" s="431"/>
    </row>
    <row r="284" spans="1:28" ht="16.149999999999999" customHeight="1" x14ac:dyDescent="0.2">
      <c r="A284" s="437"/>
      <c r="B284" s="176" t="s">
        <v>767</v>
      </c>
      <c r="C284" s="431"/>
      <c r="D284" s="434"/>
      <c r="E284" s="175"/>
      <c r="F284" s="175"/>
      <c r="G284" s="175"/>
      <c r="H284" s="431"/>
      <c r="I284" s="434"/>
      <c r="J284" s="175"/>
      <c r="K284" s="175"/>
      <c r="L284" s="175"/>
      <c r="M284" s="440"/>
      <c r="N284" s="443"/>
      <c r="O284" s="175"/>
      <c r="P284" s="175"/>
      <c r="Q284" s="175"/>
      <c r="R284" s="431"/>
      <c r="S284" s="434"/>
      <c r="T284" s="175"/>
      <c r="U284" s="175"/>
      <c r="V284" s="175"/>
      <c r="W284" s="431"/>
      <c r="X284" s="434"/>
      <c r="Y284" s="175"/>
      <c r="Z284" s="175"/>
      <c r="AA284" s="175"/>
      <c r="AB284" s="431"/>
    </row>
    <row r="285" spans="1:28" ht="22.5" customHeight="1" x14ac:dyDescent="0.2">
      <c r="A285" s="437"/>
      <c r="B285" s="176" t="s">
        <v>768</v>
      </c>
      <c r="C285" s="431"/>
      <c r="D285" s="434"/>
      <c r="E285" s="175"/>
      <c r="F285" s="175"/>
      <c r="G285" s="175"/>
      <c r="H285" s="431"/>
      <c r="I285" s="434"/>
      <c r="J285" s="175"/>
      <c r="K285" s="175"/>
      <c r="L285" s="175"/>
      <c r="M285" s="440"/>
      <c r="N285" s="443"/>
      <c r="O285" s="175"/>
      <c r="P285" s="175"/>
      <c r="Q285" s="175"/>
      <c r="R285" s="431"/>
      <c r="S285" s="434"/>
      <c r="T285" s="175"/>
      <c r="U285" s="175"/>
      <c r="V285" s="175"/>
      <c r="W285" s="431"/>
      <c r="X285" s="434"/>
      <c r="Y285" s="175"/>
      <c r="Z285" s="175"/>
      <c r="AA285" s="175"/>
      <c r="AB285" s="431"/>
    </row>
    <row r="286" spans="1:28" ht="16.149999999999999" customHeight="1" x14ac:dyDescent="0.2">
      <c r="A286" s="437"/>
      <c r="B286" s="176" t="s">
        <v>769</v>
      </c>
      <c r="C286" s="431"/>
      <c r="D286" s="434"/>
      <c r="E286" s="178"/>
      <c r="F286" s="178"/>
      <c r="G286" s="178"/>
      <c r="H286" s="431"/>
      <c r="I286" s="434"/>
      <c r="J286" s="178"/>
      <c r="K286" s="178"/>
      <c r="L286" s="178"/>
      <c r="M286" s="440"/>
      <c r="N286" s="443"/>
      <c r="O286" s="178"/>
      <c r="P286" s="178"/>
      <c r="Q286" s="178"/>
      <c r="R286" s="431"/>
      <c r="S286" s="434"/>
      <c r="T286" s="178"/>
      <c r="U286" s="178"/>
      <c r="V286" s="178"/>
      <c r="W286" s="431"/>
      <c r="X286" s="434"/>
      <c r="Y286" s="178"/>
      <c r="Z286" s="178"/>
      <c r="AA286" s="178"/>
      <c r="AB286" s="431"/>
    </row>
    <row r="287" spans="1:28" ht="16.149999999999999" customHeight="1" x14ac:dyDescent="0.2">
      <c r="A287" s="437"/>
      <c r="B287" s="176" t="s">
        <v>770</v>
      </c>
      <c r="C287" s="431"/>
      <c r="D287" s="434"/>
      <c r="E287" s="178"/>
      <c r="F287" s="178"/>
      <c r="G287" s="178"/>
      <c r="H287" s="431"/>
      <c r="I287" s="434"/>
      <c r="J287" s="178"/>
      <c r="K287" s="178"/>
      <c r="L287" s="178"/>
      <c r="M287" s="440"/>
      <c r="N287" s="443"/>
      <c r="O287" s="178"/>
      <c r="P287" s="178"/>
      <c r="Q287" s="178"/>
      <c r="R287" s="431"/>
      <c r="S287" s="434"/>
      <c r="T287" s="178"/>
      <c r="U287" s="178"/>
      <c r="V287" s="178"/>
      <c r="W287" s="431"/>
      <c r="X287" s="434"/>
      <c r="Y287" s="178"/>
      <c r="Z287" s="178"/>
      <c r="AA287" s="178"/>
      <c r="AB287" s="431"/>
    </row>
    <row r="288" spans="1:28" ht="16.149999999999999" customHeight="1" x14ac:dyDescent="0.2">
      <c r="A288" s="437"/>
      <c r="B288" s="176" t="s">
        <v>771</v>
      </c>
      <c r="C288" s="431"/>
      <c r="D288" s="434"/>
      <c r="E288" s="178"/>
      <c r="F288" s="178"/>
      <c r="G288" s="178"/>
      <c r="H288" s="431"/>
      <c r="I288" s="434"/>
      <c r="J288" s="178"/>
      <c r="K288" s="178"/>
      <c r="L288" s="178"/>
      <c r="M288" s="440"/>
      <c r="N288" s="443"/>
      <c r="O288" s="178"/>
      <c r="P288" s="178"/>
      <c r="Q288" s="178"/>
      <c r="R288" s="431"/>
      <c r="S288" s="434"/>
      <c r="T288" s="178"/>
      <c r="U288" s="178"/>
      <c r="V288" s="178"/>
      <c r="W288" s="431"/>
      <c r="X288" s="434"/>
      <c r="Y288" s="178"/>
      <c r="Z288" s="178"/>
      <c r="AA288" s="178"/>
      <c r="AB288" s="431"/>
    </row>
    <row r="289" spans="1:28" ht="16.149999999999999" customHeight="1" x14ac:dyDescent="0.2">
      <c r="A289" s="437"/>
      <c r="B289" s="176" t="s">
        <v>772</v>
      </c>
      <c r="C289" s="431"/>
      <c r="D289" s="434"/>
      <c r="E289" s="178"/>
      <c r="F289" s="178"/>
      <c r="G289" s="178"/>
      <c r="H289" s="431"/>
      <c r="I289" s="434"/>
      <c r="J289" s="178"/>
      <c r="K289" s="178"/>
      <c r="L289" s="178"/>
      <c r="M289" s="440"/>
      <c r="N289" s="443"/>
      <c r="O289" s="178"/>
      <c r="P289" s="178"/>
      <c r="Q289" s="178"/>
      <c r="R289" s="431"/>
      <c r="S289" s="434"/>
      <c r="T289" s="178"/>
      <c r="U289" s="178"/>
      <c r="V289" s="178"/>
      <c r="W289" s="431"/>
      <c r="X289" s="434"/>
      <c r="Y289" s="178"/>
      <c r="Z289" s="178"/>
      <c r="AA289" s="178"/>
      <c r="AB289" s="431"/>
    </row>
    <row r="290" spans="1:28" ht="16.149999999999999" customHeight="1" x14ac:dyDescent="0.2">
      <c r="A290" s="437"/>
      <c r="B290" s="176" t="s">
        <v>1817</v>
      </c>
      <c r="C290" s="431"/>
      <c r="D290" s="434"/>
      <c r="E290" s="178"/>
      <c r="F290" s="178"/>
      <c r="G290" s="178"/>
      <c r="H290" s="431"/>
      <c r="I290" s="434"/>
      <c r="J290" s="178"/>
      <c r="K290" s="178"/>
      <c r="L290" s="178"/>
      <c r="M290" s="440"/>
      <c r="N290" s="443"/>
      <c r="O290" s="178"/>
      <c r="P290" s="178"/>
      <c r="Q290" s="178"/>
      <c r="R290" s="431"/>
      <c r="S290" s="434"/>
      <c r="T290" s="178"/>
      <c r="U290" s="178"/>
      <c r="V290" s="178"/>
      <c r="W290" s="431"/>
      <c r="X290" s="434"/>
      <c r="Y290" s="178"/>
      <c r="Z290" s="178"/>
      <c r="AA290" s="178"/>
      <c r="AB290" s="431"/>
    </row>
    <row r="291" spans="1:28" ht="16.149999999999999" customHeight="1" x14ac:dyDescent="0.2">
      <c r="A291" s="437"/>
      <c r="B291" s="159" t="s">
        <v>773</v>
      </c>
      <c r="C291" s="431"/>
      <c r="D291" s="434"/>
      <c r="E291" s="178"/>
      <c r="F291" s="178"/>
      <c r="G291" s="178"/>
      <c r="H291" s="431"/>
      <c r="I291" s="434"/>
      <c r="J291" s="178"/>
      <c r="K291" s="178"/>
      <c r="L291" s="178"/>
      <c r="M291" s="440"/>
      <c r="N291" s="443"/>
      <c r="O291" s="178"/>
      <c r="P291" s="178"/>
      <c r="Q291" s="178"/>
      <c r="R291" s="431"/>
      <c r="S291" s="434"/>
      <c r="T291" s="178"/>
      <c r="U291" s="178"/>
      <c r="V291" s="178"/>
      <c r="W291" s="431"/>
      <c r="X291" s="434"/>
      <c r="Y291" s="178"/>
      <c r="Z291" s="178"/>
      <c r="AA291" s="178"/>
      <c r="AB291" s="431"/>
    </row>
    <row r="292" spans="1:28" ht="16.149999999999999" customHeight="1" x14ac:dyDescent="0.2">
      <c r="A292" s="437"/>
      <c r="B292" s="159" t="s">
        <v>774</v>
      </c>
      <c r="C292" s="431"/>
      <c r="D292" s="434"/>
      <c r="E292" s="178"/>
      <c r="F292" s="178"/>
      <c r="G292" s="178"/>
      <c r="H292" s="431"/>
      <c r="I292" s="434"/>
      <c r="J292" s="178"/>
      <c r="K292" s="178"/>
      <c r="L292" s="178"/>
      <c r="M292" s="440"/>
      <c r="N292" s="443"/>
      <c r="O292" s="178"/>
      <c r="P292" s="178"/>
      <c r="Q292" s="178"/>
      <c r="R292" s="431"/>
      <c r="S292" s="434"/>
      <c r="T292" s="178"/>
      <c r="U292" s="178"/>
      <c r="V292" s="178"/>
      <c r="W292" s="431"/>
      <c r="X292" s="434"/>
      <c r="Y292" s="178"/>
      <c r="Z292" s="178"/>
      <c r="AA292" s="178"/>
      <c r="AB292" s="431"/>
    </row>
    <row r="293" spans="1:28" ht="16.149999999999999" customHeight="1" x14ac:dyDescent="0.2">
      <c r="A293" s="437"/>
      <c r="B293" s="159" t="s">
        <v>775</v>
      </c>
      <c r="C293" s="431"/>
      <c r="D293" s="434"/>
      <c r="E293" s="178"/>
      <c r="F293" s="178"/>
      <c r="G293" s="178"/>
      <c r="H293" s="431"/>
      <c r="I293" s="434"/>
      <c r="J293" s="178"/>
      <c r="K293" s="178"/>
      <c r="L293" s="178"/>
      <c r="M293" s="440"/>
      <c r="N293" s="443"/>
      <c r="O293" s="178"/>
      <c r="P293" s="178"/>
      <c r="Q293" s="178"/>
      <c r="R293" s="431"/>
      <c r="S293" s="434"/>
      <c r="T293" s="178"/>
      <c r="U293" s="178"/>
      <c r="V293" s="178"/>
      <c r="W293" s="431"/>
      <c r="X293" s="434"/>
      <c r="Y293" s="178"/>
      <c r="Z293" s="178"/>
      <c r="AA293" s="178"/>
      <c r="AB293" s="431"/>
    </row>
    <row r="294" spans="1:28" ht="16.149999999999999" customHeight="1" x14ac:dyDescent="0.2">
      <c r="A294" s="437"/>
      <c r="B294" s="159" t="s">
        <v>1718</v>
      </c>
      <c r="C294" s="431"/>
      <c r="D294" s="434"/>
      <c r="E294" s="177"/>
      <c r="F294" s="177"/>
      <c r="G294" s="177"/>
      <c r="H294" s="431"/>
      <c r="I294" s="434"/>
      <c r="J294" s="177"/>
      <c r="K294" s="177"/>
      <c r="L294" s="177"/>
      <c r="M294" s="440"/>
      <c r="N294" s="443"/>
      <c r="O294" s="177"/>
      <c r="P294" s="177"/>
      <c r="Q294" s="177"/>
      <c r="R294" s="431"/>
      <c r="S294" s="434"/>
      <c r="T294" s="177"/>
      <c r="U294" s="177"/>
      <c r="V294" s="177"/>
      <c r="W294" s="431"/>
      <c r="X294" s="434"/>
      <c r="Y294" s="177"/>
      <c r="Z294" s="177"/>
      <c r="AA294" s="177"/>
      <c r="AB294" s="431"/>
    </row>
    <row r="295" spans="1:28" ht="16.149999999999999" customHeight="1" x14ac:dyDescent="0.2">
      <c r="A295" s="437"/>
      <c r="B295" s="159" t="s">
        <v>1704</v>
      </c>
      <c r="C295" s="431"/>
      <c r="D295" s="434"/>
      <c r="E295" s="177"/>
      <c r="F295" s="177"/>
      <c r="G295" s="177"/>
      <c r="H295" s="431"/>
      <c r="I295" s="434"/>
      <c r="J295" s="177"/>
      <c r="K295" s="177"/>
      <c r="L295" s="177"/>
      <c r="M295" s="440"/>
      <c r="N295" s="443"/>
      <c r="O295" s="177"/>
      <c r="P295" s="177"/>
      <c r="Q295" s="177"/>
      <c r="R295" s="431"/>
      <c r="S295" s="434"/>
      <c r="T295" s="177"/>
      <c r="U295" s="177"/>
      <c r="V295" s="177"/>
      <c r="W295" s="431"/>
      <c r="X295" s="434"/>
      <c r="Y295" s="177"/>
      <c r="Z295" s="177"/>
      <c r="AA295" s="177"/>
      <c r="AB295" s="431"/>
    </row>
    <row r="296" spans="1:28" ht="16.149999999999999" customHeight="1" x14ac:dyDescent="0.2">
      <c r="A296" s="437"/>
      <c r="B296" s="159" t="s">
        <v>1716</v>
      </c>
      <c r="C296" s="431"/>
      <c r="D296" s="434"/>
      <c r="E296" s="177"/>
      <c r="F296" s="177"/>
      <c r="G296" s="177"/>
      <c r="H296" s="431"/>
      <c r="I296" s="434"/>
      <c r="J296" s="177"/>
      <c r="K296" s="177"/>
      <c r="L296" s="177"/>
      <c r="M296" s="440"/>
      <c r="N296" s="443"/>
      <c r="O296" s="177"/>
      <c r="P296" s="177"/>
      <c r="Q296" s="177"/>
      <c r="R296" s="431"/>
      <c r="S296" s="434"/>
      <c r="T296" s="177"/>
      <c r="U296" s="177"/>
      <c r="V296" s="177"/>
      <c r="W296" s="431"/>
      <c r="X296" s="434"/>
      <c r="Y296" s="177"/>
      <c r="Z296" s="177"/>
      <c r="AA296" s="177"/>
      <c r="AB296" s="431"/>
    </row>
    <row r="297" spans="1:28" ht="16.149999999999999" customHeight="1" x14ac:dyDescent="0.2">
      <c r="A297" s="437"/>
      <c r="B297" s="159" t="s">
        <v>1717</v>
      </c>
      <c r="C297" s="431"/>
      <c r="D297" s="434"/>
      <c r="E297" s="177"/>
      <c r="F297" s="177"/>
      <c r="G297" s="177"/>
      <c r="H297" s="431"/>
      <c r="I297" s="434"/>
      <c r="J297" s="177"/>
      <c r="K297" s="177"/>
      <c r="L297" s="177"/>
      <c r="M297" s="440"/>
      <c r="N297" s="443"/>
      <c r="O297" s="177"/>
      <c r="P297" s="177"/>
      <c r="Q297" s="177"/>
      <c r="R297" s="431"/>
      <c r="S297" s="434"/>
      <c r="T297" s="177"/>
      <c r="U297" s="177"/>
      <c r="V297" s="177"/>
      <c r="W297" s="431"/>
      <c r="X297" s="434"/>
      <c r="Y297" s="177"/>
      <c r="Z297" s="177"/>
      <c r="AA297" s="177"/>
      <c r="AB297" s="431"/>
    </row>
    <row r="298" spans="1:28" ht="16.149999999999999" customHeight="1" x14ac:dyDescent="0.2">
      <c r="A298" s="437"/>
      <c r="B298" s="159" t="s">
        <v>1701</v>
      </c>
      <c r="C298" s="431"/>
      <c r="D298" s="434"/>
      <c r="E298" s="177"/>
      <c r="F298" s="177"/>
      <c r="G298" s="177"/>
      <c r="H298" s="431"/>
      <c r="I298" s="434"/>
      <c r="J298" s="177"/>
      <c r="K298" s="177"/>
      <c r="L298" s="177"/>
      <c r="M298" s="440"/>
      <c r="N298" s="443"/>
      <c r="O298" s="177"/>
      <c r="P298" s="177"/>
      <c r="Q298" s="177"/>
      <c r="R298" s="431"/>
      <c r="S298" s="434"/>
      <c r="T298" s="177"/>
      <c r="U298" s="177"/>
      <c r="V298" s="177"/>
      <c r="W298" s="431"/>
      <c r="X298" s="434"/>
      <c r="Y298" s="177"/>
      <c r="Z298" s="177"/>
      <c r="AA298" s="177"/>
      <c r="AB298" s="431"/>
    </row>
    <row r="299" spans="1:28" ht="16.149999999999999" customHeight="1" x14ac:dyDescent="0.2">
      <c r="A299" s="437"/>
      <c r="B299" s="159" t="s">
        <v>1719</v>
      </c>
      <c r="C299" s="431"/>
      <c r="D299" s="434"/>
      <c r="E299" s="177"/>
      <c r="F299" s="177"/>
      <c r="G299" s="177"/>
      <c r="H299" s="431"/>
      <c r="I299" s="434"/>
      <c r="J299" s="177"/>
      <c r="K299" s="177"/>
      <c r="L299" s="177"/>
      <c r="M299" s="440"/>
      <c r="N299" s="443"/>
      <c r="O299" s="177"/>
      <c r="P299" s="177"/>
      <c r="Q299" s="177"/>
      <c r="R299" s="431"/>
      <c r="S299" s="434"/>
      <c r="T299" s="177"/>
      <c r="U299" s="177"/>
      <c r="V299" s="177"/>
      <c r="W299" s="431"/>
      <c r="X299" s="434"/>
      <c r="Y299" s="177"/>
      <c r="Z299" s="177"/>
      <c r="AA299" s="177"/>
      <c r="AB299" s="431"/>
    </row>
    <row r="300" spans="1:28" ht="16.149999999999999" customHeight="1" x14ac:dyDescent="0.2">
      <c r="A300" s="437"/>
      <c r="B300" s="159" t="s">
        <v>1705</v>
      </c>
      <c r="C300" s="431"/>
      <c r="D300" s="434"/>
      <c r="E300" s="177"/>
      <c r="F300" s="177"/>
      <c r="G300" s="177"/>
      <c r="H300" s="431"/>
      <c r="I300" s="434"/>
      <c r="J300" s="177"/>
      <c r="K300" s="177"/>
      <c r="L300" s="177"/>
      <c r="M300" s="440"/>
      <c r="N300" s="443"/>
      <c r="O300" s="177"/>
      <c r="P300" s="177"/>
      <c r="Q300" s="177"/>
      <c r="R300" s="431"/>
      <c r="S300" s="434"/>
      <c r="T300" s="177"/>
      <c r="U300" s="177"/>
      <c r="V300" s="177"/>
      <c r="W300" s="431"/>
      <c r="X300" s="434"/>
      <c r="Y300" s="177"/>
      <c r="Z300" s="177"/>
      <c r="AA300" s="177"/>
      <c r="AB300" s="431"/>
    </row>
    <row r="301" spans="1:28" ht="16.149999999999999" customHeight="1" x14ac:dyDescent="0.2">
      <c r="A301" s="437"/>
      <c r="B301" s="159" t="s">
        <v>1706</v>
      </c>
      <c r="C301" s="431"/>
      <c r="D301" s="434"/>
      <c r="E301" s="177"/>
      <c r="F301" s="177"/>
      <c r="G301" s="177"/>
      <c r="H301" s="431"/>
      <c r="I301" s="434"/>
      <c r="J301" s="177"/>
      <c r="K301" s="177"/>
      <c r="L301" s="177"/>
      <c r="M301" s="440"/>
      <c r="N301" s="443"/>
      <c r="O301" s="177"/>
      <c r="P301" s="177"/>
      <c r="Q301" s="177"/>
      <c r="R301" s="431"/>
      <c r="S301" s="434"/>
      <c r="T301" s="177"/>
      <c r="U301" s="177"/>
      <c r="V301" s="177"/>
      <c r="W301" s="431"/>
      <c r="X301" s="434"/>
      <c r="Y301" s="177"/>
      <c r="Z301" s="177"/>
      <c r="AA301" s="177"/>
      <c r="AB301" s="431"/>
    </row>
    <row r="302" spans="1:28" ht="16.149999999999999" customHeight="1" x14ac:dyDescent="0.2">
      <c r="A302" s="437"/>
      <c r="B302" s="159" t="s">
        <v>1707</v>
      </c>
      <c r="C302" s="431"/>
      <c r="D302" s="434"/>
      <c r="E302" s="177"/>
      <c r="F302" s="177"/>
      <c r="G302" s="177"/>
      <c r="H302" s="431"/>
      <c r="I302" s="434"/>
      <c r="J302" s="177"/>
      <c r="K302" s="177"/>
      <c r="L302" s="177"/>
      <c r="M302" s="440"/>
      <c r="N302" s="443"/>
      <c r="O302" s="177"/>
      <c r="P302" s="177"/>
      <c r="Q302" s="177"/>
      <c r="R302" s="431"/>
      <c r="S302" s="434"/>
      <c r="T302" s="177"/>
      <c r="U302" s="177"/>
      <c r="V302" s="177"/>
      <c r="W302" s="431"/>
      <c r="X302" s="434"/>
      <c r="Y302" s="177"/>
      <c r="Z302" s="177"/>
      <c r="AA302" s="177"/>
      <c r="AB302" s="431"/>
    </row>
    <row r="303" spans="1:28" ht="16.149999999999999" customHeight="1" x14ac:dyDescent="0.2">
      <c r="A303" s="437"/>
      <c r="B303" s="159" t="s">
        <v>1708</v>
      </c>
      <c r="C303" s="431"/>
      <c r="D303" s="434"/>
      <c r="E303" s="177"/>
      <c r="F303" s="177"/>
      <c r="G303" s="177"/>
      <c r="H303" s="431"/>
      <c r="I303" s="434"/>
      <c r="J303" s="177"/>
      <c r="K303" s="177"/>
      <c r="L303" s="177"/>
      <c r="M303" s="440"/>
      <c r="N303" s="443"/>
      <c r="O303" s="177"/>
      <c r="P303" s="177"/>
      <c r="Q303" s="177"/>
      <c r="R303" s="431"/>
      <c r="S303" s="434"/>
      <c r="T303" s="177"/>
      <c r="U303" s="177"/>
      <c r="V303" s="177"/>
      <c r="W303" s="431"/>
      <c r="X303" s="434"/>
      <c r="Y303" s="177"/>
      <c r="Z303" s="177"/>
      <c r="AA303" s="177"/>
      <c r="AB303" s="431"/>
    </row>
    <row r="304" spans="1:28" ht="16.149999999999999" customHeight="1" x14ac:dyDescent="0.2">
      <c r="A304" s="437"/>
      <c r="B304" s="159" t="s">
        <v>1709</v>
      </c>
      <c r="C304" s="431"/>
      <c r="D304" s="434"/>
      <c r="E304" s="177"/>
      <c r="F304" s="177"/>
      <c r="G304" s="177"/>
      <c r="H304" s="431"/>
      <c r="I304" s="434"/>
      <c r="J304" s="177"/>
      <c r="K304" s="177"/>
      <c r="L304" s="177"/>
      <c r="M304" s="440"/>
      <c r="N304" s="443"/>
      <c r="O304" s="177"/>
      <c r="P304" s="177"/>
      <c r="Q304" s="177"/>
      <c r="R304" s="431"/>
      <c r="S304" s="434"/>
      <c r="T304" s="177"/>
      <c r="U304" s="177"/>
      <c r="V304" s="177"/>
      <c r="W304" s="431"/>
      <c r="X304" s="434"/>
      <c r="Y304" s="177"/>
      <c r="Z304" s="177"/>
      <c r="AA304" s="177"/>
      <c r="AB304" s="431"/>
    </row>
    <row r="305" spans="1:28" ht="16.149999999999999" customHeight="1" x14ac:dyDescent="0.2">
      <c r="A305" s="437"/>
      <c r="B305" s="159" t="s">
        <v>1722</v>
      </c>
      <c r="C305" s="431"/>
      <c r="D305" s="434"/>
      <c r="E305" s="177"/>
      <c r="F305" s="177"/>
      <c r="G305" s="177"/>
      <c r="H305" s="431"/>
      <c r="I305" s="434"/>
      <c r="J305" s="177"/>
      <c r="K305" s="177"/>
      <c r="L305" s="177"/>
      <c r="M305" s="440"/>
      <c r="N305" s="443"/>
      <c r="O305" s="177"/>
      <c r="P305" s="177"/>
      <c r="Q305" s="177"/>
      <c r="R305" s="431"/>
      <c r="S305" s="434"/>
      <c r="T305" s="177"/>
      <c r="U305" s="177"/>
      <c r="V305" s="177"/>
      <c r="W305" s="431"/>
      <c r="X305" s="434"/>
      <c r="Y305" s="177"/>
      <c r="Z305" s="177"/>
      <c r="AA305" s="177"/>
      <c r="AB305" s="431"/>
    </row>
    <row r="306" spans="1:28" ht="16.149999999999999" customHeight="1" x14ac:dyDescent="0.2">
      <c r="A306" s="437"/>
      <c r="B306" s="159" t="s">
        <v>1710</v>
      </c>
      <c r="C306" s="431"/>
      <c r="D306" s="434"/>
      <c r="E306" s="177"/>
      <c r="F306" s="177"/>
      <c r="G306" s="177"/>
      <c r="H306" s="431"/>
      <c r="I306" s="434"/>
      <c r="J306" s="177"/>
      <c r="K306" s="177"/>
      <c r="L306" s="177"/>
      <c r="M306" s="440"/>
      <c r="N306" s="443"/>
      <c r="O306" s="177"/>
      <c r="P306" s="177"/>
      <c r="Q306" s="177"/>
      <c r="R306" s="431"/>
      <c r="S306" s="434"/>
      <c r="T306" s="177"/>
      <c r="U306" s="177"/>
      <c r="V306" s="177"/>
      <c r="W306" s="431"/>
      <c r="X306" s="434"/>
      <c r="Y306" s="177"/>
      <c r="Z306" s="177"/>
      <c r="AA306" s="177"/>
      <c r="AB306" s="431"/>
    </row>
    <row r="307" spans="1:28" ht="16.149999999999999" customHeight="1" x14ac:dyDescent="0.2">
      <c r="A307" s="437"/>
      <c r="B307" s="159" t="s">
        <v>1720</v>
      </c>
      <c r="C307" s="431"/>
      <c r="D307" s="434"/>
      <c r="E307" s="177"/>
      <c r="F307" s="177"/>
      <c r="G307" s="177"/>
      <c r="H307" s="431"/>
      <c r="I307" s="434"/>
      <c r="J307" s="177"/>
      <c r="K307" s="177"/>
      <c r="L307" s="177"/>
      <c r="M307" s="440"/>
      <c r="N307" s="443"/>
      <c r="O307" s="177"/>
      <c r="P307" s="177"/>
      <c r="Q307" s="177"/>
      <c r="R307" s="431"/>
      <c r="S307" s="434"/>
      <c r="T307" s="177"/>
      <c r="U307" s="177"/>
      <c r="V307" s="177"/>
      <c r="W307" s="431"/>
      <c r="X307" s="434"/>
      <c r="Y307" s="177"/>
      <c r="Z307" s="177"/>
      <c r="AA307" s="177"/>
      <c r="AB307" s="431"/>
    </row>
    <row r="308" spans="1:28" ht="16.149999999999999" customHeight="1" x14ac:dyDescent="0.2">
      <c r="A308" s="437"/>
      <c r="B308" s="159" t="s">
        <v>1711</v>
      </c>
      <c r="C308" s="431"/>
      <c r="D308" s="434"/>
      <c r="E308" s="177"/>
      <c r="F308" s="177"/>
      <c r="G308" s="177"/>
      <c r="H308" s="431"/>
      <c r="I308" s="434"/>
      <c r="J308" s="177"/>
      <c r="K308" s="177"/>
      <c r="L308" s="177"/>
      <c r="M308" s="440"/>
      <c r="N308" s="443"/>
      <c r="O308" s="177"/>
      <c r="P308" s="177"/>
      <c r="Q308" s="177"/>
      <c r="R308" s="431"/>
      <c r="S308" s="434"/>
      <c r="T308" s="177"/>
      <c r="U308" s="177"/>
      <c r="V308" s="177"/>
      <c r="W308" s="431"/>
      <c r="X308" s="434"/>
      <c r="Y308" s="177"/>
      <c r="Z308" s="177"/>
      <c r="AA308" s="177"/>
      <c r="AB308" s="431"/>
    </row>
    <row r="309" spans="1:28" ht="16.149999999999999" customHeight="1" x14ac:dyDescent="0.2">
      <c r="A309" s="437"/>
      <c r="B309" s="159" t="s">
        <v>1712</v>
      </c>
      <c r="C309" s="431"/>
      <c r="D309" s="434"/>
      <c r="E309" s="177"/>
      <c r="F309" s="177"/>
      <c r="G309" s="177"/>
      <c r="H309" s="431"/>
      <c r="I309" s="434"/>
      <c r="J309" s="177"/>
      <c r="K309" s="177"/>
      <c r="L309" s="177"/>
      <c r="M309" s="440"/>
      <c r="N309" s="443"/>
      <c r="O309" s="177"/>
      <c r="P309" s="177"/>
      <c r="Q309" s="177"/>
      <c r="R309" s="431"/>
      <c r="S309" s="434"/>
      <c r="T309" s="177"/>
      <c r="U309" s="177"/>
      <c r="V309" s="177"/>
      <c r="W309" s="431"/>
      <c r="X309" s="434"/>
      <c r="Y309" s="177"/>
      <c r="Z309" s="177"/>
      <c r="AA309" s="177"/>
      <c r="AB309" s="431"/>
    </row>
    <row r="310" spans="1:28" ht="16.149999999999999" customHeight="1" x14ac:dyDescent="0.2">
      <c r="A310" s="437"/>
      <c r="B310" s="159" t="s">
        <v>1721</v>
      </c>
      <c r="C310" s="431"/>
      <c r="D310" s="434"/>
      <c r="E310" s="177"/>
      <c r="F310" s="177"/>
      <c r="G310" s="177"/>
      <c r="H310" s="431"/>
      <c r="I310" s="434"/>
      <c r="J310" s="177"/>
      <c r="K310" s="177"/>
      <c r="L310" s="177"/>
      <c r="M310" s="440"/>
      <c r="N310" s="443"/>
      <c r="O310" s="177"/>
      <c r="P310" s="177"/>
      <c r="Q310" s="177"/>
      <c r="R310" s="431"/>
      <c r="S310" s="434"/>
      <c r="T310" s="177"/>
      <c r="U310" s="177"/>
      <c r="V310" s="177"/>
      <c r="W310" s="431"/>
      <c r="X310" s="434"/>
      <c r="Y310" s="177"/>
      <c r="Z310" s="177"/>
      <c r="AA310" s="177"/>
      <c r="AB310" s="431"/>
    </row>
    <row r="311" spans="1:28" ht="16.149999999999999" customHeight="1" x14ac:dyDescent="0.2">
      <c r="A311" s="437"/>
      <c r="B311" s="159" t="s">
        <v>1713</v>
      </c>
      <c r="C311" s="431"/>
      <c r="D311" s="434"/>
      <c r="E311" s="177"/>
      <c r="F311" s="177"/>
      <c r="G311" s="177"/>
      <c r="H311" s="431"/>
      <c r="I311" s="434"/>
      <c r="J311" s="177"/>
      <c r="K311" s="177"/>
      <c r="L311" s="177"/>
      <c r="M311" s="440"/>
      <c r="N311" s="443"/>
      <c r="O311" s="177"/>
      <c r="P311" s="177"/>
      <c r="Q311" s="177"/>
      <c r="R311" s="431"/>
      <c r="S311" s="434"/>
      <c r="T311" s="177"/>
      <c r="U311" s="177"/>
      <c r="V311" s="177"/>
      <c r="W311" s="431"/>
      <c r="X311" s="434"/>
      <c r="Y311" s="177"/>
      <c r="Z311" s="177"/>
      <c r="AA311" s="177"/>
      <c r="AB311" s="431"/>
    </row>
    <row r="312" spans="1:28" ht="16.149999999999999" customHeight="1" x14ac:dyDescent="0.2">
      <c r="A312" s="437"/>
      <c r="B312" s="159" t="s">
        <v>1714</v>
      </c>
      <c r="C312" s="431"/>
      <c r="D312" s="434"/>
      <c r="E312" s="177"/>
      <c r="F312" s="177"/>
      <c r="G312" s="177"/>
      <c r="H312" s="431"/>
      <c r="I312" s="434"/>
      <c r="J312" s="177"/>
      <c r="K312" s="177"/>
      <c r="L312" s="177"/>
      <c r="M312" s="440"/>
      <c r="N312" s="443"/>
      <c r="O312" s="177"/>
      <c r="P312" s="177"/>
      <c r="Q312" s="177"/>
      <c r="R312" s="431"/>
      <c r="S312" s="434"/>
      <c r="T312" s="177"/>
      <c r="U312" s="177"/>
      <c r="V312" s="177"/>
      <c r="W312" s="431"/>
      <c r="X312" s="434"/>
      <c r="Y312" s="177"/>
      <c r="Z312" s="177"/>
      <c r="AA312" s="177"/>
      <c r="AB312" s="431"/>
    </row>
    <row r="313" spans="1:28" ht="16.149999999999999" customHeight="1" x14ac:dyDescent="0.2">
      <c r="A313" s="437"/>
      <c r="B313" s="159" t="s">
        <v>1715</v>
      </c>
      <c r="C313" s="431"/>
      <c r="D313" s="434"/>
      <c r="E313" s="177"/>
      <c r="F313" s="177"/>
      <c r="G313" s="177"/>
      <c r="H313" s="431"/>
      <c r="I313" s="434"/>
      <c r="J313" s="177"/>
      <c r="K313" s="177"/>
      <c r="L313" s="177"/>
      <c r="M313" s="440"/>
      <c r="N313" s="443"/>
      <c r="O313" s="177"/>
      <c r="P313" s="177"/>
      <c r="Q313" s="177"/>
      <c r="R313" s="431"/>
      <c r="S313" s="434"/>
      <c r="T313" s="177"/>
      <c r="U313" s="177"/>
      <c r="V313" s="177"/>
      <c r="W313" s="431"/>
      <c r="X313" s="434"/>
      <c r="Y313" s="177"/>
      <c r="Z313" s="177"/>
      <c r="AA313" s="177"/>
      <c r="AB313" s="431"/>
    </row>
    <row r="314" spans="1:28" ht="16.149999999999999" customHeight="1" x14ac:dyDescent="0.2">
      <c r="A314" s="437"/>
      <c r="B314" s="358" t="s">
        <v>1772</v>
      </c>
      <c r="C314" s="431"/>
      <c r="D314" s="434"/>
      <c r="E314" s="177"/>
      <c r="F314" s="177"/>
      <c r="G314" s="177"/>
      <c r="H314" s="431"/>
      <c r="I314" s="434"/>
      <c r="J314" s="177"/>
      <c r="K314" s="177"/>
      <c r="L314" s="177"/>
      <c r="M314" s="440"/>
      <c r="N314" s="443"/>
      <c r="O314" s="177"/>
      <c r="P314" s="177"/>
      <c r="Q314" s="177"/>
      <c r="R314" s="431"/>
      <c r="S314" s="434"/>
      <c r="T314" s="177"/>
      <c r="U314" s="177"/>
      <c r="V314" s="177"/>
      <c r="W314" s="431"/>
      <c r="X314" s="434"/>
      <c r="Y314" s="177"/>
      <c r="Z314" s="177"/>
      <c r="AA314" s="177"/>
      <c r="AB314" s="431"/>
    </row>
    <row r="315" spans="1:28" ht="16.149999999999999" customHeight="1" x14ac:dyDescent="0.2">
      <c r="A315" s="437"/>
      <c r="B315" s="358" t="s">
        <v>1773</v>
      </c>
      <c r="C315" s="431"/>
      <c r="D315" s="434"/>
      <c r="E315" s="177"/>
      <c r="F315" s="177"/>
      <c r="G315" s="177"/>
      <c r="H315" s="431"/>
      <c r="I315" s="434"/>
      <c r="J315" s="177"/>
      <c r="K315" s="177"/>
      <c r="L315" s="177"/>
      <c r="M315" s="440"/>
      <c r="N315" s="443"/>
      <c r="O315" s="177"/>
      <c r="P315" s="177"/>
      <c r="Q315" s="177"/>
      <c r="R315" s="431"/>
      <c r="S315" s="434"/>
      <c r="T315" s="177"/>
      <c r="U315" s="177"/>
      <c r="V315" s="177"/>
      <c r="W315" s="431"/>
      <c r="X315" s="434"/>
      <c r="Y315" s="177"/>
      <c r="Z315" s="177"/>
      <c r="AA315" s="177"/>
      <c r="AB315" s="431"/>
    </row>
    <row r="316" spans="1:28" ht="16.149999999999999" customHeight="1" x14ac:dyDescent="0.2">
      <c r="A316" s="437"/>
      <c r="B316" s="358" t="s">
        <v>1774</v>
      </c>
      <c r="C316" s="431"/>
      <c r="D316" s="434"/>
      <c r="E316" s="177"/>
      <c r="F316" s="177"/>
      <c r="G316" s="177"/>
      <c r="H316" s="431"/>
      <c r="I316" s="434"/>
      <c r="J316" s="177"/>
      <c r="K316" s="177"/>
      <c r="L316" s="177"/>
      <c r="M316" s="440"/>
      <c r="N316" s="443"/>
      <c r="O316" s="177"/>
      <c r="P316" s="177"/>
      <c r="Q316" s="177"/>
      <c r="R316" s="431"/>
      <c r="S316" s="434"/>
      <c r="T316" s="177"/>
      <c r="U316" s="177"/>
      <c r="V316" s="177"/>
      <c r="W316" s="431"/>
      <c r="X316" s="434"/>
      <c r="Y316" s="177"/>
      <c r="Z316" s="177"/>
      <c r="AA316" s="177"/>
      <c r="AB316" s="431"/>
    </row>
    <row r="317" spans="1:28" ht="16.149999999999999" customHeight="1" x14ac:dyDescent="0.2">
      <c r="A317" s="437"/>
      <c r="B317" s="358" t="s">
        <v>1775</v>
      </c>
      <c r="C317" s="431"/>
      <c r="D317" s="434"/>
      <c r="E317" s="177"/>
      <c r="F317" s="177"/>
      <c r="G317" s="177"/>
      <c r="H317" s="431"/>
      <c r="I317" s="434"/>
      <c r="J317" s="177"/>
      <c r="K317" s="177"/>
      <c r="L317" s="177"/>
      <c r="M317" s="412"/>
      <c r="N317" s="413"/>
      <c r="O317" s="177"/>
      <c r="P317" s="177"/>
      <c r="Q317" s="177"/>
      <c r="R317" s="431"/>
      <c r="S317" s="434"/>
      <c r="T317" s="177"/>
      <c r="U317" s="177"/>
      <c r="V317" s="177"/>
      <c r="W317" s="431"/>
      <c r="X317" s="434"/>
      <c r="Y317" s="177"/>
      <c r="Z317" s="177"/>
      <c r="AA317" s="177"/>
      <c r="AB317" s="431"/>
    </row>
    <row r="318" spans="1:28" ht="16.149999999999999" customHeight="1" x14ac:dyDescent="0.2">
      <c r="A318" s="437"/>
      <c r="B318" s="358" t="s">
        <v>1776</v>
      </c>
      <c r="C318" s="431"/>
      <c r="D318" s="434"/>
      <c r="E318" s="177"/>
      <c r="F318" s="177"/>
      <c r="G318" s="177"/>
      <c r="H318" s="431"/>
      <c r="I318" s="434"/>
      <c r="J318" s="177"/>
      <c r="K318" s="177"/>
      <c r="L318" s="177"/>
      <c r="M318" s="412"/>
      <c r="N318" s="413"/>
      <c r="O318" s="177"/>
      <c r="P318" s="177"/>
      <c r="Q318" s="177"/>
      <c r="R318" s="431"/>
      <c r="S318" s="434"/>
      <c r="T318" s="177"/>
      <c r="U318" s="177"/>
      <c r="V318" s="177"/>
      <c r="W318" s="431"/>
      <c r="X318" s="434"/>
      <c r="Y318" s="177"/>
      <c r="Z318" s="177"/>
      <c r="AA318" s="177"/>
      <c r="AB318" s="431"/>
    </row>
    <row r="319" spans="1:28" ht="16.149999999999999" customHeight="1" x14ac:dyDescent="0.2">
      <c r="A319" s="437"/>
      <c r="B319" s="358" t="s">
        <v>1777</v>
      </c>
      <c r="C319" s="431"/>
      <c r="D319" s="434"/>
      <c r="E319" s="177"/>
      <c r="F319" s="177"/>
      <c r="G319" s="177"/>
      <c r="H319" s="431"/>
      <c r="I319" s="434"/>
      <c r="J319" s="177"/>
      <c r="K319" s="177"/>
      <c r="L319" s="177"/>
      <c r="M319" s="412"/>
      <c r="N319" s="413"/>
      <c r="O319" s="177"/>
      <c r="P319" s="177"/>
      <c r="Q319" s="177"/>
      <c r="R319" s="431"/>
      <c r="S319" s="434"/>
      <c r="T319" s="177"/>
      <c r="U319" s="177"/>
      <c r="V319" s="177"/>
      <c r="W319" s="431"/>
      <c r="X319" s="434"/>
      <c r="Y319" s="177"/>
      <c r="Z319" s="177"/>
      <c r="AA319" s="177"/>
      <c r="AB319" s="431"/>
    </row>
    <row r="320" spans="1:28" ht="16.149999999999999" customHeight="1" x14ac:dyDescent="0.2">
      <c r="A320" s="437"/>
      <c r="B320" s="358" t="s">
        <v>1778</v>
      </c>
      <c r="C320" s="431"/>
      <c r="D320" s="434"/>
      <c r="E320" s="177"/>
      <c r="F320" s="177"/>
      <c r="G320" s="177"/>
      <c r="H320" s="431"/>
      <c r="I320" s="434"/>
      <c r="J320" s="177"/>
      <c r="K320" s="177"/>
      <c r="L320" s="177"/>
      <c r="M320" s="412"/>
      <c r="N320" s="413"/>
      <c r="O320" s="177"/>
      <c r="P320" s="177"/>
      <c r="Q320" s="177"/>
      <c r="R320" s="431"/>
      <c r="S320" s="434"/>
      <c r="T320" s="177"/>
      <c r="U320" s="177"/>
      <c r="V320" s="177"/>
      <c r="W320" s="431"/>
      <c r="X320" s="434"/>
      <c r="Y320" s="177"/>
      <c r="Z320" s="177"/>
      <c r="AA320" s="177"/>
      <c r="AB320" s="431"/>
    </row>
    <row r="321" spans="1:28" ht="16.149999999999999" customHeight="1" x14ac:dyDescent="0.2">
      <c r="A321" s="437"/>
      <c r="B321" s="358" t="s">
        <v>1779</v>
      </c>
      <c r="C321" s="431"/>
      <c r="D321" s="434"/>
      <c r="E321" s="177"/>
      <c r="F321" s="177"/>
      <c r="G321" s="177"/>
      <c r="H321" s="431"/>
      <c r="I321" s="434"/>
      <c r="J321" s="177"/>
      <c r="K321" s="177"/>
      <c r="L321" s="177"/>
      <c r="M321" s="412"/>
      <c r="N321" s="413"/>
      <c r="O321" s="177"/>
      <c r="P321" s="177"/>
      <c r="Q321" s="177"/>
      <c r="R321" s="431"/>
      <c r="S321" s="434"/>
      <c r="T321" s="177"/>
      <c r="U321" s="177"/>
      <c r="V321" s="177"/>
      <c r="W321" s="431"/>
      <c r="X321" s="434"/>
      <c r="Y321" s="177"/>
      <c r="Z321" s="177"/>
      <c r="AA321" s="177"/>
      <c r="AB321" s="431"/>
    </row>
    <row r="322" spans="1:28" ht="16.149999999999999" customHeight="1" x14ac:dyDescent="0.2">
      <c r="A322" s="437"/>
      <c r="B322" s="358" t="s">
        <v>1780</v>
      </c>
      <c r="C322" s="431"/>
      <c r="D322" s="434"/>
      <c r="E322" s="177"/>
      <c r="F322" s="177"/>
      <c r="G322" s="177"/>
      <c r="H322" s="431"/>
      <c r="I322" s="434"/>
      <c r="J322" s="177"/>
      <c r="K322" s="177"/>
      <c r="L322" s="177"/>
      <c r="M322" s="412"/>
      <c r="N322" s="413"/>
      <c r="O322" s="177"/>
      <c r="P322" s="177"/>
      <c r="Q322" s="177"/>
      <c r="R322" s="431"/>
      <c r="S322" s="434"/>
      <c r="T322" s="177"/>
      <c r="U322" s="177"/>
      <c r="V322" s="177"/>
      <c r="W322" s="431"/>
      <c r="X322" s="434"/>
      <c r="Y322" s="177"/>
      <c r="Z322" s="177"/>
      <c r="AA322" s="177"/>
      <c r="AB322" s="431"/>
    </row>
    <row r="323" spans="1:28" ht="16.149999999999999" customHeight="1" x14ac:dyDescent="0.2">
      <c r="A323" s="437"/>
      <c r="B323" s="358" t="s">
        <v>1781</v>
      </c>
      <c r="C323" s="431"/>
      <c r="D323" s="434"/>
      <c r="E323" s="177"/>
      <c r="F323" s="177"/>
      <c r="G323" s="177"/>
      <c r="H323" s="431"/>
      <c r="I323" s="434"/>
      <c r="J323" s="177"/>
      <c r="K323" s="177"/>
      <c r="L323" s="177"/>
      <c r="M323" s="412"/>
      <c r="N323" s="413"/>
      <c r="O323" s="177"/>
      <c r="P323" s="177"/>
      <c r="Q323" s="177"/>
      <c r="R323" s="431"/>
      <c r="S323" s="434"/>
      <c r="T323" s="177"/>
      <c r="U323" s="177"/>
      <c r="V323" s="177"/>
      <c r="W323" s="431"/>
      <c r="X323" s="434"/>
      <c r="Y323" s="177"/>
      <c r="Z323" s="177"/>
      <c r="AA323" s="177"/>
      <c r="AB323" s="431"/>
    </row>
    <row r="324" spans="1:28" ht="16.149999999999999" customHeight="1" x14ac:dyDescent="0.2">
      <c r="A324" s="437"/>
      <c r="B324" s="358" t="s">
        <v>1782</v>
      </c>
      <c r="C324" s="431"/>
      <c r="D324" s="434"/>
      <c r="E324" s="177"/>
      <c r="F324" s="177"/>
      <c r="G324" s="177"/>
      <c r="H324" s="431"/>
      <c r="I324" s="434"/>
      <c r="J324" s="177"/>
      <c r="K324" s="177"/>
      <c r="L324" s="177"/>
      <c r="M324" s="412"/>
      <c r="N324" s="413"/>
      <c r="O324" s="177"/>
      <c r="P324" s="177"/>
      <c r="Q324" s="177"/>
      <c r="R324" s="431"/>
      <c r="S324" s="434"/>
      <c r="T324" s="177"/>
      <c r="U324" s="177"/>
      <c r="V324" s="177"/>
      <c r="W324" s="431"/>
      <c r="X324" s="434"/>
      <c r="Y324" s="177"/>
      <c r="Z324" s="177"/>
      <c r="AA324" s="177"/>
      <c r="AB324" s="431"/>
    </row>
    <row r="325" spans="1:28" ht="16.149999999999999" customHeight="1" x14ac:dyDescent="0.2">
      <c r="A325" s="437"/>
      <c r="B325" s="358" t="s">
        <v>1783</v>
      </c>
      <c r="C325" s="431"/>
      <c r="D325" s="434"/>
      <c r="E325" s="177"/>
      <c r="F325" s="177"/>
      <c r="G325" s="177"/>
      <c r="H325" s="431"/>
      <c r="I325" s="434"/>
      <c r="J325" s="177"/>
      <c r="K325" s="177"/>
      <c r="L325" s="177"/>
      <c r="M325" s="412"/>
      <c r="N325" s="413"/>
      <c r="O325" s="177"/>
      <c r="P325" s="177"/>
      <c r="Q325" s="177"/>
      <c r="R325" s="431"/>
      <c r="S325" s="434"/>
      <c r="T325" s="177"/>
      <c r="U325" s="177"/>
      <c r="V325" s="177"/>
      <c r="W325" s="431"/>
      <c r="X325" s="434"/>
      <c r="Y325" s="177"/>
      <c r="Z325" s="177"/>
      <c r="AA325" s="177"/>
      <c r="AB325" s="431"/>
    </row>
    <row r="326" spans="1:28" ht="16.149999999999999" customHeight="1" x14ac:dyDescent="0.2">
      <c r="A326" s="437"/>
      <c r="B326" s="358" t="s">
        <v>1784</v>
      </c>
      <c r="C326" s="431"/>
      <c r="D326" s="434"/>
      <c r="E326" s="177"/>
      <c r="F326" s="177"/>
      <c r="G326" s="177"/>
      <c r="H326" s="431"/>
      <c r="I326" s="434"/>
      <c r="J326" s="177"/>
      <c r="K326" s="177"/>
      <c r="L326" s="177"/>
      <c r="M326" s="412"/>
      <c r="N326" s="413"/>
      <c r="O326" s="177"/>
      <c r="P326" s="177"/>
      <c r="Q326" s="177"/>
      <c r="R326" s="431"/>
      <c r="S326" s="434"/>
      <c r="T326" s="177"/>
      <c r="U326" s="177"/>
      <c r="V326" s="177"/>
      <c r="W326" s="431"/>
      <c r="X326" s="434"/>
      <c r="Y326" s="177"/>
      <c r="Z326" s="177"/>
      <c r="AA326" s="177"/>
      <c r="AB326" s="431"/>
    </row>
    <row r="327" spans="1:28" ht="16.149999999999999" customHeight="1" x14ac:dyDescent="0.2">
      <c r="A327" s="437"/>
      <c r="B327" s="358" t="s">
        <v>1785</v>
      </c>
      <c r="C327" s="431"/>
      <c r="D327" s="434"/>
      <c r="E327" s="177"/>
      <c r="F327" s="177"/>
      <c r="G327" s="177"/>
      <c r="H327" s="431"/>
      <c r="I327" s="434"/>
      <c r="J327" s="177"/>
      <c r="K327" s="177"/>
      <c r="L327" s="177"/>
      <c r="M327" s="412"/>
      <c r="N327" s="413"/>
      <c r="O327" s="177"/>
      <c r="P327" s="177"/>
      <c r="Q327" s="177"/>
      <c r="R327" s="431"/>
      <c r="S327" s="434"/>
      <c r="T327" s="177"/>
      <c r="U327" s="177"/>
      <c r="V327" s="177"/>
      <c r="W327" s="431"/>
      <c r="X327" s="434"/>
      <c r="Y327" s="177"/>
      <c r="Z327" s="177"/>
      <c r="AA327" s="177"/>
      <c r="AB327" s="431"/>
    </row>
    <row r="328" spans="1:28" ht="16.149999999999999" customHeight="1" x14ac:dyDescent="0.2">
      <c r="A328" s="437"/>
      <c r="B328" s="358" t="s">
        <v>1786</v>
      </c>
      <c r="C328" s="431"/>
      <c r="D328" s="434"/>
      <c r="E328" s="177"/>
      <c r="F328" s="177"/>
      <c r="G328" s="177"/>
      <c r="H328" s="431"/>
      <c r="I328" s="434"/>
      <c r="J328" s="177"/>
      <c r="K328" s="177"/>
      <c r="L328" s="177"/>
      <c r="M328" s="412"/>
      <c r="N328" s="413"/>
      <c r="O328" s="177"/>
      <c r="P328" s="177"/>
      <c r="Q328" s="177"/>
      <c r="R328" s="431"/>
      <c r="S328" s="434"/>
      <c r="T328" s="177"/>
      <c r="U328" s="177"/>
      <c r="V328" s="177"/>
      <c r="W328" s="431"/>
      <c r="X328" s="434"/>
      <c r="Y328" s="177"/>
      <c r="Z328" s="177"/>
      <c r="AA328" s="177"/>
      <c r="AB328" s="431"/>
    </row>
    <row r="329" spans="1:28" ht="16.149999999999999" customHeight="1" x14ac:dyDescent="0.2">
      <c r="A329" s="437"/>
      <c r="B329" s="358" t="s">
        <v>1787</v>
      </c>
      <c r="C329" s="431"/>
      <c r="D329" s="434"/>
      <c r="E329" s="177"/>
      <c r="F329" s="177"/>
      <c r="G329" s="177"/>
      <c r="H329" s="431"/>
      <c r="I329" s="434"/>
      <c r="J329" s="177"/>
      <c r="K329" s="177"/>
      <c r="L329" s="177"/>
      <c r="M329" s="412"/>
      <c r="N329" s="413"/>
      <c r="O329" s="177"/>
      <c r="P329" s="177"/>
      <c r="Q329" s="177"/>
      <c r="R329" s="431"/>
      <c r="S329" s="434"/>
      <c r="T329" s="177"/>
      <c r="U329" s="177"/>
      <c r="V329" s="177"/>
      <c r="W329" s="431"/>
      <c r="X329" s="434"/>
      <c r="Y329" s="177"/>
      <c r="Z329" s="177"/>
      <c r="AA329" s="177"/>
      <c r="AB329" s="431"/>
    </row>
    <row r="330" spans="1:28" ht="16.149999999999999" customHeight="1" x14ac:dyDescent="0.2">
      <c r="A330" s="437"/>
      <c r="B330" s="358" t="s">
        <v>1788</v>
      </c>
      <c r="C330" s="431"/>
      <c r="D330" s="434"/>
      <c r="E330" s="177"/>
      <c r="F330" s="177"/>
      <c r="G330" s="177"/>
      <c r="H330" s="431"/>
      <c r="I330" s="434"/>
      <c r="J330" s="177"/>
      <c r="K330" s="177"/>
      <c r="L330" s="177"/>
      <c r="M330" s="412"/>
      <c r="N330" s="413"/>
      <c r="O330" s="177"/>
      <c r="P330" s="177"/>
      <c r="Q330" s="177"/>
      <c r="R330" s="431"/>
      <c r="S330" s="434"/>
      <c r="T330" s="177"/>
      <c r="U330" s="177"/>
      <c r="V330" s="177"/>
      <c r="W330" s="431"/>
      <c r="X330" s="434"/>
      <c r="Y330" s="177"/>
      <c r="Z330" s="177"/>
      <c r="AA330" s="177"/>
      <c r="AB330" s="431"/>
    </row>
    <row r="331" spans="1:28" ht="16.149999999999999" customHeight="1" x14ac:dyDescent="0.2">
      <c r="A331" s="437"/>
      <c r="B331" s="358" t="s">
        <v>1789</v>
      </c>
      <c r="C331" s="431"/>
      <c r="D331" s="434"/>
      <c r="E331" s="177"/>
      <c r="F331" s="177"/>
      <c r="G331" s="177"/>
      <c r="H331" s="431"/>
      <c r="I331" s="434"/>
      <c r="J331" s="177"/>
      <c r="K331" s="177"/>
      <c r="L331" s="177"/>
      <c r="M331" s="412"/>
      <c r="N331" s="413"/>
      <c r="O331" s="177"/>
      <c r="P331" s="177"/>
      <c r="Q331" s="177"/>
      <c r="R331" s="431"/>
      <c r="S331" s="434"/>
      <c r="T331" s="177"/>
      <c r="U331" s="177"/>
      <c r="V331" s="177"/>
      <c r="W331" s="431"/>
      <c r="X331" s="434"/>
      <c r="Y331" s="177"/>
      <c r="Z331" s="177"/>
      <c r="AA331" s="177"/>
      <c r="AB331" s="431"/>
    </row>
    <row r="332" spans="1:28" ht="16.149999999999999" customHeight="1" x14ac:dyDescent="0.2">
      <c r="A332" s="437"/>
      <c r="B332" s="358" t="s">
        <v>1790</v>
      </c>
      <c r="C332" s="431"/>
      <c r="D332" s="434"/>
      <c r="E332" s="177"/>
      <c r="F332" s="177"/>
      <c r="G332" s="177"/>
      <c r="H332" s="431"/>
      <c r="I332" s="434"/>
      <c r="J332" s="177"/>
      <c r="K332" s="177"/>
      <c r="L332" s="177"/>
      <c r="M332" s="412"/>
      <c r="N332" s="413"/>
      <c r="O332" s="177"/>
      <c r="P332" s="177"/>
      <c r="Q332" s="177"/>
      <c r="R332" s="431"/>
      <c r="S332" s="434"/>
      <c r="T332" s="177"/>
      <c r="U332" s="177"/>
      <c r="V332" s="177"/>
      <c r="W332" s="431"/>
      <c r="X332" s="434"/>
      <c r="Y332" s="177"/>
      <c r="Z332" s="177"/>
      <c r="AA332" s="177"/>
      <c r="AB332" s="431"/>
    </row>
    <row r="333" spans="1:28" ht="16.149999999999999" customHeight="1" x14ac:dyDescent="0.2">
      <c r="A333" s="437"/>
      <c r="B333" s="358" t="s">
        <v>1791</v>
      </c>
      <c r="C333" s="431"/>
      <c r="D333" s="434"/>
      <c r="E333" s="177"/>
      <c r="F333" s="177"/>
      <c r="G333" s="177"/>
      <c r="H333" s="431"/>
      <c r="I333" s="434"/>
      <c r="J333" s="177"/>
      <c r="K333" s="177"/>
      <c r="L333" s="177"/>
      <c r="M333" s="412"/>
      <c r="N333" s="413"/>
      <c r="O333" s="177"/>
      <c r="P333" s="177"/>
      <c r="Q333" s="177"/>
      <c r="R333" s="431"/>
      <c r="S333" s="434"/>
      <c r="T333" s="177"/>
      <c r="U333" s="177"/>
      <c r="V333" s="177"/>
      <c r="W333" s="431"/>
      <c r="X333" s="434"/>
      <c r="Y333" s="177"/>
      <c r="Z333" s="177"/>
      <c r="AA333" s="177"/>
      <c r="AB333" s="431"/>
    </row>
    <row r="334" spans="1:28" ht="16.149999999999999" customHeight="1" x14ac:dyDescent="0.2">
      <c r="A334" s="437"/>
      <c r="B334" s="358" t="s">
        <v>1792</v>
      </c>
      <c r="C334" s="431"/>
      <c r="D334" s="434"/>
      <c r="E334" s="177"/>
      <c r="F334" s="177"/>
      <c r="G334" s="177"/>
      <c r="H334" s="431"/>
      <c r="I334" s="434"/>
      <c r="J334" s="177"/>
      <c r="K334" s="177"/>
      <c r="L334" s="177"/>
      <c r="M334" s="412"/>
      <c r="N334" s="413"/>
      <c r="O334" s="177"/>
      <c r="P334" s="177"/>
      <c r="Q334" s="177"/>
      <c r="R334" s="431"/>
      <c r="S334" s="434"/>
      <c r="T334" s="177"/>
      <c r="U334" s="177"/>
      <c r="V334" s="177"/>
      <c r="W334" s="431"/>
      <c r="X334" s="434"/>
      <c r="Y334" s="177"/>
      <c r="Z334" s="177"/>
      <c r="AA334" s="177"/>
      <c r="AB334" s="431"/>
    </row>
    <row r="335" spans="1:28" ht="16.149999999999999" customHeight="1" x14ac:dyDescent="0.2">
      <c r="A335" s="437"/>
      <c r="B335" s="358" t="s">
        <v>1793</v>
      </c>
      <c r="C335" s="431"/>
      <c r="D335" s="434"/>
      <c r="E335" s="177"/>
      <c r="F335" s="177"/>
      <c r="G335" s="177"/>
      <c r="H335" s="431"/>
      <c r="I335" s="434"/>
      <c r="J335" s="177"/>
      <c r="K335" s="177"/>
      <c r="L335" s="177"/>
      <c r="M335" s="412"/>
      <c r="N335" s="413"/>
      <c r="O335" s="177"/>
      <c r="P335" s="177"/>
      <c r="Q335" s="177"/>
      <c r="R335" s="431"/>
      <c r="S335" s="434"/>
      <c r="T335" s="177"/>
      <c r="U335" s="177"/>
      <c r="V335" s="177"/>
      <c r="W335" s="431"/>
      <c r="X335" s="434"/>
      <c r="Y335" s="177"/>
      <c r="Z335" s="177"/>
      <c r="AA335" s="177"/>
      <c r="AB335" s="431"/>
    </row>
    <row r="336" spans="1:28" ht="16.149999999999999" customHeight="1" x14ac:dyDescent="0.2">
      <c r="A336" s="437"/>
      <c r="B336" s="358" t="s">
        <v>1794</v>
      </c>
      <c r="C336" s="431"/>
      <c r="D336" s="434"/>
      <c r="E336" s="177"/>
      <c r="F336" s="177"/>
      <c r="G336" s="177"/>
      <c r="H336" s="431"/>
      <c r="I336" s="434"/>
      <c r="J336" s="177"/>
      <c r="K336" s="177"/>
      <c r="L336" s="177"/>
      <c r="M336" s="412"/>
      <c r="N336" s="413"/>
      <c r="O336" s="177"/>
      <c r="P336" s="177"/>
      <c r="Q336" s="177"/>
      <c r="R336" s="431"/>
      <c r="S336" s="434"/>
      <c r="T336" s="177"/>
      <c r="U336" s="177"/>
      <c r="V336" s="177"/>
      <c r="W336" s="431"/>
      <c r="X336" s="434"/>
      <c r="Y336" s="177"/>
      <c r="Z336" s="177"/>
      <c r="AA336" s="177"/>
      <c r="AB336" s="431"/>
    </row>
    <row r="337" spans="1:28" ht="16.149999999999999" customHeight="1" x14ac:dyDescent="0.2">
      <c r="A337" s="437"/>
      <c r="B337" s="358" t="s">
        <v>1795</v>
      </c>
      <c r="C337" s="431"/>
      <c r="D337" s="434"/>
      <c r="E337" s="177"/>
      <c r="F337" s="177"/>
      <c r="G337" s="177"/>
      <c r="H337" s="431"/>
      <c r="I337" s="434"/>
      <c r="J337" s="177"/>
      <c r="K337" s="177"/>
      <c r="L337" s="177"/>
      <c r="M337" s="412"/>
      <c r="N337" s="413"/>
      <c r="O337" s="177"/>
      <c r="P337" s="177"/>
      <c r="Q337" s="177"/>
      <c r="R337" s="431"/>
      <c r="S337" s="434"/>
      <c r="T337" s="177"/>
      <c r="U337" s="177"/>
      <c r="V337" s="177"/>
      <c r="W337" s="431"/>
      <c r="X337" s="434"/>
      <c r="Y337" s="177"/>
      <c r="Z337" s="177"/>
      <c r="AA337" s="177"/>
      <c r="AB337" s="431"/>
    </row>
    <row r="338" spans="1:28" ht="16.149999999999999" customHeight="1" x14ac:dyDescent="0.2">
      <c r="A338" s="437"/>
      <c r="B338" s="358" t="s">
        <v>1796</v>
      </c>
      <c r="C338" s="431"/>
      <c r="D338" s="434"/>
      <c r="E338" s="177"/>
      <c r="F338" s="177"/>
      <c r="G338" s="177"/>
      <c r="H338" s="431"/>
      <c r="I338" s="434"/>
      <c r="J338" s="177"/>
      <c r="K338" s="177"/>
      <c r="L338" s="177"/>
      <c r="M338" s="412"/>
      <c r="N338" s="413"/>
      <c r="O338" s="177"/>
      <c r="P338" s="177"/>
      <c r="Q338" s="177"/>
      <c r="R338" s="431"/>
      <c r="S338" s="434"/>
      <c r="T338" s="177"/>
      <c r="U338" s="177"/>
      <c r="V338" s="177"/>
      <c r="W338" s="431"/>
      <c r="X338" s="434"/>
      <c r="Y338" s="177"/>
      <c r="Z338" s="177"/>
      <c r="AA338" s="177"/>
      <c r="AB338" s="431"/>
    </row>
    <row r="339" spans="1:28" ht="16.149999999999999" customHeight="1" x14ac:dyDescent="0.2">
      <c r="A339" s="437"/>
      <c r="B339" s="358" t="s">
        <v>1797</v>
      </c>
      <c r="C339" s="431"/>
      <c r="D339" s="434"/>
      <c r="E339" s="177"/>
      <c r="F339" s="177"/>
      <c r="G339" s="177"/>
      <c r="H339" s="431"/>
      <c r="I339" s="434"/>
      <c r="J339" s="177"/>
      <c r="K339" s="177"/>
      <c r="L339" s="177"/>
      <c r="M339" s="412"/>
      <c r="N339" s="413"/>
      <c r="O339" s="177"/>
      <c r="P339" s="177"/>
      <c r="Q339" s="177"/>
      <c r="R339" s="431"/>
      <c r="S339" s="434"/>
      <c r="T339" s="177"/>
      <c r="U339" s="177"/>
      <c r="V339" s="177"/>
      <c r="W339" s="431"/>
      <c r="X339" s="434"/>
      <c r="Y339" s="177"/>
      <c r="Z339" s="177"/>
      <c r="AA339" s="177"/>
      <c r="AB339" s="431"/>
    </row>
    <row r="340" spans="1:28" ht="16.149999999999999" customHeight="1" x14ac:dyDescent="0.2">
      <c r="A340" s="437"/>
      <c r="B340" s="358" t="s">
        <v>1798</v>
      </c>
      <c r="C340" s="431"/>
      <c r="D340" s="434"/>
      <c r="E340" s="177"/>
      <c r="F340" s="177"/>
      <c r="G340" s="177"/>
      <c r="H340" s="431"/>
      <c r="I340" s="434"/>
      <c r="J340" s="177"/>
      <c r="K340" s="177"/>
      <c r="L340" s="177"/>
      <c r="M340" s="412"/>
      <c r="N340" s="413"/>
      <c r="O340" s="177"/>
      <c r="P340" s="177"/>
      <c r="Q340" s="177"/>
      <c r="R340" s="431"/>
      <c r="S340" s="434"/>
      <c r="T340" s="177"/>
      <c r="U340" s="177"/>
      <c r="V340" s="177"/>
      <c r="W340" s="431"/>
      <c r="X340" s="434"/>
      <c r="Y340" s="177"/>
      <c r="Z340" s="177"/>
      <c r="AA340" s="177"/>
      <c r="AB340" s="431"/>
    </row>
    <row r="341" spans="1:28" ht="16.149999999999999" customHeight="1" x14ac:dyDescent="0.2">
      <c r="A341" s="437"/>
      <c r="B341" s="358" t="s">
        <v>1799</v>
      </c>
      <c r="C341" s="431"/>
      <c r="D341" s="434"/>
      <c r="E341" s="177"/>
      <c r="F341" s="177"/>
      <c r="G341" s="177"/>
      <c r="H341" s="431"/>
      <c r="I341" s="434"/>
      <c r="J341" s="177"/>
      <c r="K341" s="177"/>
      <c r="L341" s="177"/>
      <c r="M341" s="412"/>
      <c r="N341" s="413"/>
      <c r="O341" s="177"/>
      <c r="P341" s="177"/>
      <c r="Q341" s="177"/>
      <c r="R341" s="431"/>
      <c r="S341" s="434"/>
      <c r="T341" s="177"/>
      <c r="U341" s="177"/>
      <c r="V341" s="177"/>
      <c r="W341" s="431"/>
      <c r="X341" s="434"/>
      <c r="Y341" s="177"/>
      <c r="Z341" s="177"/>
      <c r="AA341" s="177"/>
      <c r="AB341" s="431"/>
    </row>
    <row r="342" spans="1:28" ht="16.149999999999999" customHeight="1" x14ac:dyDescent="0.2">
      <c r="A342" s="437"/>
      <c r="B342" s="358" t="s">
        <v>1800</v>
      </c>
      <c r="C342" s="431"/>
      <c r="D342" s="434"/>
      <c r="E342" s="177"/>
      <c r="F342" s="177"/>
      <c r="G342" s="177"/>
      <c r="H342" s="431"/>
      <c r="I342" s="434"/>
      <c r="J342" s="177"/>
      <c r="K342" s="177"/>
      <c r="L342" s="177"/>
      <c r="M342" s="412"/>
      <c r="N342" s="413"/>
      <c r="O342" s="177"/>
      <c r="P342" s="177"/>
      <c r="Q342" s="177"/>
      <c r="R342" s="431"/>
      <c r="S342" s="434"/>
      <c r="T342" s="177"/>
      <c r="U342" s="177"/>
      <c r="V342" s="177"/>
      <c r="W342" s="431"/>
      <c r="X342" s="434"/>
      <c r="Y342" s="177"/>
      <c r="Z342" s="177"/>
      <c r="AA342" s="177"/>
      <c r="AB342" s="431"/>
    </row>
    <row r="343" spans="1:28" ht="16.149999999999999" customHeight="1" x14ac:dyDescent="0.2">
      <c r="A343" s="437"/>
      <c r="B343" s="358" t="s">
        <v>1801</v>
      </c>
      <c r="C343" s="431"/>
      <c r="D343" s="434"/>
      <c r="E343" s="177"/>
      <c r="F343" s="177"/>
      <c r="G343" s="177"/>
      <c r="H343" s="431"/>
      <c r="I343" s="434"/>
      <c r="J343" s="177"/>
      <c r="K343" s="177"/>
      <c r="L343" s="177"/>
      <c r="M343" s="412"/>
      <c r="N343" s="413"/>
      <c r="O343" s="177"/>
      <c r="P343" s="177"/>
      <c r="Q343" s="177"/>
      <c r="R343" s="431"/>
      <c r="S343" s="434"/>
      <c r="T343" s="177"/>
      <c r="U343" s="177"/>
      <c r="V343" s="177"/>
      <c r="W343" s="431"/>
      <c r="X343" s="434"/>
      <c r="Y343" s="177"/>
      <c r="Z343" s="177"/>
      <c r="AA343" s="177"/>
      <c r="AB343" s="431"/>
    </row>
    <row r="344" spans="1:28" ht="16.149999999999999" customHeight="1" x14ac:dyDescent="0.2">
      <c r="A344" s="437"/>
      <c r="B344" s="159" t="s">
        <v>863</v>
      </c>
      <c r="C344" s="431"/>
      <c r="D344" s="434"/>
      <c r="E344" s="177"/>
      <c r="F344" s="177"/>
      <c r="G344" s="177"/>
      <c r="H344" s="431"/>
      <c r="I344" s="434"/>
      <c r="J344" s="177"/>
      <c r="K344" s="177"/>
      <c r="L344" s="177"/>
      <c r="M344" s="412"/>
      <c r="N344" s="413"/>
      <c r="O344" s="177"/>
      <c r="P344" s="177"/>
      <c r="Q344" s="177"/>
      <c r="R344" s="431"/>
      <c r="S344" s="434"/>
      <c r="T344" s="177"/>
      <c r="U344" s="177"/>
      <c r="V344" s="177"/>
      <c r="W344" s="431"/>
      <c r="X344" s="434"/>
      <c r="Y344" s="177"/>
      <c r="Z344" s="177"/>
      <c r="AA344" s="177"/>
      <c r="AB344" s="431"/>
    </row>
    <row r="345" spans="1:28" ht="16.149999999999999" customHeight="1" x14ac:dyDescent="0.2">
      <c r="A345" s="437"/>
      <c r="B345" s="159" t="s">
        <v>1723</v>
      </c>
      <c r="C345" s="431"/>
      <c r="D345" s="434"/>
      <c r="E345" s="177"/>
      <c r="F345" s="177"/>
      <c r="G345" s="177"/>
      <c r="H345" s="431"/>
      <c r="I345" s="434"/>
      <c r="J345" s="177"/>
      <c r="K345" s="177"/>
      <c r="L345" s="177"/>
      <c r="M345" s="412"/>
      <c r="N345" s="413"/>
      <c r="O345" s="177"/>
      <c r="P345" s="177"/>
      <c r="Q345" s="177"/>
      <c r="R345" s="431"/>
      <c r="S345" s="434"/>
      <c r="T345" s="177"/>
      <c r="U345" s="177"/>
      <c r="V345" s="177"/>
      <c r="W345" s="431"/>
      <c r="X345" s="434"/>
      <c r="Y345" s="177"/>
      <c r="Z345" s="177"/>
      <c r="AA345" s="177"/>
      <c r="AB345" s="431"/>
    </row>
    <row r="346" spans="1:28" ht="16.149999999999999" customHeight="1" x14ac:dyDescent="0.2">
      <c r="A346" s="437"/>
      <c r="B346" s="159" t="s">
        <v>1724</v>
      </c>
      <c r="C346" s="431"/>
      <c r="D346" s="434"/>
      <c r="E346" s="177"/>
      <c r="F346" s="177"/>
      <c r="G346" s="177"/>
      <c r="H346" s="431"/>
      <c r="I346" s="434"/>
      <c r="J346" s="177"/>
      <c r="K346" s="177"/>
      <c r="L346" s="177"/>
      <c r="M346" s="412"/>
      <c r="N346" s="413"/>
      <c r="O346" s="177"/>
      <c r="P346" s="177"/>
      <c r="Q346" s="177"/>
      <c r="R346" s="431"/>
      <c r="S346" s="434"/>
      <c r="T346" s="177"/>
      <c r="U346" s="177"/>
      <c r="V346" s="177"/>
      <c r="W346" s="431"/>
      <c r="X346" s="434"/>
      <c r="Y346" s="177"/>
      <c r="Z346" s="177"/>
      <c r="AA346" s="177"/>
      <c r="AB346" s="431"/>
    </row>
    <row r="347" spans="1:28" ht="16.149999999999999" customHeight="1" x14ac:dyDescent="0.2">
      <c r="A347" s="437"/>
      <c r="B347" s="159" t="s">
        <v>1725</v>
      </c>
      <c r="C347" s="431"/>
      <c r="D347" s="434"/>
      <c r="E347" s="177"/>
      <c r="F347" s="177"/>
      <c r="G347" s="177"/>
      <c r="H347" s="431"/>
      <c r="I347" s="434"/>
      <c r="J347" s="177"/>
      <c r="K347" s="177"/>
      <c r="L347" s="177"/>
      <c r="M347" s="412"/>
      <c r="N347" s="413"/>
      <c r="O347" s="177"/>
      <c r="P347" s="177"/>
      <c r="Q347" s="177"/>
      <c r="R347" s="431"/>
      <c r="S347" s="434"/>
      <c r="T347" s="177"/>
      <c r="U347" s="177"/>
      <c r="V347" s="177"/>
      <c r="W347" s="431"/>
      <c r="X347" s="434"/>
      <c r="Y347" s="177"/>
      <c r="Z347" s="177"/>
      <c r="AA347" s="177"/>
      <c r="AB347" s="431"/>
    </row>
    <row r="348" spans="1:28" ht="16.149999999999999" customHeight="1" x14ac:dyDescent="0.2">
      <c r="A348" s="437"/>
      <c r="B348" s="159" t="s">
        <v>1726</v>
      </c>
      <c r="C348" s="431"/>
      <c r="D348" s="434"/>
      <c r="E348" s="177"/>
      <c r="F348" s="177"/>
      <c r="G348" s="177"/>
      <c r="H348" s="431"/>
      <c r="I348" s="434"/>
      <c r="J348" s="177"/>
      <c r="K348" s="177"/>
      <c r="L348" s="177"/>
      <c r="M348" s="412"/>
      <c r="N348" s="413"/>
      <c r="O348" s="177"/>
      <c r="P348" s="177"/>
      <c r="Q348" s="177"/>
      <c r="R348" s="431"/>
      <c r="S348" s="434"/>
      <c r="T348" s="177"/>
      <c r="U348" s="177"/>
      <c r="V348" s="177"/>
      <c r="W348" s="431"/>
      <c r="X348" s="434"/>
      <c r="Y348" s="177"/>
      <c r="Z348" s="177"/>
      <c r="AA348" s="177"/>
      <c r="AB348" s="431"/>
    </row>
    <row r="349" spans="1:28" ht="16.149999999999999" customHeight="1" x14ac:dyDescent="0.2">
      <c r="A349" s="437"/>
      <c r="B349" s="159" t="s">
        <v>1727</v>
      </c>
      <c r="C349" s="431"/>
      <c r="D349" s="434"/>
      <c r="E349" s="177"/>
      <c r="F349" s="177"/>
      <c r="G349" s="177"/>
      <c r="H349" s="431"/>
      <c r="I349" s="434"/>
      <c r="J349" s="177"/>
      <c r="K349" s="177"/>
      <c r="L349" s="177"/>
      <c r="M349" s="412"/>
      <c r="N349" s="413"/>
      <c r="O349" s="177"/>
      <c r="P349" s="177"/>
      <c r="Q349" s="177"/>
      <c r="R349" s="431"/>
      <c r="S349" s="434"/>
      <c r="T349" s="177"/>
      <c r="U349" s="177"/>
      <c r="V349" s="177"/>
      <c r="W349" s="431"/>
      <c r="X349" s="434"/>
      <c r="Y349" s="177"/>
      <c r="Z349" s="177"/>
      <c r="AA349" s="177"/>
      <c r="AB349" s="431"/>
    </row>
    <row r="350" spans="1:28" ht="16.149999999999999" customHeight="1" x14ac:dyDescent="0.2">
      <c r="A350" s="437"/>
      <c r="B350" s="159" t="s">
        <v>996</v>
      </c>
      <c r="C350" s="431"/>
      <c r="D350" s="434"/>
      <c r="E350" s="177"/>
      <c r="F350" s="177"/>
      <c r="G350" s="177"/>
      <c r="H350" s="431"/>
      <c r="I350" s="434"/>
      <c r="J350" s="177"/>
      <c r="K350" s="177"/>
      <c r="L350" s="177"/>
      <c r="M350" s="412"/>
      <c r="N350" s="413"/>
      <c r="O350" s="177"/>
      <c r="P350" s="177"/>
      <c r="Q350" s="177"/>
      <c r="R350" s="431"/>
      <c r="S350" s="434"/>
      <c r="T350" s="177"/>
      <c r="U350" s="177"/>
      <c r="V350" s="177"/>
      <c r="W350" s="431"/>
      <c r="X350" s="434"/>
      <c r="Y350" s="177"/>
      <c r="Z350" s="177"/>
      <c r="AA350" s="177"/>
      <c r="AB350" s="431"/>
    </row>
    <row r="351" spans="1:28" ht="16.149999999999999" customHeight="1" x14ac:dyDescent="0.2">
      <c r="A351" s="437"/>
      <c r="B351" s="358" t="s">
        <v>1728</v>
      </c>
      <c r="C351" s="431"/>
      <c r="D351" s="434"/>
      <c r="E351" s="177"/>
      <c r="F351" s="177"/>
      <c r="G351" s="177"/>
      <c r="H351" s="431"/>
      <c r="I351" s="434"/>
      <c r="J351" s="177"/>
      <c r="K351" s="177"/>
      <c r="L351" s="177"/>
      <c r="M351" s="412"/>
      <c r="N351" s="413"/>
      <c r="O351" s="177"/>
      <c r="P351" s="177"/>
      <c r="Q351" s="177"/>
      <c r="R351" s="431"/>
      <c r="S351" s="434"/>
      <c r="T351" s="177"/>
      <c r="U351" s="177"/>
      <c r="V351" s="177"/>
      <c r="W351" s="431"/>
      <c r="X351" s="434"/>
      <c r="Y351" s="177"/>
      <c r="Z351" s="177"/>
      <c r="AA351" s="177"/>
      <c r="AB351" s="431"/>
    </row>
    <row r="352" spans="1:28" ht="16.149999999999999" customHeight="1" x14ac:dyDescent="0.2">
      <c r="A352" s="437"/>
      <c r="B352" s="358" t="s">
        <v>1734</v>
      </c>
      <c r="C352" s="431"/>
      <c r="D352" s="434"/>
      <c r="E352" s="177"/>
      <c r="F352" s="177"/>
      <c r="G352" s="177"/>
      <c r="H352" s="431"/>
      <c r="I352" s="434"/>
      <c r="J352" s="177"/>
      <c r="K352" s="177"/>
      <c r="L352" s="177"/>
      <c r="M352" s="412"/>
      <c r="N352" s="413"/>
      <c r="O352" s="177"/>
      <c r="P352" s="177"/>
      <c r="Q352" s="177"/>
      <c r="R352" s="431"/>
      <c r="S352" s="434"/>
      <c r="T352" s="177"/>
      <c r="U352" s="177"/>
      <c r="V352" s="177"/>
      <c r="W352" s="431"/>
      <c r="X352" s="434"/>
      <c r="Y352" s="177"/>
      <c r="Z352" s="177"/>
      <c r="AA352" s="177"/>
      <c r="AB352" s="431"/>
    </row>
    <row r="353" spans="1:28" ht="16.149999999999999" customHeight="1" x14ac:dyDescent="0.2">
      <c r="A353" s="437"/>
      <c r="B353" s="358" t="s">
        <v>1735</v>
      </c>
      <c r="C353" s="431"/>
      <c r="D353" s="434"/>
      <c r="E353" s="177"/>
      <c r="F353" s="177"/>
      <c r="G353" s="177"/>
      <c r="H353" s="431"/>
      <c r="I353" s="434"/>
      <c r="J353" s="177"/>
      <c r="K353" s="177"/>
      <c r="L353" s="177"/>
      <c r="M353" s="412"/>
      <c r="N353" s="413"/>
      <c r="O353" s="177"/>
      <c r="P353" s="177"/>
      <c r="Q353" s="177"/>
      <c r="R353" s="431"/>
      <c r="S353" s="434"/>
      <c r="T353" s="177"/>
      <c r="U353" s="177"/>
      <c r="V353" s="177"/>
      <c r="W353" s="431"/>
      <c r="X353" s="434"/>
      <c r="Y353" s="177"/>
      <c r="Z353" s="177"/>
      <c r="AA353" s="177"/>
      <c r="AB353" s="431"/>
    </row>
    <row r="354" spans="1:28" ht="16.149999999999999" customHeight="1" x14ac:dyDescent="0.2">
      <c r="A354" s="437"/>
      <c r="B354" s="358" t="s">
        <v>1736</v>
      </c>
      <c r="C354" s="431"/>
      <c r="D354" s="434"/>
      <c r="E354" s="177"/>
      <c r="F354" s="177"/>
      <c r="G354" s="177"/>
      <c r="H354" s="431"/>
      <c r="I354" s="434"/>
      <c r="J354" s="177"/>
      <c r="K354" s="177"/>
      <c r="L354" s="177"/>
      <c r="M354" s="412"/>
      <c r="N354" s="413"/>
      <c r="O354" s="177"/>
      <c r="P354" s="177"/>
      <c r="Q354" s="177"/>
      <c r="R354" s="431"/>
      <c r="S354" s="434"/>
      <c r="T354" s="177"/>
      <c r="U354" s="177"/>
      <c r="V354" s="177"/>
      <c r="W354" s="431"/>
      <c r="X354" s="434"/>
      <c r="Y354" s="177"/>
      <c r="Z354" s="177"/>
      <c r="AA354" s="177"/>
      <c r="AB354" s="431"/>
    </row>
    <row r="355" spans="1:28" ht="16.149999999999999" customHeight="1" x14ac:dyDescent="0.2">
      <c r="A355" s="437"/>
      <c r="B355" s="358" t="s">
        <v>1729</v>
      </c>
      <c r="C355" s="431"/>
      <c r="D355" s="434"/>
      <c r="E355" s="177"/>
      <c r="F355" s="177"/>
      <c r="G355" s="177"/>
      <c r="H355" s="431"/>
      <c r="I355" s="434"/>
      <c r="J355" s="177"/>
      <c r="K355" s="177"/>
      <c r="L355" s="177"/>
      <c r="M355" s="412"/>
      <c r="N355" s="413"/>
      <c r="O355" s="177"/>
      <c r="P355" s="177"/>
      <c r="Q355" s="177"/>
      <c r="R355" s="431"/>
      <c r="S355" s="434"/>
      <c r="T355" s="177"/>
      <c r="U355" s="177"/>
      <c r="V355" s="177"/>
      <c r="W355" s="431"/>
      <c r="X355" s="434"/>
      <c r="Y355" s="177"/>
      <c r="Z355" s="177"/>
      <c r="AA355" s="177"/>
      <c r="AB355" s="431"/>
    </row>
    <row r="356" spans="1:28" ht="16.149999999999999" customHeight="1" x14ac:dyDescent="0.2">
      <c r="A356" s="437"/>
      <c r="B356" s="358" t="s">
        <v>1730</v>
      </c>
      <c r="C356" s="431"/>
      <c r="D356" s="434"/>
      <c r="E356" s="177"/>
      <c r="F356" s="177"/>
      <c r="G356" s="177"/>
      <c r="H356" s="431"/>
      <c r="I356" s="434"/>
      <c r="J356" s="177"/>
      <c r="K356" s="177"/>
      <c r="L356" s="177"/>
      <c r="M356" s="412"/>
      <c r="N356" s="413"/>
      <c r="O356" s="177"/>
      <c r="P356" s="177"/>
      <c r="Q356" s="177"/>
      <c r="R356" s="431"/>
      <c r="S356" s="434"/>
      <c r="T356" s="177"/>
      <c r="U356" s="177"/>
      <c r="V356" s="177"/>
      <c r="W356" s="431"/>
      <c r="X356" s="434"/>
      <c r="Y356" s="177"/>
      <c r="Z356" s="177"/>
      <c r="AA356" s="177"/>
      <c r="AB356" s="431"/>
    </row>
    <row r="357" spans="1:28" ht="16.149999999999999" customHeight="1" x14ac:dyDescent="0.2">
      <c r="A357" s="437"/>
      <c r="B357" s="358" t="s">
        <v>1731</v>
      </c>
      <c r="C357" s="431"/>
      <c r="D357" s="434"/>
      <c r="E357" s="177"/>
      <c r="F357" s="177"/>
      <c r="G357" s="177"/>
      <c r="H357" s="431"/>
      <c r="I357" s="434"/>
      <c r="J357" s="177"/>
      <c r="K357" s="177"/>
      <c r="L357" s="177"/>
      <c r="M357" s="412"/>
      <c r="N357" s="413"/>
      <c r="O357" s="177"/>
      <c r="P357" s="177"/>
      <c r="Q357" s="177"/>
      <c r="R357" s="431"/>
      <c r="S357" s="434"/>
      <c r="T357" s="177"/>
      <c r="U357" s="177"/>
      <c r="V357" s="177"/>
      <c r="W357" s="431"/>
      <c r="X357" s="434"/>
      <c r="Y357" s="177"/>
      <c r="Z357" s="177"/>
      <c r="AA357" s="177"/>
      <c r="AB357" s="431"/>
    </row>
    <row r="358" spans="1:28" ht="16.149999999999999" customHeight="1" x14ac:dyDescent="0.2">
      <c r="A358" s="437"/>
      <c r="B358" s="358" t="s">
        <v>1732</v>
      </c>
      <c r="C358" s="431"/>
      <c r="D358" s="434"/>
      <c r="E358" s="177"/>
      <c r="F358" s="177"/>
      <c r="G358" s="177"/>
      <c r="H358" s="431"/>
      <c r="I358" s="434"/>
      <c r="J358" s="177"/>
      <c r="K358" s="177"/>
      <c r="L358" s="177"/>
      <c r="M358" s="412"/>
      <c r="N358" s="413"/>
      <c r="O358" s="177"/>
      <c r="P358" s="177"/>
      <c r="Q358" s="177"/>
      <c r="R358" s="431"/>
      <c r="S358" s="434"/>
      <c r="T358" s="177"/>
      <c r="U358" s="177"/>
      <c r="V358" s="177"/>
      <c r="W358" s="431"/>
      <c r="X358" s="434"/>
      <c r="Y358" s="177"/>
      <c r="Z358" s="177"/>
      <c r="AA358" s="177"/>
      <c r="AB358" s="431"/>
    </row>
    <row r="359" spans="1:28" ht="16.149999999999999" customHeight="1" x14ac:dyDescent="0.2">
      <c r="A359" s="438"/>
      <c r="B359" s="358" t="s">
        <v>1733</v>
      </c>
      <c r="C359" s="432"/>
      <c r="D359" s="435"/>
      <c r="E359" s="177"/>
      <c r="F359" s="177"/>
      <c r="G359" s="177"/>
      <c r="H359" s="432"/>
      <c r="I359" s="435"/>
      <c r="J359" s="177"/>
      <c r="K359" s="177"/>
      <c r="L359" s="177"/>
      <c r="M359" s="414"/>
      <c r="N359" s="415"/>
      <c r="O359" s="177"/>
      <c r="P359" s="177"/>
      <c r="Q359" s="177"/>
      <c r="R359" s="432"/>
      <c r="S359" s="435"/>
      <c r="T359" s="177"/>
      <c r="U359" s="177"/>
      <c r="V359" s="177"/>
      <c r="W359" s="432"/>
      <c r="X359" s="435"/>
      <c r="Y359" s="177"/>
      <c r="Z359" s="177"/>
      <c r="AA359" s="177"/>
      <c r="AB359" s="432"/>
    </row>
    <row r="360" spans="1:28" ht="32.25" customHeight="1" x14ac:dyDescent="0.2">
      <c r="A360" s="436" t="s">
        <v>12</v>
      </c>
      <c r="B360" s="154" t="s">
        <v>433</v>
      </c>
      <c r="C360" s="430">
        <f>D360+E360+F360+G360</f>
        <v>0</v>
      </c>
      <c r="D360" s="433">
        <v>0</v>
      </c>
      <c r="E360" s="409">
        <v>0</v>
      </c>
      <c r="F360" s="409">
        <v>0</v>
      </c>
      <c r="G360" s="409">
        <v>0</v>
      </c>
      <c r="H360" s="430">
        <f>I360+J360+K360+L360</f>
        <v>0</v>
      </c>
      <c r="I360" s="433">
        <v>0</v>
      </c>
      <c r="J360" s="409">
        <v>0</v>
      </c>
      <c r="K360" s="409">
        <v>0</v>
      </c>
      <c r="L360" s="409">
        <v>0</v>
      </c>
      <c r="M360" s="439">
        <f>N360</f>
        <v>13</v>
      </c>
      <c r="N360" s="442">
        <f>1417-578-583-29-214</f>
        <v>13</v>
      </c>
      <c r="O360" s="409">
        <v>0</v>
      </c>
      <c r="P360" s="409">
        <v>0</v>
      </c>
      <c r="Q360" s="409">
        <v>0</v>
      </c>
      <c r="R360" s="430">
        <f>S360</f>
        <v>4886</v>
      </c>
      <c r="S360" s="433">
        <f>1417+3469</f>
        <v>4886</v>
      </c>
      <c r="T360" s="409">
        <v>0</v>
      </c>
      <c r="U360" s="409">
        <v>0</v>
      </c>
      <c r="V360" s="409">
        <v>0</v>
      </c>
      <c r="W360" s="430">
        <f>X360</f>
        <v>256</v>
      </c>
      <c r="X360" s="433">
        <v>256</v>
      </c>
      <c r="Y360" s="409">
        <v>0</v>
      </c>
      <c r="Z360" s="409">
        <v>0</v>
      </c>
      <c r="AA360" s="409">
        <v>0</v>
      </c>
      <c r="AB360" s="430">
        <f>C360+H360+M360+R360+W360</f>
        <v>5155</v>
      </c>
    </row>
    <row r="361" spans="1:28" ht="18" customHeight="1" x14ac:dyDescent="0.2">
      <c r="A361" s="437"/>
      <c r="B361" s="157" t="s">
        <v>776</v>
      </c>
      <c r="C361" s="431"/>
      <c r="D361" s="434"/>
      <c r="E361" s="409"/>
      <c r="F361" s="409"/>
      <c r="G361" s="409"/>
      <c r="H361" s="431"/>
      <c r="I361" s="434"/>
      <c r="J361" s="409"/>
      <c r="K361" s="409"/>
      <c r="L361" s="409"/>
      <c r="M361" s="440"/>
      <c r="N361" s="443"/>
      <c r="O361" s="409"/>
      <c r="P361" s="409"/>
      <c r="Q361" s="409"/>
      <c r="R361" s="431"/>
      <c r="S361" s="434"/>
      <c r="T361" s="409"/>
      <c r="U361" s="409"/>
      <c r="V361" s="409"/>
      <c r="W361" s="431"/>
      <c r="X361" s="434"/>
      <c r="Y361" s="409"/>
      <c r="Z361" s="409"/>
      <c r="AA361" s="409"/>
      <c r="AB361" s="431"/>
    </row>
    <row r="362" spans="1:28" ht="18" customHeight="1" x14ac:dyDescent="0.2">
      <c r="A362" s="437"/>
      <c r="B362" s="159" t="s">
        <v>1645</v>
      </c>
      <c r="C362" s="431"/>
      <c r="D362" s="434"/>
      <c r="E362" s="409"/>
      <c r="F362" s="409"/>
      <c r="G362" s="409"/>
      <c r="H362" s="431"/>
      <c r="I362" s="434"/>
      <c r="J362" s="409"/>
      <c r="K362" s="409"/>
      <c r="L362" s="409"/>
      <c r="M362" s="440"/>
      <c r="N362" s="443"/>
      <c r="O362" s="409"/>
      <c r="P362" s="409"/>
      <c r="Q362" s="409"/>
      <c r="R362" s="431"/>
      <c r="S362" s="434"/>
      <c r="T362" s="409"/>
      <c r="U362" s="409"/>
      <c r="V362" s="409"/>
      <c r="W362" s="431"/>
      <c r="X362" s="434"/>
      <c r="Y362" s="409"/>
      <c r="Z362" s="409"/>
      <c r="AA362" s="409"/>
      <c r="AB362" s="431"/>
    </row>
    <row r="363" spans="1:28" ht="18" customHeight="1" x14ac:dyDescent="0.2">
      <c r="A363" s="437"/>
      <c r="B363" s="157" t="s">
        <v>863</v>
      </c>
      <c r="C363" s="431"/>
      <c r="D363" s="434"/>
      <c r="E363" s="409"/>
      <c r="F363" s="409"/>
      <c r="G363" s="409"/>
      <c r="H363" s="431"/>
      <c r="I363" s="434"/>
      <c r="J363" s="409"/>
      <c r="K363" s="409"/>
      <c r="L363" s="409"/>
      <c r="M363" s="440"/>
      <c r="N363" s="443"/>
      <c r="O363" s="409"/>
      <c r="P363" s="409"/>
      <c r="Q363" s="409"/>
      <c r="R363" s="431"/>
      <c r="S363" s="434"/>
      <c r="T363" s="409"/>
      <c r="U363" s="409"/>
      <c r="V363" s="409"/>
      <c r="W363" s="431"/>
      <c r="X363" s="434"/>
      <c r="Y363" s="409"/>
      <c r="Z363" s="409"/>
      <c r="AA363" s="409"/>
      <c r="AB363" s="431"/>
    </row>
    <row r="364" spans="1:28" ht="15.75" customHeight="1" x14ac:dyDescent="0.2">
      <c r="A364" s="437"/>
      <c r="B364" s="159" t="s">
        <v>869</v>
      </c>
      <c r="C364" s="431"/>
      <c r="D364" s="434"/>
      <c r="E364" s="409"/>
      <c r="F364" s="409"/>
      <c r="G364" s="409"/>
      <c r="H364" s="431"/>
      <c r="I364" s="434"/>
      <c r="J364" s="409"/>
      <c r="K364" s="409"/>
      <c r="L364" s="409"/>
      <c r="M364" s="440"/>
      <c r="N364" s="443"/>
      <c r="O364" s="409"/>
      <c r="P364" s="409"/>
      <c r="Q364" s="409"/>
      <c r="R364" s="431"/>
      <c r="S364" s="434"/>
      <c r="T364" s="409"/>
      <c r="U364" s="409"/>
      <c r="V364" s="409"/>
      <c r="W364" s="431"/>
      <c r="X364" s="434"/>
      <c r="Y364" s="409"/>
      <c r="Z364" s="409"/>
      <c r="AA364" s="409"/>
      <c r="AB364" s="431"/>
    </row>
    <row r="365" spans="1:28" ht="15.75" customHeight="1" x14ac:dyDescent="0.2">
      <c r="A365" s="437"/>
      <c r="B365" s="159" t="s">
        <v>445</v>
      </c>
      <c r="C365" s="431"/>
      <c r="D365" s="434"/>
      <c r="E365" s="409"/>
      <c r="F365" s="409"/>
      <c r="G365" s="409"/>
      <c r="H365" s="431"/>
      <c r="I365" s="434"/>
      <c r="J365" s="409"/>
      <c r="K365" s="409"/>
      <c r="L365" s="409"/>
      <c r="M365" s="440"/>
      <c r="N365" s="443"/>
      <c r="O365" s="409"/>
      <c r="P365" s="409"/>
      <c r="Q365" s="409"/>
      <c r="R365" s="431"/>
      <c r="S365" s="434"/>
      <c r="T365" s="409"/>
      <c r="U365" s="409"/>
      <c r="V365" s="409"/>
      <c r="W365" s="431"/>
      <c r="X365" s="434"/>
      <c r="Y365" s="409"/>
      <c r="Z365" s="409"/>
      <c r="AA365" s="409"/>
      <c r="AB365" s="431"/>
    </row>
    <row r="366" spans="1:28" ht="15.75" customHeight="1" x14ac:dyDescent="0.2">
      <c r="A366" s="437"/>
      <c r="B366" s="159" t="s">
        <v>873</v>
      </c>
      <c r="C366" s="431"/>
      <c r="D366" s="434"/>
      <c r="E366" s="409"/>
      <c r="F366" s="409"/>
      <c r="G366" s="409"/>
      <c r="H366" s="431"/>
      <c r="I366" s="434"/>
      <c r="J366" s="409"/>
      <c r="K366" s="409"/>
      <c r="L366" s="409"/>
      <c r="M366" s="440"/>
      <c r="N366" s="443"/>
      <c r="O366" s="409"/>
      <c r="P366" s="409"/>
      <c r="Q366" s="409"/>
      <c r="R366" s="431"/>
      <c r="S366" s="434"/>
      <c r="T366" s="409"/>
      <c r="U366" s="409"/>
      <c r="V366" s="409"/>
      <c r="W366" s="431"/>
      <c r="X366" s="434"/>
      <c r="Y366" s="409"/>
      <c r="Z366" s="409"/>
      <c r="AA366" s="409"/>
      <c r="AB366" s="431"/>
    </row>
    <row r="367" spans="1:28" ht="18" customHeight="1" x14ac:dyDescent="0.2">
      <c r="A367" s="437"/>
      <c r="B367" s="159" t="s">
        <v>874</v>
      </c>
      <c r="C367" s="431"/>
      <c r="D367" s="434"/>
      <c r="E367" s="409"/>
      <c r="F367" s="409"/>
      <c r="G367" s="409"/>
      <c r="H367" s="431"/>
      <c r="I367" s="434"/>
      <c r="J367" s="409"/>
      <c r="K367" s="409"/>
      <c r="L367" s="409"/>
      <c r="M367" s="440"/>
      <c r="N367" s="443"/>
      <c r="O367" s="409"/>
      <c r="P367" s="409"/>
      <c r="Q367" s="409"/>
      <c r="R367" s="431"/>
      <c r="S367" s="434"/>
      <c r="T367" s="409"/>
      <c r="U367" s="409"/>
      <c r="V367" s="409"/>
      <c r="W367" s="431"/>
      <c r="X367" s="434"/>
      <c r="Y367" s="409"/>
      <c r="Z367" s="409"/>
      <c r="AA367" s="409"/>
      <c r="AB367" s="431"/>
    </row>
    <row r="368" spans="1:28" ht="17.25" customHeight="1" x14ac:dyDescent="0.2">
      <c r="A368" s="437"/>
      <c r="B368" s="159" t="s">
        <v>802</v>
      </c>
      <c r="C368" s="431"/>
      <c r="D368" s="434"/>
      <c r="E368" s="409"/>
      <c r="F368" s="409"/>
      <c r="G368" s="409"/>
      <c r="H368" s="431"/>
      <c r="I368" s="434"/>
      <c r="J368" s="409"/>
      <c r="K368" s="409"/>
      <c r="L368" s="409"/>
      <c r="M368" s="440"/>
      <c r="N368" s="443"/>
      <c r="O368" s="409"/>
      <c r="P368" s="409"/>
      <c r="Q368" s="409"/>
      <c r="R368" s="431"/>
      <c r="S368" s="434"/>
      <c r="T368" s="409"/>
      <c r="U368" s="409"/>
      <c r="V368" s="409"/>
      <c r="W368" s="431"/>
      <c r="X368" s="434"/>
      <c r="Y368" s="409"/>
      <c r="Z368" s="409"/>
      <c r="AA368" s="409"/>
      <c r="AB368" s="431"/>
    </row>
    <row r="369" spans="1:28" ht="18" customHeight="1" x14ac:dyDescent="0.2">
      <c r="A369" s="437"/>
      <c r="B369" s="159" t="s">
        <v>800</v>
      </c>
      <c r="C369" s="431"/>
      <c r="D369" s="434"/>
      <c r="E369" s="409"/>
      <c r="F369" s="409"/>
      <c r="G369" s="409"/>
      <c r="H369" s="431"/>
      <c r="I369" s="434"/>
      <c r="J369" s="409"/>
      <c r="K369" s="409"/>
      <c r="L369" s="409"/>
      <c r="M369" s="440"/>
      <c r="N369" s="443"/>
      <c r="O369" s="409"/>
      <c r="P369" s="409"/>
      <c r="Q369" s="409"/>
      <c r="R369" s="431"/>
      <c r="S369" s="434"/>
      <c r="T369" s="409"/>
      <c r="U369" s="409"/>
      <c r="V369" s="409"/>
      <c r="W369" s="431"/>
      <c r="X369" s="434"/>
      <c r="Y369" s="409"/>
      <c r="Z369" s="409"/>
      <c r="AA369" s="409"/>
      <c r="AB369" s="431"/>
    </row>
    <row r="370" spans="1:28" ht="18" customHeight="1" x14ac:dyDescent="0.2">
      <c r="A370" s="437"/>
      <c r="B370" s="159" t="s">
        <v>801</v>
      </c>
      <c r="C370" s="431"/>
      <c r="D370" s="434"/>
      <c r="E370" s="409"/>
      <c r="F370" s="409"/>
      <c r="G370" s="409"/>
      <c r="H370" s="431"/>
      <c r="I370" s="434"/>
      <c r="J370" s="409"/>
      <c r="K370" s="409"/>
      <c r="L370" s="409"/>
      <c r="M370" s="440"/>
      <c r="N370" s="443"/>
      <c r="O370" s="409"/>
      <c r="P370" s="409"/>
      <c r="Q370" s="409"/>
      <c r="R370" s="431"/>
      <c r="S370" s="434"/>
      <c r="T370" s="409"/>
      <c r="U370" s="409"/>
      <c r="V370" s="409"/>
      <c r="W370" s="431"/>
      <c r="X370" s="434"/>
      <c r="Y370" s="409"/>
      <c r="Z370" s="409"/>
      <c r="AA370" s="409"/>
      <c r="AB370" s="431"/>
    </row>
    <row r="371" spans="1:28" ht="18" customHeight="1" x14ac:dyDescent="0.2">
      <c r="A371" s="437"/>
      <c r="B371" s="159" t="s">
        <v>864</v>
      </c>
      <c r="C371" s="431"/>
      <c r="D371" s="434"/>
      <c r="E371" s="409"/>
      <c r="F371" s="409"/>
      <c r="G371" s="409"/>
      <c r="H371" s="431"/>
      <c r="I371" s="434"/>
      <c r="J371" s="409"/>
      <c r="K371" s="409"/>
      <c r="L371" s="409"/>
      <c r="M371" s="440"/>
      <c r="N371" s="443"/>
      <c r="O371" s="409"/>
      <c r="P371" s="409"/>
      <c r="Q371" s="409"/>
      <c r="R371" s="431"/>
      <c r="S371" s="434"/>
      <c r="T371" s="409"/>
      <c r="U371" s="409"/>
      <c r="V371" s="409"/>
      <c r="W371" s="431"/>
      <c r="X371" s="434"/>
      <c r="Y371" s="409"/>
      <c r="Z371" s="409"/>
      <c r="AA371" s="409"/>
      <c r="AB371" s="431"/>
    </row>
    <row r="372" spans="1:28" ht="18" customHeight="1" x14ac:dyDescent="0.2">
      <c r="A372" s="437"/>
      <c r="B372" s="159" t="s">
        <v>865</v>
      </c>
      <c r="C372" s="431"/>
      <c r="D372" s="434"/>
      <c r="E372" s="409"/>
      <c r="F372" s="409"/>
      <c r="G372" s="409"/>
      <c r="H372" s="431"/>
      <c r="I372" s="434"/>
      <c r="J372" s="409"/>
      <c r="K372" s="409"/>
      <c r="L372" s="409"/>
      <c r="M372" s="440"/>
      <c r="N372" s="443"/>
      <c r="O372" s="409"/>
      <c r="P372" s="409"/>
      <c r="Q372" s="409"/>
      <c r="R372" s="431"/>
      <c r="S372" s="434"/>
      <c r="T372" s="409"/>
      <c r="U372" s="409"/>
      <c r="V372" s="409"/>
      <c r="W372" s="431"/>
      <c r="X372" s="434"/>
      <c r="Y372" s="409"/>
      <c r="Z372" s="409"/>
      <c r="AA372" s="409"/>
      <c r="AB372" s="431"/>
    </row>
    <row r="373" spans="1:28" ht="18" customHeight="1" x14ac:dyDescent="0.2">
      <c r="A373" s="437"/>
      <c r="B373" s="159" t="s">
        <v>866</v>
      </c>
      <c r="C373" s="431"/>
      <c r="D373" s="434"/>
      <c r="E373" s="409"/>
      <c r="F373" s="409"/>
      <c r="G373" s="409"/>
      <c r="H373" s="431"/>
      <c r="I373" s="434"/>
      <c r="J373" s="409"/>
      <c r="K373" s="409"/>
      <c r="L373" s="409"/>
      <c r="M373" s="440"/>
      <c r="N373" s="443"/>
      <c r="O373" s="409"/>
      <c r="P373" s="409"/>
      <c r="Q373" s="409"/>
      <c r="R373" s="431"/>
      <c r="S373" s="434"/>
      <c r="T373" s="409"/>
      <c r="U373" s="409"/>
      <c r="V373" s="409"/>
      <c r="W373" s="431"/>
      <c r="X373" s="434"/>
      <c r="Y373" s="409"/>
      <c r="Z373" s="409"/>
      <c r="AA373" s="409"/>
      <c r="AB373" s="431"/>
    </row>
    <row r="374" spans="1:28" ht="18" customHeight="1" x14ac:dyDescent="0.2">
      <c r="A374" s="437"/>
      <c r="B374" s="159" t="s">
        <v>867</v>
      </c>
      <c r="C374" s="431"/>
      <c r="D374" s="434"/>
      <c r="E374" s="409"/>
      <c r="F374" s="409"/>
      <c r="G374" s="409"/>
      <c r="H374" s="431"/>
      <c r="I374" s="434"/>
      <c r="J374" s="409"/>
      <c r="K374" s="409"/>
      <c r="L374" s="409"/>
      <c r="M374" s="440"/>
      <c r="N374" s="443"/>
      <c r="O374" s="409"/>
      <c r="P374" s="409"/>
      <c r="Q374" s="409"/>
      <c r="R374" s="431"/>
      <c r="S374" s="434"/>
      <c r="T374" s="409"/>
      <c r="U374" s="409"/>
      <c r="V374" s="409"/>
      <c r="W374" s="431"/>
      <c r="X374" s="434"/>
      <c r="Y374" s="409"/>
      <c r="Z374" s="409"/>
      <c r="AA374" s="409"/>
      <c r="AB374" s="431"/>
    </row>
    <row r="375" spans="1:28" ht="18" customHeight="1" x14ac:dyDescent="0.2">
      <c r="A375" s="437"/>
      <c r="B375" s="159" t="s">
        <v>868</v>
      </c>
      <c r="C375" s="431"/>
      <c r="D375" s="434"/>
      <c r="E375" s="409"/>
      <c r="F375" s="409"/>
      <c r="G375" s="409"/>
      <c r="H375" s="431"/>
      <c r="I375" s="434"/>
      <c r="J375" s="409"/>
      <c r="K375" s="409"/>
      <c r="L375" s="409"/>
      <c r="M375" s="440"/>
      <c r="N375" s="443"/>
      <c r="O375" s="409"/>
      <c r="P375" s="409"/>
      <c r="Q375" s="409"/>
      <c r="R375" s="431"/>
      <c r="S375" s="434"/>
      <c r="T375" s="409"/>
      <c r="U375" s="409"/>
      <c r="V375" s="409"/>
      <c r="W375" s="431"/>
      <c r="X375" s="434"/>
      <c r="Y375" s="409"/>
      <c r="Z375" s="409"/>
      <c r="AA375" s="409"/>
      <c r="AB375" s="431"/>
    </row>
    <row r="376" spans="1:28" ht="18" customHeight="1" x14ac:dyDescent="0.2">
      <c r="A376" s="437"/>
      <c r="B376" s="159" t="s">
        <v>870</v>
      </c>
      <c r="C376" s="431"/>
      <c r="D376" s="434"/>
      <c r="E376" s="409"/>
      <c r="F376" s="409"/>
      <c r="G376" s="409"/>
      <c r="H376" s="431"/>
      <c r="I376" s="434"/>
      <c r="J376" s="409"/>
      <c r="K376" s="409"/>
      <c r="L376" s="409"/>
      <c r="M376" s="440"/>
      <c r="N376" s="443"/>
      <c r="O376" s="409"/>
      <c r="P376" s="409"/>
      <c r="Q376" s="409"/>
      <c r="R376" s="431"/>
      <c r="S376" s="434"/>
      <c r="T376" s="409"/>
      <c r="U376" s="409"/>
      <c r="V376" s="409"/>
      <c r="W376" s="431"/>
      <c r="X376" s="434"/>
      <c r="Y376" s="409"/>
      <c r="Z376" s="409"/>
      <c r="AA376" s="409"/>
      <c r="AB376" s="431"/>
    </row>
    <row r="377" spans="1:28" ht="18" customHeight="1" x14ac:dyDescent="0.2">
      <c r="A377" s="437"/>
      <c r="B377" s="159" t="s">
        <v>871</v>
      </c>
      <c r="C377" s="431"/>
      <c r="D377" s="434"/>
      <c r="E377" s="409"/>
      <c r="F377" s="409"/>
      <c r="G377" s="409"/>
      <c r="H377" s="431"/>
      <c r="I377" s="434"/>
      <c r="J377" s="409"/>
      <c r="K377" s="409"/>
      <c r="L377" s="409"/>
      <c r="M377" s="440"/>
      <c r="N377" s="443"/>
      <c r="O377" s="409"/>
      <c r="P377" s="409"/>
      <c r="Q377" s="409"/>
      <c r="R377" s="431"/>
      <c r="S377" s="434"/>
      <c r="T377" s="409"/>
      <c r="U377" s="409"/>
      <c r="V377" s="409"/>
      <c r="W377" s="431"/>
      <c r="X377" s="434"/>
      <c r="Y377" s="409"/>
      <c r="Z377" s="409"/>
      <c r="AA377" s="409"/>
      <c r="AB377" s="431"/>
    </row>
    <row r="378" spans="1:28" ht="18" customHeight="1" x14ac:dyDescent="0.2">
      <c r="A378" s="437"/>
      <c r="B378" s="159" t="s">
        <v>872</v>
      </c>
      <c r="C378" s="431"/>
      <c r="D378" s="434"/>
      <c r="E378" s="409"/>
      <c r="F378" s="409"/>
      <c r="G378" s="409"/>
      <c r="H378" s="431"/>
      <c r="I378" s="434"/>
      <c r="J378" s="409"/>
      <c r="K378" s="409"/>
      <c r="L378" s="409"/>
      <c r="M378" s="440"/>
      <c r="N378" s="443"/>
      <c r="O378" s="409"/>
      <c r="P378" s="409"/>
      <c r="Q378" s="409"/>
      <c r="R378" s="431"/>
      <c r="S378" s="434"/>
      <c r="T378" s="409"/>
      <c r="U378" s="409"/>
      <c r="V378" s="409"/>
      <c r="W378" s="431"/>
      <c r="X378" s="434"/>
      <c r="Y378" s="409"/>
      <c r="Z378" s="409"/>
      <c r="AA378" s="409"/>
      <c r="AB378" s="431"/>
    </row>
    <row r="379" spans="1:28" ht="18" customHeight="1" x14ac:dyDescent="0.2">
      <c r="A379" s="437"/>
      <c r="B379" s="159" t="s">
        <v>875</v>
      </c>
      <c r="C379" s="431"/>
      <c r="D379" s="434"/>
      <c r="E379" s="409"/>
      <c r="F379" s="409"/>
      <c r="G379" s="409"/>
      <c r="H379" s="431"/>
      <c r="I379" s="434"/>
      <c r="J379" s="409"/>
      <c r="K379" s="409"/>
      <c r="L379" s="409"/>
      <c r="M379" s="440"/>
      <c r="N379" s="443"/>
      <c r="O379" s="409"/>
      <c r="P379" s="409"/>
      <c r="Q379" s="409"/>
      <c r="R379" s="431"/>
      <c r="S379" s="434"/>
      <c r="T379" s="409"/>
      <c r="U379" s="409"/>
      <c r="V379" s="409"/>
      <c r="W379" s="431"/>
      <c r="X379" s="434"/>
      <c r="Y379" s="409"/>
      <c r="Z379" s="409"/>
      <c r="AA379" s="409"/>
      <c r="AB379" s="431"/>
    </row>
    <row r="380" spans="1:28" ht="18" customHeight="1" x14ac:dyDescent="0.2">
      <c r="A380" s="437"/>
      <c r="B380" s="159" t="s">
        <v>876</v>
      </c>
      <c r="C380" s="431"/>
      <c r="D380" s="434"/>
      <c r="E380" s="409"/>
      <c r="F380" s="409"/>
      <c r="G380" s="409"/>
      <c r="H380" s="431"/>
      <c r="I380" s="434"/>
      <c r="J380" s="409"/>
      <c r="K380" s="409"/>
      <c r="L380" s="409"/>
      <c r="M380" s="440"/>
      <c r="N380" s="443"/>
      <c r="O380" s="409"/>
      <c r="P380" s="409"/>
      <c r="Q380" s="409"/>
      <c r="R380" s="431"/>
      <c r="S380" s="434"/>
      <c r="T380" s="409"/>
      <c r="U380" s="409"/>
      <c r="V380" s="409"/>
      <c r="W380" s="431"/>
      <c r="X380" s="434"/>
      <c r="Y380" s="409"/>
      <c r="Z380" s="409"/>
      <c r="AA380" s="409"/>
      <c r="AB380" s="431"/>
    </row>
    <row r="381" spans="1:28" ht="18" customHeight="1" x14ac:dyDescent="0.2">
      <c r="A381" s="437"/>
      <c r="B381" s="159" t="s">
        <v>877</v>
      </c>
      <c r="C381" s="431"/>
      <c r="D381" s="434"/>
      <c r="E381" s="409"/>
      <c r="F381" s="409"/>
      <c r="G381" s="409"/>
      <c r="H381" s="431"/>
      <c r="I381" s="434"/>
      <c r="J381" s="409"/>
      <c r="K381" s="409"/>
      <c r="L381" s="409"/>
      <c r="M381" s="440"/>
      <c r="N381" s="443"/>
      <c r="O381" s="409"/>
      <c r="P381" s="409"/>
      <c r="Q381" s="409"/>
      <c r="R381" s="431"/>
      <c r="S381" s="434"/>
      <c r="T381" s="409"/>
      <c r="U381" s="409"/>
      <c r="V381" s="409"/>
      <c r="W381" s="431"/>
      <c r="X381" s="434"/>
      <c r="Y381" s="409"/>
      <c r="Z381" s="409"/>
      <c r="AA381" s="409"/>
      <c r="AB381" s="431"/>
    </row>
    <row r="382" spans="1:28" ht="18" customHeight="1" x14ac:dyDescent="0.2">
      <c r="A382" s="437"/>
      <c r="B382" s="159" t="s">
        <v>878</v>
      </c>
      <c r="C382" s="431"/>
      <c r="D382" s="434"/>
      <c r="E382" s="409"/>
      <c r="F382" s="409"/>
      <c r="G382" s="409"/>
      <c r="H382" s="431"/>
      <c r="I382" s="434"/>
      <c r="J382" s="409"/>
      <c r="K382" s="409"/>
      <c r="L382" s="409"/>
      <c r="M382" s="440"/>
      <c r="N382" s="443"/>
      <c r="O382" s="409"/>
      <c r="P382" s="409"/>
      <c r="Q382" s="409"/>
      <c r="R382" s="431"/>
      <c r="S382" s="434"/>
      <c r="T382" s="409"/>
      <c r="U382" s="409"/>
      <c r="V382" s="409"/>
      <c r="W382" s="431"/>
      <c r="X382" s="434"/>
      <c r="Y382" s="409"/>
      <c r="Z382" s="409"/>
      <c r="AA382" s="409"/>
      <c r="AB382" s="431"/>
    </row>
    <row r="383" spans="1:28" ht="18" customHeight="1" x14ac:dyDescent="0.2">
      <c r="A383" s="437"/>
      <c r="B383" s="159" t="s">
        <v>879</v>
      </c>
      <c r="C383" s="431"/>
      <c r="D383" s="434"/>
      <c r="E383" s="409"/>
      <c r="F383" s="409"/>
      <c r="G383" s="409"/>
      <c r="H383" s="431"/>
      <c r="I383" s="434"/>
      <c r="J383" s="409"/>
      <c r="K383" s="409"/>
      <c r="L383" s="409"/>
      <c r="M383" s="440"/>
      <c r="N383" s="443"/>
      <c r="O383" s="409"/>
      <c r="P383" s="409"/>
      <c r="Q383" s="409"/>
      <c r="R383" s="431"/>
      <c r="S383" s="434"/>
      <c r="T383" s="409"/>
      <c r="U383" s="409"/>
      <c r="V383" s="409"/>
      <c r="W383" s="431"/>
      <c r="X383" s="434"/>
      <c r="Y383" s="409"/>
      <c r="Z383" s="409"/>
      <c r="AA383" s="409"/>
      <c r="AB383" s="431"/>
    </row>
    <row r="384" spans="1:28" ht="18" customHeight="1" x14ac:dyDescent="0.2">
      <c r="A384" s="437"/>
      <c r="B384" s="159" t="s">
        <v>880</v>
      </c>
      <c r="C384" s="431"/>
      <c r="D384" s="434"/>
      <c r="E384" s="409"/>
      <c r="F384" s="409"/>
      <c r="G384" s="409"/>
      <c r="H384" s="431"/>
      <c r="I384" s="434"/>
      <c r="J384" s="409"/>
      <c r="K384" s="409"/>
      <c r="L384" s="409"/>
      <c r="M384" s="440"/>
      <c r="N384" s="443"/>
      <c r="O384" s="409"/>
      <c r="P384" s="409"/>
      <c r="Q384" s="409"/>
      <c r="R384" s="431"/>
      <c r="S384" s="434"/>
      <c r="T384" s="409"/>
      <c r="U384" s="409"/>
      <c r="V384" s="409"/>
      <c r="W384" s="431"/>
      <c r="X384" s="434"/>
      <c r="Y384" s="409"/>
      <c r="Z384" s="409"/>
      <c r="AA384" s="409"/>
      <c r="AB384" s="431"/>
    </row>
    <row r="385" spans="1:28" ht="18" customHeight="1" x14ac:dyDescent="0.2">
      <c r="A385" s="437"/>
      <c r="B385" s="159" t="s">
        <v>881</v>
      </c>
      <c r="C385" s="431"/>
      <c r="D385" s="434"/>
      <c r="E385" s="409"/>
      <c r="F385" s="409"/>
      <c r="G385" s="409"/>
      <c r="H385" s="431"/>
      <c r="I385" s="434"/>
      <c r="J385" s="409"/>
      <c r="K385" s="409"/>
      <c r="L385" s="409"/>
      <c r="M385" s="440"/>
      <c r="N385" s="443"/>
      <c r="O385" s="409"/>
      <c r="P385" s="409"/>
      <c r="Q385" s="409"/>
      <c r="R385" s="431"/>
      <c r="S385" s="434"/>
      <c r="T385" s="409"/>
      <c r="U385" s="409"/>
      <c r="V385" s="409"/>
      <c r="W385" s="431"/>
      <c r="X385" s="434"/>
      <c r="Y385" s="409"/>
      <c r="Z385" s="409"/>
      <c r="AA385" s="409"/>
      <c r="AB385" s="431"/>
    </row>
    <row r="386" spans="1:28" ht="18" customHeight="1" x14ac:dyDescent="0.2">
      <c r="A386" s="437"/>
      <c r="B386" s="159" t="s">
        <v>882</v>
      </c>
      <c r="C386" s="431"/>
      <c r="D386" s="434"/>
      <c r="E386" s="409"/>
      <c r="F386" s="409"/>
      <c r="G386" s="409"/>
      <c r="H386" s="431"/>
      <c r="I386" s="434"/>
      <c r="J386" s="409"/>
      <c r="K386" s="409"/>
      <c r="L386" s="409"/>
      <c r="M386" s="440"/>
      <c r="N386" s="443"/>
      <c r="O386" s="409"/>
      <c r="P386" s="409"/>
      <c r="Q386" s="409"/>
      <c r="R386" s="431"/>
      <c r="S386" s="434"/>
      <c r="T386" s="409"/>
      <c r="U386" s="409"/>
      <c r="V386" s="409"/>
      <c r="W386" s="431"/>
      <c r="X386" s="434"/>
      <c r="Y386" s="409"/>
      <c r="Z386" s="409"/>
      <c r="AA386" s="409"/>
      <c r="AB386" s="431"/>
    </row>
    <row r="387" spans="1:28" ht="18" customHeight="1" x14ac:dyDescent="0.2">
      <c r="A387" s="437"/>
      <c r="B387" s="159" t="s">
        <v>883</v>
      </c>
      <c r="C387" s="431"/>
      <c r="D387" s="434"/>
      <c r="E387" s="409"/>
      <c r="F387" s="409"/>
      <c r="G387" s="409"/>
      <c r="H387" s="431"/>
      <c r="I387" s="434"/>
      <c r="J387" s="409"/>
      <c r="K387" s="409"/>
      <c r="L387" s="409"/>
      <c r="M387" s="440"/>
      <c r="N387" s="443"/>
      <c r="O387" s="409"/>
      <c r="P387" s="409"/>
      <c r="Q387" s="409"/>
      <c r="R387" s="431"/>
      <c r="S387" s="434"/>
      <c r="T387" s="409"/>
      <c r="U387" s="409"/>
      <c r="V387" s="409"/>
      <c r="W387" s="431"/>
      <c r="X387" s="434"/>
      <c r="Y387" s="409"/>
      <c r="Z387" s="409"/>
      <c r="AA387" s="409"/>
      <c r="AB387" s="431"/>
    </row>
    <row r="388" spans="1:28" ht="18" customHeight="1" x14ac:dyDescent="0.2">
      <c r="A388" s="437"/>
      <c r="B388" s="159" t="s">
        <v>884</v>
      </c>
      <c r="C388" s="431"/>
      <c r="D388" s="434"/>
      <c r="E388" s="409"/>
      <c r="F388" s="409"/>
      <c r="G388" s="409"/>
      <c r="H388" s="431"/>
      <c r="I388" s="434"/>
      <c r="J388" s="409"/>
      <c r="K388" s="409"/>
      <c r="L388" s="409"/>
      <c r="M388" s="440"/>
      <c r="N388" s="443"/>
      <c r="O388" s="409"/>
      <c r="P388" s="409"/>
      <c r="Q388" s="409"/>
      <c r="R388" s="431"/>
      <c r="S388" s="434"/>
      <c r="T388" s="409"/>
      <c r="U388" s="409"/>
      <c r="V388" s="409"/>
      <c r="W388" s="431"/>
      <c r="X388" s="434"/>
      <c r="Y388" s="409"/>
      <c r="Z388" s="409"/>
      <c r="AA388" s="409"/>
      <c r="AB388" s="431"/>
    </row>
    <row r="389" spans="1:28" ht="18" customHeight="1" x14ac:dyDescent="0.2">
      <c r="A389" s="437"/>
      <c r="B389" s="159" t="s">
        <v>885</v>
      </c>
      <c r="C389" s="431"/>
      <c r="D389" s="434"/>
      <c r="E389" s="409"/>
      <c r="F389" s="409"/>
      <c r="G389" s="409"/>
      <c r="H389" s="431"/>
      <c r="I389" s="434"/>
      <c r="J389" s="409"/>
      <c r="K389" s="409"/>
      <c r="L389" s="409"/>
      <c r="M389" s="440"/>
      <c r="N389" s="443"/>
      <c r="O389" s="409"/>
      <c r="P389" s="409"/>
      <c r="Q389" s="409"/>
      <c r="R389" s="431"/>
      <c r="S389" s="434"/>
      <c r="T389" s="409"/>
      <c r="U389" s="409"/>
      <c r="V389" s="409"/>
      <c r="W389" s="431"/>
      <c r="X389" s="434"/>
      <c r="Y389" s="409"/>
      <c r="Z389" s="409"/>
      <c r="AA389" s="409"/>
      <c r="AB389" s="431"/>
    </row>
    <row r="390" spans="1:28" ht="18" customHeight="1" x14ac:dyDescent="0.2">
      <c r="A390" s="437"/>
      <c r="B390" s="159" t="s">
        <v>886</v>
      </c>
      <c r="C390" s="431"/>
      <c r="D390" s="434"/>
      <c r="E390" s="409"/>
      <c r="F390" s="409"/>
      <c r="G390" s="409"/>
      <c r="H390" s="431"/>
      <c r="I390" s="434"/>
      <c r="J390" s="409"/>
      <c r="K390" s="409"/>
      <c r="L390" s="409"/>
      <c r="M390" s="440"/>
      <c r="N390" s="443"/>
      <c r="O390" s="409"/>
      <c r="P390" s="409"/>
      <c r="Q390" s="409"/>
      <c r="R390" s="431"/>
      <c r="S390" s="434"/>
      <c r="T390" s="409"/>
      <c r="U390" s="409"/>
      <c r="V390" s="409"/>
      <c r="W390" s="431"/>
      <c r="X390" s="434"/>
      <c r="Y390" s="409"/>
      <c r="Z390" s="409"/>
      <c r="AA390" s="409"/>
      <c r="AB390" s="431"/>
    </row>
    <row r="391" spans="1:28" ht="18" customHeight="1" x14ac:dyDescent="0.2">
      <c r="A391" s="437"/>
      <c r="B391" s="159" t="s">
        <v>887</v>
      </c>
      <c r="C391" s="431"/>
      <c r="D391" s="434"/>
      <c r="E391" s="409"/>
      <c r="F391" s="409"/>
      <c r="G391" s="409"/>
      <c r="H391" s="431"/>
      <c r="I391" s="434"/>
      <c r="J391" s="409"/>
      <c r="K391" s="409"/>
      <c r="L391" s="409"/>
      <c r="M391" s="440"/>
      <c r="N391" s="443"/>
      <c r="O391" s="409"/>
      <c r="P391" s="409"/>
      <c r="Q391" s="409"/>
      <c r="R391" s="431"/>
      <c r="S391" s="434"/>
      <c r="T391" s="409"/>
      <c r="U391" s="409"/>
      <c r="V391" s="409"/>
      <c r="W391" s="431"/>
      <c r="X391" s="434"/>
      <c r="Y391" s="409"/>
      <c r="Z391" s="409"/>
      <c r="AA391" s="409"/>
      <c r="AB391" s="431"/>
    </row>
    <row r="392" spans="1:28" ht="18" customHeight="1" x14ac:dyDescent="0.2">
      <c r="A392" s="437"/>
      <c r="B392" s="159" t="s">
        <v>1658</v>
      </c>
      <c r="C392" s="431"/>
      <c r="D392" s="434"/>
      <c r="E392" s="409"/>
      <c r="F392" s="409"/>
      <c r="G392" s="409"/>
      <c r="H392" s="431"/>
      <c r="I392" s="434"/>
      <c r="J392" s="409"/>
      <c r="K392" s="409"/>
      <c r="L392" s="409"/>
      <c r="M392" s="440"/>
      <c r="N392" s="443"/>
      <c r="O392" s="409"/>
      <c r="P392" s="409"/>
      <c r="Q392" s="409"/>
      <c r="R392" s="431"/>
      <c r="S392" s="434"/>
      <c r="T392" s="409"/>
      <c r="U392" s="409"/>
      <c r="V392" s="409"/>
      <c r="W392" s="431"/>
      <c r="X392" s="434"/>
      <c r="Y392" s="409"/>
      <c r="Z392" s="409"/>
      <c r="AA392" s="409"/>
      <c r="AB392" s="431"/>
    </row>
    <row r="393" spans="1:28" ht="14.25" customHeight="1" x14ac:dyDescent="0.2">
      <c r="A393" s="437"/>
      <c r="B393" s="157" t="s">
        <v>996</v>
      </c>
      <c r="C393" s="431"/>
      <c r="D393" s="434"/>
      <c r="E393" s="409"/>
      <c r="F393" s="409"/>
      <c r="G393" s="409"/>
      <c r="H393" s="431"/>
      <c r="I393" s="434"/>
      <c r="J393" s="409"/>
      <c r="K393" s="409"/>
      <c r="L393" s="409"/>
      <c r="M393" s="440"/>
      <c r="N393" s="443"/>
      <c r="O393" s="409"/>
      <c r="P393" s="409"/>
      <c r="Q393" s="409"/>
      <c r="R393" s="431"/>
      <c r="S393" s="434"/>
      <c r="T393" s="409"/>
      <c r="U393" s="409"/>
      <c r="V393" s="409"/>
      <c r="W393" s="431"/>
      <c r="X393" s="434"/>
      <c r="Y393" s="409"/>
      <c r="Z393" s="409"/>
      <c r="AA393" s="409"/>
      <c r="AB393" s="431"/>
    </row>
    <row r="394" spans="1:28" ht="18" customHeight="1" x14ac:dyDescent="0.2">
      <c r="A394" s="438"/>
      <c r="B394" s="159" t="s">
        <v>804</v>
      </c>
      <c r="C394" s="432"/>
      <c r="D394" s="435"/>
      <c r="E394" s="409"/>
      <c r="F394" s="409"/>
      <c r="G394" s="409"/>
      <c r="H394" s="432"/>
      <c r="I394" s="435"/>
      <c r="J394" s="409"/>
      <c r="K394" s="409"/>
      <c r="L394" s="409"/>
      <c r="M394" s="441"/>
      <c r="N394" s="444"/>
      <c r="O394" s="409"/>
      <c r="P394" s="409"/>
      <c r="Q394" s="409"/>
      <c r="R394" s="432"/>
      <c r="S394" s="435"/>
      <c r="T394" s="409"/>
      <c r="U394" s="409"/>
      <c r="V394" s="409"/>
      <c r="W394" s="432"/>
      <c r="X394" s="435"/>
      <c r="Y394" s="409"/>
      <c r="Z394" s="409"/>
      <c r="AA394" s="409"/>
      <c r="AB394" s="432"/>
    </row>
    <row r="395" spans="1:28" ht="21" customHeight="1" x14ac:dyDescent="0.2">
      <c r="A395" s="436" t="s">
        <v>27</v>
      </c>
      <c r="B395" s="154" t="s">
        <v>435</v>
      </c>
      <c r="C395" s="430">
        <f>D395+E395+F395+G395</f>
        <v>5379</v>
      </c>
      <c r="D395" s="433">
        <v>5379</v>
      </c>
      <c r="E395" s="409">
        <v>0</v>
      </c>
      <c r="F395" s="409">
        <v>0</v>
      </c>
      <c r="G395" s="409">
        <v>0</v>
      </c>
      <c r="H395" s="430">
        <f>I395+J395+K395+L395</f>
        <v>8539</v>
      </c>
      <c r="I395" s="433">
        <f>5209+3483-153</f>
        <v>8539</v>
      </c>
      <c r="J395" s="409">
        <v>0</v>
      </c>
      <c r="K395" s="409">
        <v>0</v>
      </c>
      <c r="L395" s="409">
        <v>0</v>
      </c>
      <c r="M395" s="439">
        <f>N395</f>
        <v>1231</v>
      </c>
      <c r="N395" s="442">
        <f>12265-10932-82-20</f>
        <v>1231</v>
      </c>
      <c r="O395" s="409">
        <v>0</v>
      </c>
      <c r="P395" s="409">
        <v>0</v>
      </c>
      <c r="Q395" s="409">
        <v>0</v>
      </c>
      <c r="R395" s="430">
        <f>S395</f>
        <v>0</v>
      </c>
      <c r="S395" s="433">
        <f>12265-12265</f>
        <v>0</v>
      </c>
      <c r="T395" s="409">
        <v>0</v>
      </c>
      <c r="U395" s="409">
        <v>0</v>
      </c>
      <c r="V395" s="409">
        <v>0</v>
      </c>
      <c r="W395" s="433">
        <v>0</v>
      </c>
      <c r="X395" s="433">
        <v>0</v>
      </c>
      <c r="Y395" s="409">
        <v>0</v>
      </c>
      <c r="Z395" s="409">
        <v>0</v>
      </c>
      <c r="AA395" s="409">
        <v>0</v>
      </c>
      <c r="AB395" s="430">
        <f>C395+H395+M395+R395+W395</f>
        <v>15149</v>
      </c>
    </row>
    <row r="396" spans="1:28" ht="18" customHeight="1" x14ac:dyDescent="0.2">
      <c r="A396" s="437"/>
      <c r="B396" s="157" t="s">
        <v>434</v>
      </c>
      <c r="C396" s="431"/>
      <c r="D396" s="434"/>
      <c r="E396" s="409"/>
      <c r="F396" s="409"/>
      <c r="G396" s="409"/>
      <c r="H396" s="431"/>
      <c r="I396" s="434"/>
      <c r="J396" s="409"/>
      <c r="K396" s="409"/>
      <c r="L396" s="409"/>
      <c r="M396" s="440"/>
      <c r="N396" s="443"/>
      <c r="O396" s="409"/>
      <c r="P396" s="409"/>
      <c r="Q396" s="409"/>
      <c r="R396" s="431"/>
      <c r="S396" s="434"/>
      <c r="T396" s="409"/>
      <c r="U396" s="409"/>
      <c r="V396" s="409"/>
      <c r="W396" s="434"/>
      <c r="X396" s="434"/>
      <c r="Y396" s="409"/>
      <c r="Z396" s="409"/>
      <c r="AA396" s="409"/>
      <c r="AB396" s="431"/>
    </row>
    <row r="397" spans="1:28" ht="18" customHeight="1" x14ac:dyDescent="0.2">
      <c r="A397" s="437"/>
      <c r="B397" s="159" t="s">
        <v>436</v>
      </c>
      <c r="C397" s="431"/>
      <c r="D397" s="434"/>
      <c r="E397" s="409"/>
      <c r="F397" s="409"/>
      <c r="G397" s="409"/>
      <c r="H397" s="431"/>
      <c r="I397" s="434"/>
      <c r="J397" s="409"/>
      <c r="K397" s="409"/>
      <c r="L397" s="409"/>
      <c r="M397" s="440"/>
      <c r="N397" s="443"/>
      <c r="O397" s="409"/>
      <c r="P397" s="409"/>
      <c r="Q397" s="409"/>
      <c r="R397" s="431"/>
      <c r="S397" s="434"/>
      <c r="T397" s="409"/>
      <c r="U397" s="409"/>
      <c r="V397" s="409"/>
      <c r="W397" s="434"/>
      <c r="X397" s="434"/>
      <c r="Y397" s="409"/>
      <c r="Z397" s="409"/>
      <c r="AA397" s="409"/>
      <c r="AB397" s="431"/>
    </row>
    <row r="398" spans="1:28" ht="18" customHeight="1" x14ac:dyDescent="0.2">
      <c r="A398" s="437"/>
      <c r="B398" s="159" t="s">
        <v>437</v>
      </c>
      <c r="C398" s="431"/>
      <c r="D398" s="434"/>
      <c r="E398" s="409"/>
      <c r="F398" s="409"/>
      <c r="G398" s="409"/>
      <c r="H398" s="431"/>
      <c r="I398" s="434"/>
      <c r="J398" s="409"/>
      <c r="K398" s="409"/>
      <c r="L398" s="409"/>
      <c r="M398" s="440"/>
      <c r="N398" s="443"/>
      <c r="O398" s="409"/>
      <c r="P398" s="409"/>
      <c r="Q398" s="409"/>
      <c r="R398" s="431"/>
      <c r="S398" s="434"/>
      <c r="T398" s="409"/>
      <c r="U398" s="409"/>
      <c r="V398" s="409"/>
      <c r="W398" s="434"/>
      <c r="X398" s="434"/>
      <c r="Y398" s="409"/>
      <c r="Z398" s="409"/>
      <c r="AA398" s="409"/>
      <c r="AB398" s="431"/>
    </row>
    <row r="399" spans="1:28" ht="18" customHeight="1" x14ac:dyDescent="0.2">
      <c r="A399" s="437"/>
      <c r="B399" s="157" t="s">
        <v>425</v>
      </c>
      <c r="C399" s="431"/>
      <c r="D399" s="434"/>
      <c r="E399" s="409"/>
      <c r="F399" s="409"/>
      <c r="G399" s="409"/>
      <c r="H399" s="431"/>
      <c r="I399" s="434"/>
      <c r="J399" s="409"/>
      <c r="K399" s="409"/>
      <c r="L399" s="409"/>
      <c r="M399" s="440"/>
      <c r="N399" s="443"/>
      <c r="O399" s="409"/>
      <c r="P399" s="409"/>
      <c r="Q399" s="409"/>
      <c r="R399" s="431"/>
      <c r="S399" s="434"/>
      <c r="T399" s="409"/>
      <c r="U399" s="409"/>
      <c r="V399" s="409"/>
      <c r="W399" s="434"/>
      <c r="X399" s="434"/>
      <c r="Y399" s="409"/>
      <c r="Z399" s="409"/>
      <c r="AA399" s="409"/>
      <c r="AB399" s="431"/>
    </row>
    <row r="400" spans="1:28" ht="18" customHeight="1" x14ac:dyDescent="0.2">
      <c r="A400" s="437"/>
      <c r="B400" s="159" t="s">
        <v>904</v>
      </c>
      <c r="C400" s="431"/>
      <c r="D400" s="434"/>
      <c r="E400" s="409"/>
      <c r="F400" s="409"/>
      <c r="G400" s="409"/>
      <c r="H400" s="431"/>
      <c r="I400" s="434"/>
      <c r="J400" s="409"/>
      <c r="K400" s="409"/>
      <c r="L400" s="409"/>
      <c r="M400" s="440"/>
      <c r="N400" s="443"/>
      <c r="O400" s="409"/>
      <c r="P400" s="409"/>
      <c r="Q400" s="409"/>
      <c r="R400" s="431"/>
      <c r="S400" s="434"/>
      <c r="T400" s="409"/>
      <c r="U400" s="409"/>
      <c r="V400" s="409"/>
      <c r="W400" s="434"/>
      <c r="X400" s="434"/>
      <c r="Y400" s="409"/>
      <c r="Z400" s="409"/>
      <c r="AA400" s="409"/>
      <c r="AB400" s="431"/>
    </row>
    <row r="401" spans="1:28" ht="18" customHeight="1" x14ac:dyDescent="0.2">
      <c r="A401" s="437"/>
      <c r="B401" s="159" t="s">
        <v>841</v>
      </c>
      <c r="C401" s="431"/>
      <c r="D401" s="434"/>
      <c r="E401" s="409"/>
      <c r="F401" s="409"/>
      <c r="G401" s="409"/>
      <c r="H401" s="431"/>
      <c r="I401" s="434"/>
      <c r="J401" s="409"/>
      <c r="K401" s="409"/>
      <c r="L401" s="409"/>
      <c r="M401" s="440"/>
      <c r="N401" s="443"/>
      <c r="O401" s="409"/>
      <c r="P401" s="409"/>
      <c r="Q401" s="409"/>
      <c r="R401" s="431"/>
      <c r="S401" s="434"/>
      <c r="T401" s="409"/>
      <c r="U401" s="409"/>
      <c r="V401" s="409"/>
      <c r="W401" s="434"/>
      <c r="X401" s="434"/>
      <c r="Y401" s="409"/>
      <c r="Z401" s="409"/>
      <c r="AA401" s="409"/>
      <c r="AB401" s="431"/>
    </row>
    <row r="402" spans="1:28" ht="18" customHeight="1" x14ac:dyDescent="0.2">
      <c r="A402" s="437"/>
      <c r="B402" s="157" t="s">
        <v>776</v>
      </c>
      <c r="C402" s="431"/>
      <c r="D402" s="434"/>
      <c r="E402" s="409"/>
      <c r="F402" s="409"/>
      <c r="G402" s="409"/>
      <c r="H402" s="431"/>
      <c r="I402" s="434"/>
      <c r="J402" s="409"/>
      <c r="K402" s="409"/>
      <c r="L402" s="409"/>
      <c r="M402" s="440"/>
      <c r="N402" s="443"/>
      <c r="O402" s="409"/>
      <c r="P402" s="409"/>
      <c r="Q402" s="409"/>
      <c r="R402" s="431"/>
      <c r="S402" s="434"/>
      <c r="T402" s="409"/>
      <c r="U402" s="409"/>
      <c r="V402" s="409"/>
      <c r="W402" s="434"/>
      <c r="X402" s="434"/>
      <c r="Y402" s="409"/>
      <c r="Z402" s="409"/>
      <c r="AA402" s="409"/>
      <c r="AB402" s="431"/>
    </row>
    <row r="403" spans="1:28" ht="18" customHeight="1" x14ac:dyDescent="0.2">
      <c r="A403" s="438"/>
      <c r="B403" s="159" t="s">
        <v>1646</v>
      </c>
      <c r="C403" s="432"/>
      <c r="D403" s="435"/>
      <c r="E403" s="409"/>
      <c r="F403" s="409"/>
      <c r="G403" s="409"/>
      <c r="H403" s="432"/>
      <c r="I403" s="435"/>
      <c r="J403" s="409"/>
      <c r="K403" s="409"/>
      <c r="L403" s="409"/>
      <c r="M403" s="441"/>
      <c r="N403" s="444"/>
      <c r="O403" s="409"/>
      <c r="P403" s="409"/>
      <c r="Q403" s="409"/>
      <c r="R403" s="432"/>
      <c r="S403" s="435"/>
      <c r="T403" s="409"/>
      <c r="U403" s="409"/>
      <c r="V403" s="409"/>
      <c r="W403" s="435"/>
      <c r="X403" s="435"/>
      <c r="Y403" s="409"/>
      <c r="Z403" s="409"/>
      <c r="AA403" s="409"/>
      <c r="AB403" s="432"/>
    </row>
    <row r="404" spans="1:28" ht="18.75" customHeight="1" x14ac:dyDescent="0.2">
      <c r="A404" s="436" t="s">
        <v>1068</v>
      </c>
      <c r="B404" s="154" t="s">
        <v>894</v>
      </c>
      <c r="C404" s="430">
        <v>0</v>
      </c>
      <c r="D404" s="433">
        <v>0</v>
      </c>
      <c r="E404" s="409"/>
      <c r="F404" s="409"/>
      <c r="G404" s="409"/>
      <c r="H404" s="430">
        <f>I404</f>
        <v>65</v>
      </c>
      <c r="I404" s="433">
        <v>65</v>
      </c>
      <c r="J404" s="409"/>
      <c r="K404" s="409"/>
      <c r="L404" s="409"/>
      <c r="M404" s="430">
        <f>N404</f>
        <v>1076</v>
      </c>
      <c r="N404" s="433">
        <v>1076</v>
      </c>
      <c r="O404" s="409"/>
      <c r="P404" s="409"/>
      <c r="Q404" s="409"/>
      <c r="R404" s="430">
        <f>S404</f>
        <v>1752</v>
      </c>
      <c r="S404" s="433">
        <v>1752</v>
      </c>
      <c r="T404" s="409"/>
      <c r="U404" s="409"/>
      <c r="V404" s="409"/>
      <c r="W404" s="430">
        <f>X404</f>
        <v>0</v>
      </c>
      <c r="X404" s="433">
        <v>0</v>
      </c>
      <c r="Y404" s="409"/>
      <c r="Z404" s="409"/>
      <c r="AA404" s="409"/>
      <c r="AB404" s="430">
        <f>C404+H404+M404+R404+W404</f>
        <v>2893</v>
      </c>
    </row>
    <row r="405" spans="1:28" ht="18" customHeight="1" x14ac:dyDescent="0.2">
      <c r="A405" s="437"/>
      <c r="B405" s="157" t="s">
        <v>776</v>
      </c>
      <c r="C405" s="431"/>
      <c r="D405" s="434"/>
      <c r="E405" s="409"/>
      <c r="F405" s="409"/>
      <c r="G405" s="409"/>
      <c r="H405" s="431"/>
      <c r="I405" s="434"/>
      <c r="J405" s="409"/>
      <c r="K405" s="409"/>
      <c r="L405" s="409"/>
      <c r="M405" s="431"/>
      <c r="N405" s="434"/>
      <c r="O405" s="409"/>
      <c r="P405" s="409"/>
      <c r="Q405" s="409"/>
      <c r="R405" s="431"/>
      <c r="S405" s="434"/>
      <c r="T405" s="409"/>
      <c r="U405" s="409"/>
      <c r="V405" s="409"/>
      <c r="W405" s="431"/>
      <c r="X405" s="434"/>
      <c r="Y405" s="409"/>
      <c r="Z405" s="409"/>
      <c r="AA405" s="409"/>
      <c r="AB405" s="431"/>
    </row>
    <row r="406" spans="1:28" ht="18" customHeight="1" x14ac:dyDescent="0.2">
      <c r="A406" s="437"/>
      <c r="B406" s="159" t="s">
        <v>892</v>
      </c>
      <c r="C406" s="431"/>
      <c r="D406" s="434"/>
      <c r="E406" s="409"/>
      <c r="F406" s="409"/>
      <c r="G406" s="409"/>
      <c r="H406" s="431"/>
      <c r="I406" s="434"/>
      <c r="J406" s="409"/>
      <c r="K406" s="409"/>
      <c r="L406" s="409"/>
      <c r="M406" s="431"/>
      <c r="N406" s="434"/>
      <c r="O406" s="409"/>
      <c r="P406" s="409"/>
      <c r="Q406" s="409"/>
      <c r="R406" s="431"/>
      <c r="S406" s="434"/>
      <c r="T406" s="409"/>
      <c r="U406" s="409"/>
      <c r="V406" s="409"/>
      <c r="W406" s="431"/>
      <c r="X406" s="434"/>
      <c r="Y406" s="409"/>
      <c r="Z406" s="409"/>
      <c r="AA406" s="409"/>
      <c r="AB406" s="431"/>
    </row>
    <row r="407" spans="1:28" ht="18" customHeight="1" x14ac:dyDescent="0.2">
      <c r="A407" s="437"/>
      <c r="B407" s="159" t="s">
        <v>1649</v>
      </c>
      <c r="C407" s="431"/>
      <c r="D407" s="434"/>
      <c r="E407" s="409"/>
      <c r="F407" s="409"/>
      <c r="G407" s="409"/>
      <c r="H407" s="431"/>
      <c r="I407" s="434"/>
      <c r="J407" s="409"/>
      <c r="K407" s="409"/>
      <c r="L407" s="409"/>
      <c r="M407" s="431"/>
      <c r="N407" s="434"/>
      <c r="O407" s="409"/>
      <c r="P407" s="409"/>
      <c r="Q407" s="409"/>
      <c r="R407" s="431"/>
      <c r="S407" s="434"/>
      <c r="T407" s="409"/>
      <c r="U407" s="409"/>
      <c r="V407" s="409"/>
      <c r="W407" s="431"/>
      <c r="X407" s="434"/>
      <c r="Y407" s="409"/>
      <c r="Z407" s="409"/>
      <c r="AA407" s="409"/>
      <c r="AB407" s="431"/>
    </row>
    <row r="408" spans="1:28" ht="18" customHeight="1" x14ac:dyDescent="0.2">
      <c r="A408" s="437"/>
      <c r="B408" s="159" t="s">
        <v>1650</v>
      </c>
      <c r="C408" s="431"/>
      <c r="D408" s="434"/>
      <c r="E408" s="409"/>
      <c r="F408" s="409"/>
      <c r="G408" s="409"/>
      <c r="H408" s="431"/>
      <c r="I408" s="434"/>
      <c r="J408" s="409"/>
      <c r="K408" s="409"/>
      <c r="L408" s="409"/>
      <c r="M408" s="431"/>
      <c r="N408" s="434"/>
      <c r="O408" s="409"/>
      <c r="P408" s="409"/>
      <c r="Q408" s="409"/>
      <c r="R408" s="431"/>
      <c r="S408" s="434"/>
      <c r="T408" s="409"/>
      <c r="U408" s="409"/>
      <c r="V408" s="409"/>
      <c r="W408" s="431"/>
      <c r="X408" s="434"/>
      <c r="Y408" s="409"/>
      <c r="Z408" s="409"/>
      <c r="AA408" s="409"/>
      <c r="AB408" s="431"/>
    </row>
    <row r="409" spans="1:28" ht="18" customHeight="1" x14ac:dyDescent="0.2">
      <c r="A409" s="437"/>
      <c r="B409" s="159" t="s">
        <v>1647</v>
      </c>
      <c r="C409" s="431"/>
      <c r="D409" s="434"/>
      <c r="E409" s="409"/>
      <c r="F409" s="409"/>
      <c r="G409" s="409"/>
      <c r="H409" s="431"/>
      <c r="I409" s="434"/>
      <c r="J409" s="409"/>
      <c r="K409" s="409"/>
      <c r="L409" s="409"/>
      <c r="M409" s="431"/>
      <c r="N409" s="434"/>
      <c r="O409" s="409"/>
      <c r="P409" s="409"/>
      <c r="Q409" s="409"/>
      <c r="R409" s="431"/>
      <c r="S409" s="434"/>
      <c r="T409" s="409"/>
      <c r="U409" s="409"/>
      <c r="V409" s="409"/>
      <c r="W409" s="431"/>
      <c r="X409" s="434"/>
      <c r="Y409" s="409"/>
      <c r="Z409" s="409"/>
      <c r="AA409" s="409"/>
      <c r="AB409" s="431"/>
    </row>
    <row r="410" spans="1:28" ht="18" customHeight="1" x14ac:dyDescent="0.2">
      <c r="A410" s="437"/>
      <c r="B410" s="159" t="s">
        <v>1648</v>
      </c>
      <c r="C410" s="431"/>
      <c r="D410" s="434"/>
      <c r="E410" s="409"/>
      <c r="F410" s="409"/>
      <c r="G410" s="409"/>
      <c r="H410" s="431"/>
      <c r="I410" s="434"/>
      <c r="J410" s="409"/>
      <c r="K410" s="409"/>
      <c r="L410" s="409"/>
      <c r="M410" s="431"/>
      <c r="N410" s="434"/>
      <c r="O410" s="409"/>
      <c r="P410" s="409"/>
      <c r="Q410" s="409"/>
      <c r="R410" s="431"/>
      <c r="S410" s="434"/>
      <c r="T410" s="409"/>
      <c r="U410" s="409"/>
      <c r="V410" s="409"/>
      <c r="W410" s="431"/>
      <c r="X410" s="434"/>
      <c r="Y410" s="409"/>
      <c r="Z410" s="409"/>
      <c r="AA410" s="409"/>
      <c r="AB410" s="431"/>
    </row>
    <row r="411" spans="1:28" ht="18" customHeight="1" x14ac:dyDescent="0.2">
      <c r="A411" s="437"/>
      <c r="B411" s="157" t="s">
        <v>863</v>
      </c>
      <c r="C411" s="431"/>
      <c r="D411" s="434"/>
      <c r="E411" s="409"/>
      <c r="F411" s="409"/>
      <c r="G411" s="409"/>
      <c r="H411" s="431"/>
      <c r="I411" s="434"/>
      <c r="J411" s="409"/>
      <c r="K411" s="409"/>
      <c r="L411" s="409"/>
      <c r="M411" s="431"/>
      <c r="N411" s="434"/>
      <c r="O411" s="409"/>
      <c r="P411" s="409"/>
      <c r="Q411" s="409"/>
      <c r="R411" s="431"/>
      <c r="S411" s="434"/>
      <c r="T411" s="409"/>
      <c r="U411" s="409"/>
      <c r="V411" s="409"/>
      <c r="W411" s="431"/>
      <c r="X411" s="434"/>
      <c r="Y411" s="409"/>
      <c r="Z411" s="409"/>
      <c r="AA411" s="409"/>
      <c r="AB411" s="431"/>
    </row>
    <row r="412" spans="1:28" ht="18" customHeight="1" x14ac:dyDescent="0.2">
      <c r="A412" s="437"/>
      <c r="B412" s="159" t="s">
        <v>888</v>
      </c>
      <c r="C412" s="431"/>
      <c r="D412" s="434"/>
      <c r="E412" s="409"/>
      <c r="F412" s="409"/>
      <c r="G412" s="409"/>
      <c r="H412" s="431"/>
      <c r="I412" s="434"/>
      <c r="J412" s="409"/>
      <c r="K412" s="409"/>
      <c r="L412" s="409"/>
      <c r="M412" s="431"/>
      <c r="N412" s="434"/>
      <c r="O412" s="409"/>
      <c r="P412" s="409"/>
      <c r="Q412" s="409"/>
      <c r="R412" s="431"/>
      <c r="S412" s="434"/>
      <c r="T412" s="409"/>
      <c r="U412" s="409"/>
      <c r="V412" s="409"/>
      <c r="W412" s="431"/>
      <c r="X412" s="434"/>
      <c r="Y412" s="409"/>
      <c r="Z412" s="409"/>
      <c r="AA412" s="409"/>
      <c r="AB412" s="431"/>
    </row>
    <row r="413" spans="1:28" ht="18" customHeight="1" x14ac:dyDescent="0.2">
      <c r="A413" s="437"/>
      <c r="B413" s="159" t="s">
        <v>889</v>
      </c>
      <c r="C413" s="431"/>
      <c r="D413" s="434"/>
      <c r="E413" s="409"/>
      <c r="F413" s="409"/>
      <c r="G413" s="409"/>
      <c r="H413" s="431"/>
      <c r="I413" s="434"/>
      <c r="J413" s="409"/>
      <c r="K413" s="409"/>
      <c r="L413" s="409"/>
      <c r="M413" s="431"/>
      <c r="N413" s="434"/>
      <c r="O413" s="409"/>
      <c r="P413" s="409"/>
      <c r="Q413" s="409"/>
      <c r="R413" s="431"/>
      <c r="S413" s="434"/>
      <c r="T413" s="409"/>
      <c r="U413" s="409"/>
      <c r="V413" s="409"/>
      <c r="W413" s="431"/>
      <c r="X413" s="434"/>
      <c r="Y413" s="409"/>
      <c r="Z413" s="409"/>
      <c r="AA413" s="409"/>
      <c r="AB413" s="431"/>
    </row>
    <row r="414" spans="1:28" ht="18" customHeight="1" x14ac:dyDescent="0.2">
      <c r="A414" s="437"/>
      <c r="B414" s="159" t="s">
        <v>890</v>
      </c>
      <c r="C414" s="431"/>
      <c r="D414" s="434"/>
      <c r="E414" s="409"/>
      <c r="F414" s="409"/>
      <c r="G414" s="409"/>
      <c r="H414" s="431"/>
      <c r="I414" s="434"/>
      <c r="J414" s="409"/>
      <c r="K414" s="409"/>
      <c r="L414" s="409"/>
      <c r="M414" s="431"/>
      <c r="N414" s="434"/>
      <c r="O414" s="409"/>
      <c r="P414" s="409"/>
      <c r="Q414" s="409"/>
      <c r="R414" s="431"/>
      <c r="S414" s="434"/>
      <c r="T414" s="409"/>
      <c r="U414" s="409"/>
      <c r="V414" s="409"/>
      <c r="W414" s="431"/>
      <c r="X414" s="434"/>
      <c r="Y414" s="409"/>
      <c r="Z414" s="409"/>
      <c r="AA414" s="409"/>
      <c r="AB414" s="431"/>
    </row>
    <row r="415" spans="1:28" ht="18" customHeight="1" x14ac:dyDescent="0.2">
      <c r="A415" s="438"/>
      <c r="B415" s="159" t="s">
        <v>891</v>
      </c>
      <c r="C415" s="432"/>
      <c r="D415" s="435"/>
      <c r="E415" s="409"/>
      <c r="F415" s="409"/>
      <c r="G415" s="409"/>
      <c r="H415" s="432"/>
      <c r="I415" s="435"/>
      <c r="J415" s="409"/>
      <c r="K415" s="409"/>
      <c r="L415" s="409"/>
      <c r="M415" s="432"/>
      <c r="N415" s="435"/>
      <c r="O415" s="409"/>
      <c r="P415" s="409"/>
      <c r="Q415" s="409"/>
      <c r="R415" s="432"/>
      <c r="S415" s="435"/>
      <c r="T415" s="409"/>
      <c r="U415" s="409"/>
      <c r="V415" s="409"/>
      <c r="W415" s="432"/>
      <c r="X415" s="435"/>
      <c r="Y415" s="409"/>
      <c r="Z415" s="409"/>
      <c r="AA415" s="409"/>
      <c r="AB415" s="432"/>
    </row>
    <row r="416" spans="1:28" ht="13.5" customHeight="1" x14ac:dyDescent="0.2">
      <c r="A416" s="436" t="s">
        <v>1069</v>
      </c>
      <c r="B416" s="154" t="s">
        <v>438</v>
      </c>
      <c r="C416" s="430">
        <f>D416+E416+F416+G416</f>
        <v>3478</v>
      </c>
      <c r="D416" s="433">
        <v>3478</v>
      </c>
      <c r="E416" s="156">
        <v>0</v>
      </c>
      <c r="F416" s="156">
        <v>0</v>
      </c>
      <c r="G416" s="156">
        <v>0</v>
      </c>
      <c r="H416" s="430">
        <f>I416+J416+K416+L416</f>
        <v>797</v>
      </c>
      <c r="I416" s="433">
        <f>4667-3870</f>
        <v>797</v>
      </c>
      <c r="J416" s="156">
        <v>0</v>
      </c>
      <c r="K416" s="156">
        <v>0</v>
      </c>
      <c r="L416" s="156">
        <v>0</v>
      </c>
      <c r="M416" s="439">
        <f>N416</f>
        <v>2619</v>
      </c>
      <c r="N416" s="442">
        <f>0+2619</f>
        <v>2619</v>
      </c>
      <c r="O416" s="156">
        <v>0</v>
      </c>
      <c r="P416" s="156">
        <v>0</v>
      </c>
      <c r="Q416" s="156">
        <v>0</v>
      </c>
      <c r="R416" s="430">
        <f>S416</f>
        <v>0</v>
      </c>
      <c r="S416" s="433">
        <v>0</v>
      </c>
      <c r="T416" s="156">
        <v>0</v>
      </c>
      <c r="U416" s="156">
        <v>0</v>
      </c>
      <c r="V416" s="156">
        <v>0</v>
      </c>
      <c r="W416" s="433">
        <v>0</v>
      </c>
      <c r="X416" s="433">
        <v>0</v>
      </c>
      <c r="Y416" s="156">
        <v>0</v>
      </c>
      <c r="Z416" s="156">
        <v>0</v>
      </c>
      <c r="AA416" s="156">
        <v>0</v>
      </c>
      <c r="AB416" s="430">
        <f>C416+H416+M416+R416+W416</f>
        <v>6894</v>
      </c>
    </row>
    <row r="417" spans="1:28" ht="15.75" customHeight="1" x14ac:dyDescent="0.2">
      <c r="A417" s="437"/>
      <c r="B417" s="157" t="s">
        <v>434</v>
      </c>
      <c r="C417" s="431"/>
      <c r="D417" s="434"/>
      <c r="E417" s="156"/>
      <c r="F417" s="156"/>
      <c r="G417" s="156"/>
      <c r="H417" s="431"/>
      <c r="I417" s="434"/>
      <c r="J417" s="156"/>
      <c r="K417" s="156"/>
      <c r="L417" s="156"/>
      <c r="M417" s="440"/>
      <c r="N417" s="443"/>
      <c r="O417" s="156"/>
      <c r="P417" s="156"/>
      <c r="Q417" s="156"/>
      <c r="R417" s="431"/>
      <c r="S417" s="434"/>
      <c r="T417" s="156"/>
      <c r="U417" s="156"/>
      <c r="V417" s="156"/>
      <c r="W417" s="434"/>
      <c r="X417" s="434"/>
      <c r="Y417" s="156"/>
      <c r="Z417" s="156"/>
      <c r="AA417" s="156"/>
      <c r="AB417" s="431"/>
    </row>
    <row r="418" spans="1:28" ht="15" customHeight="1" x14ac:dyDescent="0.2">
      <c r="A418" s="437"/>
      <c r="B418" s="159" t="s">
        <v>439</v>
      </c>
      <c r="C418" s="431"/>
      <c r="D418" s="434"/>
      <c r="E418" s="156"/>
      <c r="F418" s="156"/>
      <c r="G418" s="156"/>
      <c r="H418" s="431"/>
      <c r="I418" s="434"/>
      <c r="J418" s="156"/>
      <c r="K418" s="156"/>
      <c r="L418" s="156"/>
      <c r="M418" s="440"/>
      <c r="N418" s="443"/>
      <c r="O418" s="156"/>
      <c r="P418" s="156"/>
      <c r="Q418" s="156"/>
      <c r="R418" s="431"/>
      <c r="S418" s="434"/>
      <c r="T418" s="156"/>
      <c r="U418" s="156"/>
      <c r="V418" s="156"/>
      <c r="W418" s="434"/>
      <c r="X418" s="434"/>
      <c r="Y418" s="156"/>
      <c r="Z418" s="156"/>
      <c r="AA418" s="156"/>
      <c r="AB418" s="431"/>
    </row>
    <row r="419" spans="1:28" ht="15.75" customHeight="1" x14ac:dyDescent="0.2">
      <c r="A419" s="437"/>
      <c r="B419" s="157" t="s">
        <v>425</v>
      </c>
      <c r="C419" s="431"/>
      <c r="D419" s="434"/>
      <c r="E419" s="158"/>
      <c r="F419" s="158"/>
      <c r="G419" s="158"/>
      <c r="H419" s="431"/>
      <c r="I419" s="434"/>
      <c r="J419" s="158"/>
      <c r="K419" s="158"/>
      <c r="L419" s="158"/>
      <c r="M419" s="440"/>
      <c r="N419" s="443"/>
      <c r="O419" s="158"/>
      <c r="P419" s="158"/>
      <c r="Q419" s="158"/>
      <c r="R419" s="431"/>
      <c r="S419" s="434"/>
      <c r="T419" s="158"/>
      <c r="U419" s="158"/>
      <c r="V419" s="158"/>
      <c r="W419" s="434"/>
      <c r="X419" s="434"/>
      <c r="Y419" s="158"/>
      <c r="Z419" s="158"/>
      <c r="AA419" s="158"/>
      <c r="AB419" s="431"/>
    </row>
    <row r="420" spans="1:28" ht="13.5" customHeight="1" x14ac:dyDescent="0.2">
      <c r="A420" s="437"/>
      <c r="B420" s="159" t="s">
        <v>896</v>
      </c>
      <c r="C420" s="431"/>
      <c r="D420" s="434"/>
      <c r="E420" s="155"/>
      <c r="F420" s="155"/>
      <c r="G420" s="155"/>
      <c r="H420" s="431"/>
      <c r="I420" s="434"/>
      <c r="J420" s="155"/>
      <c r="K420" s="155"/>
      <c r="L420" s="155"/>
      <c r="M420" s="440"/>
      <c r="N420" s="443"/>
      <c r="O420" s="155"/>
      <c r="P420" s="155"/>
      <c r="Q420" s="155"/>
      <c r="R420" s="431"/>
      <c r="S420" s="434"/>
      <c r="T420" s="155"/>
      <c r="U420" s="155"/>
      <c r="V420" s="155"/>
      <c r="W420" s="434"/>
      <c r="X420" s="434"/>
      <c r="Y420" s="155"/>
      <c r="Z420" s="155"/>
      <c r="AA420" s="155"/>
      <c r="AB420" s="431"/>
    </row>
    <row r="421" spans="1:28" ht="18" customHeight="1" x14ac:dyDescent="0.2">
      <c r="A421" s="437"/>
      <c r="B421" s="159" t="s">
        <v>893</v>
      </c>
      <c r="C421" s="431"/>
      <c r="D421" s="434"/>
      <c r="E421" s="156"/>
      <c r="F421" s="156"/>
      <c r="G421" s="156"/>
      <c r="H421" s="431"/>
      <c r="I421" s="434"/>
      <c r="J421" s="156"/>
      <c r="K421" s="156"/>
      <c r="L421" s="156"/>
      <c r="M421" s="440"/>
      <c r="N421" s="443"/>
      <c r="O421" s="156"/>
      <c r="P421" s="156"/>
      <c r="Q421" s="156"/>
      <c r="R421" s="431"/>
      <c r="S421" s="434"/>
      <c r="T421" s="156"/>
      <c r="U421" s="156"/>
      <c r="V421" s="156"/>
      <c r="W421" s="434"/>
      <c r="X421" s="434"/>
      <c r="Y421" s="156"/>
      <c r="Z421" s="156"/>
      <c r="AA421" s="156"/>
      <c r="AB421" s="431"/>
    </row>
    <row r="422" spans="1:28" ht="18" customHeight="1" x14ac:dyDescent="0.2">
      <c r="A422" s="445"/>
      <c r="B422" s="157" t="s">
        <v>776</v>
      </c>
      <c r="C422" s="431"/>
      <c r="D422" s="434"/>
      <c r="E422" s="343"/>
      <c r="F422" s="343"/>
      <c r="G422" s="343"/>
      <c r="H422" s="431"/>
      <c r="I422" s="434"/>
      <c r="J422" s="343"/>
      <c r="K422" s="343"/>
      <c r="L422" s="343"/>
      <c r="M422" s="440"/>
      <c r="N422" s="443"/>
      <c r="O422" s="343"/>
      <c r="P422" s="343"/>
      <c r="Q422" s="343"/>
      <c r="R422" s="431"/>
      <c r="S422" s="434"/>
      <c r="T422" s="343"/>
      <c r="U422" s="343"/>
      <c r="V422" s="343"/>
      <c r="W422" s="434"/>
      <c r="X422" s="434"/>
      <c r="Y422" s="343"/>
      <c r="Z422" s="343"/>
      <c r="AA422" s="343"/>
      <c r="AB422" s="431"/>
    </row>
    <row r="423" spans="1:28" ht="18" customHeight="1" x14ac:dyDescent="0.2">
      <c r="A423" s="447"/>
      <c r="B423" s="358" t="s">
        <v>1816</v>
      </c>
      <c r="C423" s="432"/>
      <c r="D423" s="435"/>
      <c r="E423" s="343"/>
      <c r="F423" s="343"/>
      <c r="G423" s="343"/>
      <c r="H423" s="432"/>
      <c r="I423" s="435"/>
      <c r="J423" s="343"/>
      <c r="K423" s="343"/>
      <c r="L423" s="343"/>
      <c r="M423" s="441"/>
      <c r="N423" s="444"/>
      <c r="O423" s="343"/>
      <c r="P423" s="343"/>
      <c r="Q423" s="343"/>
      <c r="R423" s="432"/>
      <c r="S423" s="435"/>
      <c r="T423" s="343"/>
      <c r="U423" s="343"/>
      <c r="V423" s="343"/>
      <c r="W423" s="435"/>
      <c r="X423" s="435"/>
      <c r="Y423" s="343"/>
      <c r="Z423" s="343"/>
      <c r="AA423" s="343"/>
      <c r="AB423" s="432"/>
    </row>
    <row r="424" spans="1:28" ht="18" customHeight="1" x14ac:dyDescent="0.2">
      <c r="A424" s="6" t="s">
        <v>1070</v>
      </c>
      <c r="B424" s="170" t="s">
        <v>596</v>
      </c>
      <c r="C424" s="163">
        <f>SUM(D424:G424)</f>
        <v>1700</v>
      </c>
      <c r="D424" s="156">
        <v>1700</v>
      </c>
      <c r="E424" s="156"/>
      <c r="F424" s="156"/>
      <c r="G424" s="156"/>
      <c r="H424" s="163">
        <f>I424</f>
        <v>2742</v>
      </c>
      <c r="I424" s="156">
        <f>2000+147+411+184</f>
        <v>2742</v>
      </c>
      <c r="J424" s="156"/>
      <c r="K424" s="156"/>
      <c r="L424" s="156"/>
      <c r="M424" s="363">
        <f>N424</f>
        <v>2996</v>
      </c>
      <c r="N424" s="364">
        <f>2000+996</f>
        <v>2996</v>
      </c>
      <c r="O424" s="156"/>
      <c r="P424" s="156"/>
      <c r="Q424" s="156"/>
      <c r="R424" s="163">
        <f>S424</f>
        <v>5529</v>
      </c>
      <c r="S424" s="156">
        <f>2000+3529</f>
        <v>5529</v>
      </c>
      <c r="T424" s="156"/>
      <c r="U424" s="156"/>
      <c r="V424" s="156"/>
      <c r="W424" s="163">
        <f>X424</f>
        <v>5529</v>
      </c>
      <c r="X424" s="156">
        <f>4500+1029</f>
        <v>5529</v>
      </c>
      <c r="Y424" s="156"/>
      <c r="Z424" s="156"/>
      <c r="AA424" s="156"/>
      <c r="AB424" s="163">
        <f>R424+W424+C424+H424+M424</f>
        <v>18496</v>
      </c>
    </row>
    <row r="425" spans="1:28" ht="18" customHeight="1" x14ac:dyDescent="0.2">
      <c r="A425" s="6" t="s">
        <v>1071</v>
      </c>
      <c r="B425" s="170" t="s">
        <v>100</v>
      </c>
      <c r="C425" s="163">
        <f>SUM(D425:G425)</f>
        <v>0</v>
      </c>
      <c r="D425" s="156">
        <v>0</v>
      </c>
      <c r="E425" s="156">
        <v>0</v>
      </c>
      <c r="F425" s="156">
        <v>0</v>
      </c>
      <c r="G425" s="156">
        <v>0</v>
      </c>
      <c r="H425" s="163">
        <f>SUM(I425:L425)</f>
        <v>0</v>
      </c>
      <c r="I425" s="156">
        <v>0</v>
      </c>
      <c r="J425" s="156">
        <v>0</v>
      </c>
      <c r="K425" s="156">
        <v>0</v>
      </c>
      <c r="L425" s="156">
        <v>0</v>
      </c>
      <c r="M425" s="363">
        <f>SUM(N425:Q425)</f>
        <v>0</v>
      </c>
      <c r="N425" s="364">
        <v>0</v>
      </c>
      <c r="O425" s="156">
        <v>0</v>
      </c>
      <c r="P425" s="156">
        <v>0</v>
      </c>
      <c r="Q425" s="156">
        <v>0</v>
      </c>
      <c r="R425" s="163">
        <f>SUM(S425:V425)</f>
        <v>0</v>
      </c>
      <c r="S425" s="156">
        <v>0</v>
      </c>
      <c r="T425" s="156">
        <v>0</v>
      </c>
      <c r="U425" s="156">
        <v>0</v>
      </c>
      <c r="V425" s="156">
        <v>0</v>
      </c>
      <c r="W425" s="163">
        <f>SUM(X425:AA425)</f>
        <v>0</v>
      </c>
      <c r="X425" s="156">
        <v>0</v>
      </c>
      <c r="Y425" s="156">
        <v>0</v>
      </c>
      <c r="Z425" s="156">
        <v>0</v>
      </c>
      <c r="AA425" s="156">
        <v>0</v>
      </c>
      <c r="AB425" s="163">
        <f>C425+H425+M425+R425+W425</f>
        <v>0</v>
      </c>
    </row>
    <row r="426" spans="1:28" ht="18" customHeight="1" x14ac:dyDescent="0.2">
      <c r="A426" s="6" t="s">
        <v>1072</v>
      </c>
      <c r="B426" s="170" t="s">
        <v>98</v>
      </c>
      <c r="C426" s="163">
        <f>SUM(D426:G426)</f>
        <v>3594</v>
      </c>
      <c r="D426" s="156">
        <v>3594</v>
      </c>
      <c r="E426" s="156">
        <v>0</v>
      </c>
      <c r="F426" s="156">
        <v>0</v>
      </c>
      <c r="G426" s="156">
        <v>0</v>
      </c>
      <c r="H426" s="163">
        <f>SUM(I426:L426)</f>
        <v>3788</v>
      </c>
      <c r="I426" s="156">
        <f>4176-388</f>
        <v>3788</v>
      </c>
      <c r="J426" s="156">
        <v>0</v>
      </c>
      <c r="K426" s="156">
        <v>0</v>
      </c>
      <c r="L426" s="156">
        <v>0</v>
      </c>
      <c r="M426" s="363">
        <f>SUM(N426:Q426)</f>
        <v>4176</v>
      </c>
      <c r="N426" s="364">
        <f>4575-399</f>
        <v>4176</v>
      </c>
      <c r="O426" s="156">
        <v>0</v>
      </c>
      <c r="P426" s="156">
        <v>0</v>
      </c>
      <c r="Q426" s="156">
        <v>0</v>
      </c>
      <c r="R426" s="163">
        <f>SUM(S426:V426)</f>
        <v>4342</v>
      </c>
      <c r="S426" s="156">
        <f>4575-233</f>
        <v>4342</v>
      </c>
      <c r="T426" s="156">
        <v>0</v>
      </c>
      <c r="U426" s="156">
        <v>0</v>
      </c>
      <c r="V426" s="156">
        <v>0</v>
      </c>
      <c r="W426" s="163">
        <f>SUM(X426:AA426)</f>
        <v>4342</v>
      </c>
      <c r="X426" s="156">
        <f>4176+166</f>
        <v>4342</v>
      </c>
      <c r="Y426" s="156">
        <v>0</v>
      </c>
      <c r="Z426" s="156">
        <v>0</v>
      </c>
      <c r="AA426" s="156">
        <v>0</v>
      </c>
      <c r="AB426" s="163">
        <f>C426+H426+M426+R426+W426</f>
        <v>20242</v>
      </c>
    </row>
    <row r="427" spans="1:28" ht="18" customHeight="1" x14ac:dyDescent="0.2">
      <c r="A427" s="451" t="s">
        <v>1073</v>
      </c>
      <c r="B427" s="159" t="s">
        <v>1041</v>
      </c>
      <c r="C427" s="446">
        <f>SUM(D427:G427)</f>
        <v>0</v>
      </c>
      <c r="D427" s="433">
        <v>0</v>
      </c>
      <c r="E427" s="156">
        <v>0</v>
      </c>
      <c r="F427" s="156">
        <v>0</v>
      </c>
      <c r="G427" s="156">
        <v>0</v>
      </c>
      <c r="H427" s="430">
        <f>SUM(I427:L427)</f>
        <v>716</v>
      </c>
      <c r="I427" s="433">
        <f>1557-841</f>
        <v>716</v>
      </c>
      <c r="J427" s="156">
        <v>0</v>
      </c>
      <c r="K427" s="156">
        <v>0</v>
      </c>
      <c r="L427" s="156">
        <v>0</v>
      </c>
      <c r="M427" s="439">
        <f>SUM(N427:Q427)</f>
        <v>1587</v>
      </c>
      <c r="N427" s="442">
        <f>117+684-117-486+518+687+161+23</f>
        <v>1587</v>
      </c>
      <c r="O427" s="156">
        <v>0</v>
      </c>
      <c r="P427" s="156">
        <v>0</v>
      </c>
      <c r="Q427" s="156">
        <v>0</v>
      </c>
      <c r="R427" s="430">
        <f>SUM(S427:V427)</f>
        <v>716</v>
      </c>
      <c r="S427" s="433">
        <v>716</v>
      </c>
      <c r="T427" s="156">
        <v>0</v>
      </c>
      <c r="U427" s="156">
        <v>0</v>
      </c>
      <c r="V427" s="156">
        <v>0</v>
      </c>
      <c r="W427" s="430">
        <f>SUM(X427:AA427)</f>
        <v>0</v>
      </c>
      <c r="X427" s="433">
        <v>0</v>
      </c>
      <c r="Y427" s="156">
        <v>0</v>
      </c>
      <c r="Z427" s="156">
        <v>0</v>
      </c>
      <c r="AA427" s="156">
        <v>0</v>
      </c>
      <c r="AB427" s="430">
        <f>C427+H427+M427+R427+W427</f>
        <v>3019</v>
      </c>
    </row>
    <row r="428" spans="1:28" ht="18" customHeight="1" x14ac:dyDescent="0.2">
      <c r="A428" s="437"/>
      <c r="B428" s="157" t="s">
        <v>425</v>
      </c>
      <c r="C428" s="431"/>
      <c r="D428" s="434"/>
      <c r="E428" s="156"/>
      <c r="F428" s="156"/>
      <c r="G428" s="156"/>
      <c r="H428" s="431"/>
      <c r="I428" s="434"/>
      <c r="J428" s="156"/>
      <c r="K428" s="156"/>
      <c r="L428" s="156"/>
      <c r="M428" s="440"/>
      <c r="N428" s="443"/>
      <c r="O428" s="156"/>
      <c r="P428" s="156"/>
      <c r="Q428" s="156"/>
      <c r="R428" s="431"/>
      <c r="S428" s="434"/>
      <c r="T428" s="156"/>
      <c r="U428" s="156"/>
      <c r="V428" s="156"/>
      <c r="W428" s="431"/>
      <c r="X428" s="434"/>
      <c r="Y428" s="156"/>
      <c r="Z428" s="156"/>
      <c r="AA428" s="156"/>
      <c r="AB428" s="431"/>
    </row>
    <row r="429" spans="1:28" ht="18" customHeight="1" x14ac:dyDescent="0.2">
      <c r="A429" s="437"/>
      <c r="B429" s="159" t="s">
        <v>1660</v>
      </c>
      <c r="C429" s="431"/>
      <c r="D429" s="434"/>
      <c r="E429" s="156"/>
      <c r="F429" s="156"/>
      <c r="G429" s="156"/>
      <c r="H429" s="431"/>
      <c r="I429" s="434"/>
      <c r="J429" s="156"/>
      <c r="K429" s="156"/>
      <c r="L429" s="156"/>
      <c r="M429" s="440"/>
      <c r="N429" s="443"/>
      <c r="O429" s="156"/>
      <c r="P429" s="156"/>
      <c r="Q429" s="156"/>
      <c r="R429" s="431"/>
      <c r="S429" s="434"/>
      <c r="T429" s="156"/>
      <c r="U429" s="156"/>
      <c r="V429" s="156"/>
      <c r="W429" s="431"/>
      <c r="X429" s="434"/>
      <c r="Y429" s="156"/>
      <c r="Z429" s="156"/>
      <c r="AA429" s="156"/>
      <c r="AB429" s="431"/>
    </row>
    <row r="430" spans="1:28" ht="18" customHeight="1" x14ac:dyDescent="0.2">
      <c r="A430" s="437"/>
      <c r="B430" s="159" t="s">
        <v>1661</v>
      </c>
      <c r="C430" s="431"/>
      <c r="D430" s="434"/>
      <c r="E430" s="156"/>
      <c r="F430" s="156"/>
      <c r="G430" s="156"/>
      <c r="H430" s="431"/>
      <c r="I430" s="434"/>
      <c r="J430" s="156"/>
      <c r="K430" s="156"/>
      <c r="L430" s="156"/>
      <c r="M430" s="440"/>
      <c r="N430" s="443"/>
      <c r="O430" s="156"/>
      <c r="P430" s="156"/>
      <c r="Q430" s="156"/>
      <c r="R430" s="431"/>
      <c r="S430" s="434"/>
      <c r="T430" s="156"/>
      <c r="U430" s="156"/>
      <c r="V430" s="156"/>
      <c r="W430" s="431"/>
      <c r="X430" s="434"/>
      <c r="Y430" s="156"/>
      <c r="Z430" s="156"/>
      <c r="AA430" s="156"/>
      <c r="AB430" s="431"/>
    </row>
    <row r="431" spans="1:28" ht="18" customHeight="1" x14ac:dyDescent="0.2">
      <c r="A431" s="437"/>
      <c r="B431" s="159" t="s">
        <v>895</v>
      </c>
      <c r="C431" s="431"/>
      <c r="D431" s="434"/>
      <c r="E431" s="156"/>
      <c r="F431" s="156"/>
      <c r="G431" s="156"/>
      <c r="H431" s="431"/>
      <c r="I431" s="434"/>
      <c r="J431" s="156"/>
      <c r="K431" s="156"/>
      <c r="L431" s="156"/>
      <c r="M431" s="440"/>
      <c r="N431" s="443"/>
      <c r="O431" s="156"/>
      <c r="P431" s="156"/>
      <c r="Q431" s="156"/>
      <c r="R431" s="431"/>
      <c r="S431" s="434"/>
      <c r="T431" s="156"/>
      <c r="U431" s="156"/>
      <c r="V431" s="156"/>
      <c r="W431" s="431"/>
      <c r="X431" s="434"/>
      <c r="Y431" s="156"/>
      <c r="Z431" s="156"/>
      <c r="AA431" s="156"/>
      <c r="AB431" s="431"/>
    </row>
    <row r="432" spans="1:28" ht="18" customHeight="1" x14ac:dyDescent="0.2">
      <c r="A432" s="437"/>
      <c r="B432" s="159" t="s">
        <v>1662</v>
      </c>
      <c r="C432" s="431"/>
      <c r="D432" s="434"/>
      <c r="E432" s="156"/>
      <c r="F432" s="156"/>
      <c r="G432" s="156"/>
      <c r="H432" s="431"/>
      <c r="I432" s="434"/>
      <c r="J432" s="156"/>
      <c r="K432" s="156"/>
      <c r="L432" s="156"/>
      <c r="M432" s="440"/>
      <c r="N432" s="443"/>
      <c r="O432" s="156"/>
      <c r="P432" s="156"/>
      <c r="Q432" s="156"/>
      <c r="R432" s="431"/>
      <c r="S432" s="434"/>
      <c r="T432" s="156"/>
      <c r="U432" s="156"/>
      <c r="V432" s="156"/>
      <c r="W432" s="431"/>
      <c r="X432" s="434"/>
      <c r="Y432" s="156"/>
      <c r="Z432" s="156"/>
      <c r="AA432" s="156"/>
      <c r="AB432" s="431"/>
    </row>
    <row r="433" spans="1:28" ht="18" customHeight="1" x14ac:dyDescent="0.2">
      <c r="A433" s="437"/>
      <c r="B433" s="157" t="s">
        <v>776</v>
      </c>
      <c r="C433" s="431"/>
      <c r="D433" s="434"/>
      <c r="E433" s="156"/>
      <c r="F433" s="156"/>
      <c r="G433" s="156"/>
      <c r="H433" s="431"/>
      <c r="I433" s="434"/>
      <c r="J433" s="156"/>
      <c r="K433" s="156"/>
      <c r="L433" s="156"/>
      <c r="M433" s="440"/>
      <c r="N433" s="443"/>
      <c r="O433" s="156"/>
      <c r="P433" s="156"/>
      <c r="Q433" s="156"/>
      <c r="R433" s="431"/>
      <c r="S433" s="434"/>
      <c r="T433" s="156"/>
      <c r="U433" s="156"/>
      <c r="V433" s="156"/>
      <c r="W433" s="431"/>
      <c r="X433" s="434"/>
      <c r="Y433" s="156"/>
      <c r="Z433" s="156"/>
      <c r="AA433" s="156"/>
      <c r="AB433" s="431"/>
    </row>
    <row r="434" spans="1:28" ht="32.25" customHeight="1" x14ac:dyDescent="0.2">
      <c r="A434" s="437"/>
      <c r="B434" s="358" t="s">
        <v>1770</v>
      </c>
      <c r="C434" s="431"/>
      <c r="D434" s="434"/>
      <c r="E434" s="331"/>
      <c r="F434" s="331"/>
      <c r="G434" s="331"/>
      <c r="H434" s="431"/>
      <c r="I434" s="434"/>
      <c r="J434" s="331"/>
      <c r="K434" s="331"/>
      <c r="L434" s="331"/>
      <c r="M434" s="440"/>
      <c r="N434" s="443"/>
      <c r="O434" s="331"/>
      <c r="P434" s="331"/>
      <c r="Q434" s="331"/>
      <c r="R434" s="431"/>
      <c r="S434" s="434"/>
      <c r="T434" s="331"/>
      <c r="U434" s="331"/>
      <c r="V434" s="331"/>
      <c r="W434" s="431"/>
      <c r="X434" s="434"/>
      <c r="Y434" s="331"/>
      <c r="Z434" s="331"/>
      <c r="AA434" s="331"/>
      <c r="AB434" s="431"/>
    </row>
    <row r="435" spans="1:28" ht="33.75" customHeight="1" x14ac:dyDescent="0.2">
      <c r="A435" s="437"/>
      <c r="B435" s="358" t="s">
        <v>1700</v>
      </c>
      <c r="C435" s="431"/>
      <c r="D435" s="434"/>
      <c r="E435" s="156"/>
      <c r="F435" s="156"/>
      <c r="G435" s="156"/>
      <c r="H435" s="431"/>
      <c r="I435" s="434"/>
      <c r="J435" s="156"/>
      <c r="K435" s="156"/>
      <c r="L435" s="156"/>
      <c r="M435" s="440"/>
      <c r="N435" s="443"/>
      <c r="O435" s="156"/>
      <c r="P435" s="156"/>
      <c r="Q435" s="156"/>
      <c r="R435" s="431"/>
      <c r="S435" s="434"/>
      <c r="T435" s="156"/>
      <c r="U435" s="156"/>
      <c r="V435" s="156"/>
      <c r="W435" s="431"/>
      <c r="X435" s="434"/>
      <c r="Y435" s="156"/>
      <c r="Z435" s="156"/>
      <c r="AA435" s="156"/>
      <c r="AB435" s="431"/>
    </row>
    <row r="436" spans="1:28" ht="33.75" customHeight="1" x14ac:dyDescent="0.2">
      <c r="A436" s="437"/>
      <c r="B436" s="358" t="s">
        <v>1807</v>
      </c>
      <c r="C436" s="431"/>
      <c r="D436" s="434"/>
      <c r="E436" s="337"/>
      <c r="F436" s="337"/>
      <c r="G436" s="337"/>
      <c r="H436" s="431"/>
      <c r="I436" s="434"/>
      <c r="J436" s="337"/>
      <c r="K436" s="337"/>
      <c r="L436" s="337"/>
      <c r="M436" s="440"/>
      <c r="N436" s="443"/>
      <c r="O436" s="337"/>
      <c r="P436" s="337"/>
      <c r="Q436" s="337"/>
      <c r="R436" s="431"/>
      <c r="S436" s="434"/>
      <c r="T436" s="337"/>
      <c r="U436" s="337"/>
      <c r="V436" s="337"/>
      <c r="W436" s="431"/>
      <c r="X436" s="434"/>
      <c r="Y436" s="337"/>
      <c r="Z436" s="337"/>
      <c r="AA436" s="337"/>
      <c r="AB436" s="431"/>
    </row>
    <row r="437" spans="1:28" ht="18" customHeight="1" x14ac:dyDescent="0.2">
      <c r="A437" s="437"/>
      <c r="B437" s="157" t="s">
        <v>863</v>
      </c>
      <c r="C437" s="431"/>
      <c r="D437" s="434"/>
      <c r="E437" s="156"/>
      <c r="F437" s="156"/>
      <c r="G437" s="156"/>
      <c r="H437" s="431"/>
      <c r="I437" s="434"/>
      <c r="J437" s="156"/>
      <c r="K437" s="156"/>
      <c r="L437" s="156"/>
      <c r="M437" s="440"/>
      <c r="N437" s="443"/>
      <c r="O437" s="156"/>
      <c r="P437" s="156"/>
      <c r="Q437" s="156"/>
      <c r="R437" s="431"/>
      <c r="S437" s="434"/>
      <c r="T437" s="156"/>
      <c r="U437" s="156"/>
      <c r="V437" s="156"/>
      <c r="W437" s="431"/>
      <c r="X437" s="434"/>
      <c r="Y437" s="156"/>
      <c r="Z437" s="156"/>
      <c r="AA437" s="156"/>
      <c r="AB437" s="431"/>
    </row>
    <row r="438" spans="1:28" ht="18" customHeight="1" x14ac:dyDescent="0.2">
      <c r="A438" s="437"/>
      <c r="B438" s="159" t="s">
        <v>1651</v>
      </c>
      <c r="C438" s="431"/>
      <c r="D438" s="434"/>
      <c r="E438" s="155"/>
      <c r="F438" s="155"/>
      <c r="G438" s="155"/>
      <c r="H438" s="431"/>
      <c r="I438" s="434"/>
      <c r="J438" s="155"/>
      <c r="K438" s="155"/>
      <c r="L438" s="155"/>
      <c r="M438" s="440"/>
      <c r="N438" s="444"/>
      <c r="O438" s="155"/>
      <c r="P438" s="155"/>
      <c r="Q438" s="155"/>
      <c r="R438" s="431"/>
      <c r="S438" s="434"/>
      <c r="T438" s="155"/>
      <c r="U438" s="155"/>
      <c r="V438" s="155"/>
      <c r="W438" s="431"/>
      <c r="X438" s="434"/>
      <c r="Y438" s="155"/>
      <c r="Z438" s="155"/>
      <c r="AA438" s="155"/>
      <c r="AB438" s="431"/>
    </row>
    <row r="439" spans="1:28" ht="18" customHeight="1" x14ac:dyDescent="0.2">
      <c r="A439" s="6" t="s">
        <v>1074</v>
      </c>
      <c r="B439" s="154" t="s">
        <v>981</v>
      </c>
      <c r="C439" s="163">
        <v>0</v>
      </c>
      <c r="D439" s="156">
        <v>0</v>
      </c>
      <c r="E439" s="156"/>
      <c r="F439" s="156"/>
      <c r="G439" s="156"/>
      <c r="H439" s="163">
        <f>SUM(I439+L439)</f>
        <v>314</v>
      </c>
      <c r="I439" s="156">
        <v>314</v>
      </c>
      <c r="J439" s="156"/>
      <c r="K439" s="156"/>
      <c r="L439" s="156"/>
      <c r="M439" s="363">
        <f>N439</f>
        <v>314</v>
      </c>
      <c r="N439" s="364">
        <v>314</v>
      </c>
      <c r="O439" s="156"/>
      <c r="P439" s="156"/>
      <c r="Q439" s="156"/>
      <c r="R439" s="163">
        <v>0</v>
      </c>
      <c r="S439" s="156">
        <v>0</v>
      </c>
      <c r="T439" s="156"/>
      <c r="U439" s="156"/>
      <c r="V439" s="156"/>
      <c r="W439" s="163">
        <v>0</v>
      </c>
      <c r="X439" s="156">
        <v>0</v>
      </c>
      <c r="Y439" s="156"/>
      <c r="Z439" s="156"/>
      <c r="AA439" s="156"/>
      <c r="AB439" s="163">
        <f>C439+H439+M439+R439+W439</f>
        <v>628</v>
      </c>
    </row>
    <row r="440" spans="1:28" ht="20.25" customHeight="1" x14ac:dyDescent="0.2">
      <c r="A440" s="436" t="s">
        <v>1075</v>
      </c>
      <c r="B440" s="154" t="s">
        <v>984</v>
      </c>
      <c r="C440" s="430">
        <v>0</v>
      </c>
      <c r="D440" s="433">
        <v>0</v>
      </c>
      <c r="E440" s="409"/>
      <c r="F440" s="409"/>
      <c r="G440" s="409"/>
      <c r="H440" s="430">
        <f>SUM(I440+L440)</f>
        <v>2279</v>
      </c>
      <c r="I440" s="433">
        <v>2279</v>
      </c>
      <c r="J440" s="409"/>
      <c r="K440" s="409"/>
      <c r="L440" s="409"/>
      <c r="M440" s="439">
        <f>N440</f>
        <v>0</v>
      </c>
      <c r="N440" s="442">
        <v>0</v>
      </c>
      <c r="O440" s="409"/>
      <c r="P440" s="409"/>
      <c r="Q440" s="409"/>
      <c r="R440" s="430">
        <v>0</v>
      </c>
      <c r="S440" s="433">
        <v>0</v>
      </c>
      <c r="T440" s="409"/>
      <c r="U440" s="409"/>
      <c r="V440" s="409"/>
      <c r="W440" s="430">
        <v>0</v>
      </c>
      <c r="X440" s="433">
        <v>0</v>
      </c>
      <c r="Y440" s="409"/>
      <c r="Z440" s="409"/>
      <c r="AA440" s="409"/>
      <c r="AB440" s="430">
        <f>C440+H440+M440+R440+W440</f>
        <v>2279</v>
      </c>
    </row>
    <row r="441" spans="1:28" ht="18" customHeight="1" x14ac:dyDescent="0.2">
      <c r="A441" s="437"/>
      <c r="B441" s="157" t="s">
        <v>425</v>
      </c>
      <c r="C441" s="431"/>
      <c r="D441" s="434"/>
      <c r="E441" s="409"/>
      <c r="F441" s="409"/>
      <c r="G441" s="409"/>
      <c r="H441" s="431"/>
      <c r="I441" s="434"/>
      <c r="J441" s="409"/>
      <c r="K441" s="409"/>
      <c r="L441" s="409"/>
      <c r="M441" s="440"/>
      <c r="N441" s="443"/>
      <c r="O441" s="409"/>
      <c r="P441" s="409"/>
      <c r="Q441" s="409"/>
      <c r="R441" s="431"/>
      <c r="S441" s="434"/>
      <c r="T441" s="409"/>
      <c r="U441" s="409"/>
      <c r="V441" s="409"/>
      <c r="W441" s="431"/>
      <c r="X441" s="434"/>
      <c r="Y441" s="409"/>
      <c r="Z441" s="409"/>
      <c r="AA441" s="409"/>
      <c r="AB441" s="431"/>
    </row>
    <row r="442" spans="1:28" ht="18" customHeight="1" x14ac:dyDescent="0.2">
      <c r="A442" s="437"/>
      <c r="B442" s="159" t="s">
        <v>983</v>
      </c>
      <c r="C442" s="431"/>
      <c r="D442" s="434"/>
      <c r="E442" s="409"/>
      <c r="F442" s="409"/>
      <c r="G442" s="409"/>
      <c r="H442" s="431"/>
      <c r="I442" s="434"/>
      <c r="J442" s="409"/>
      <c r="K442" s="409"/>
      <c r="L442" s="409"/>
      <c r="M442" s="440"/>
      <c r="N442" s="443"/>
      <c r="O442" s="409"/>
      <c r="P442" s="409"/>
      <c r="Q442" s="409"/>
      <c r="R442" s="431"/>
      <c r="S442" s="434"/>
      <c r="T442" s="409"/>
      <c r="U442" s="409"/>
      <c r="V442" s="409"/>
      <c r="W442" s="431"/>
      <c r="X442" s="434"/>
      <c r="Y442" s="409"/>
      <c r="Z442" s="409"/>
      <c r="AA442" s="409"/>
      <c r="AB442" s="431"/>
    </row>
    <row r="443" spans="1:28" ht="18" customHeight="1" x14ac:dyDescent="0.2">
      <c r="A443" s="437"/>
      <c r="B443" s="159" t="s">
        <v>985</v>
      </c>
      <c r="C443" s="431"/>
      <c r="D443" s="434"/>
      <c r="E443" s="409"/>
      <c r="F443" s="409"/>
      <c r="G443" s="409"/>
      <c r="H443" s="431"/>
      <c r="I443" s="434"/>
      <c r="J443" s="409"/>
      <c r="K443" s="409"/>
      <c r="L443" s="409"/>
      <c r="M443" s="440"/>
      <c r="N443" s="443"/>
      <c r="O443" s="409"/>
      <c r="P443" s="409"/>
      <c r="Q443" s="409"/>
      <c r="R443" s="431"/>
      <c r="S443" s="434"/>
      <c r="T443" s="409"/>
      <c r="U443" s="409"/>
      <c r="V443" s="409"/>
      <c r="W443" s="431"/>
      <c r="X443" s="434"/>
      <c r="Y443" s="409"/>
      <c r="Z443" s="409"/>
      <c r="AA443" s="409"/>
      <c r="AB443" s="431"/>
    </row>
    <row r="444" spans="1:28" ht="18" customHeight="1" x14ac:dyDescent="0.2">
      <c r="A444" s="437"/>
      <c r="B444" s="159" t="s">
        <v>986</v>
      </c>
      <c r="C444" s="431"/>
      <c r="D444" s="434"/>
      <c r="E444" s="409"/>
      <c r="F444" s="409"/>
      <c r="G444" s="409"/>
      <c r="H444" s="431"/>
      <c r="I444" s="434"/>
      <c r="J444" s="409"/>
      <c r="K444" s="409"/>
      <c r="L444" s="409"/>
      <c r="M444" s="440"/>
      <c r="N444" s="443"/>
      <c r="O444" s="409"/>
      <c r="P444" s="409"/>
      <c r="Q444" s="409"/>
      <c r="R444" s="431"/>
      <c r="S444" s="434"/>
      <c r="T444" s="409"/>
      <c r="U444" s="409"/>
      <c r="V444" s="409"/>
      <c r="W444" s="431"/>
      <c r="X444" s="434"/>
      <c r="Y444" s="409"/>
      <c r="Z444" s="409"/>
      <c r="AA444" s="409"/>
      <c r="AB444" s="431"/>
    </row>
    <row r="445" spans="1:28" ht="36" customHeight="1" x14ac:dyDescent="0.2">
      <c r="A445" s="437"/>
      <c r="B445" s="159" t="s">
        <v>987</v>
      </c>
      <c r="C445" s="431"/>
      <c r="D445" s="434"/>
      <c r="E445" s="409"/>
      <c r="F445" s="409"/>
      <c r="G445" s="409"/>
      <c r="H445" s="431"/>
      <c r="I445" s="434"/>
      <c r="J445" s="409"/>
      <c r="K445" s="409"/>
      <c r="L445" s="409"/>
      <c r="M445" s="440"/>
      <c r="N445" s="443"/>
      <c r="O445" s="409"/>
      <c r="P445" s="409"/>
      <c r="Q445" s="409"/>
      <c r="R445" s="431"/>
      <c r="S445" s="434"/>
      <c r="T445" s="409"/>
      <c r="U445" s="409"/>
      <c r="V445" s="409"/>
      <c r="W445" s="431"/>
      <c r="X445" s="434"/>
      <c r="Y445" s="409"/>
      <c r="Z445" s="409"/>
      <c r="AA445" s="409"/>
      <c r="AB445" s="431"/>
    </row>
    <row r="446" spans="1:28" ht="18" customHeight="1" x14ac:dyDescent="0.2">
      <c r="A446" s="437"/>
      <c r="B446" s="159" t="s">
        <v>988</v>
      </c>
      <c r="C446" s="431"/>
      <c r="D446" s="434"/>
      <c r="E446" s="409"/>
      <c r="F446" s="409"/>
      <c r="G446" s="409"/>
      <c r="H446" s="431"/>
      <c r="I446" s="434"/>
      <c r="J446" s="409"/>
      <c r="K446" s="409"/>
      <c r="L446" s="409"/>
      <c r="M446" s="440"/>
      <c r="N446" s="443"/>
      <c r="O446" s="409"/>
      <c r="P446" s="409"/>
      <c r="Q446" s="409"/>
      <c r="R446" s="431"/>
      <c r="S446" s="434"/>
      <c r="T446" s="409"/>
      <c r="U446" s="409"/>
      <c r="V446" s="409"/>
      <c r="W446" s="431"/>
      <c r="X446" s="434"/>
      <c r="Y446" s="409"/>
      <c r="Z446" s="409"/>
      <c r="AA446" s="409"/>
      <c r="AB446" s="431"/>
    </row>
    <row r="447" spans="1:28" ht="33" customHeight="1" x14ac:dyDescent="0.2">
      <c r="A447" s="437"/>
      <c r="B447" s="159" t="s">
        <v>989</v>
      </c>
      <c r="C447" s="431"/>
      <c r="D447" s="434"/>
      <c r="E447" s="409"/>
      <c r="F447" s="409"/>
      <c r="G447" s="409"/>
      <c r="H447" s="431"/>
      <c r="I447" s="434"/>
      <c r="J447" s="409"/>
      <c r="K447" s="409"/>
      <c r="L447" s="409"/>
      <c r="M447" s="440"/>
      <c r="N447" s="443"/>
      <c r="O447" s="409"/>
      <c r="P447" s="409"/>
      <c r="Q447" s="409"/>
      <c r="R447" s="431"/>
      <c r="S447" s="434"/>
      <c r="T447" s="409"/>
      <c r="U447" s="409"/>
      <c r="V447" s="409"/>
      <c r="W447" s="431"/>
      <c r="X447" s="434"/>
      <c r="Y447" s="409"/>
      <c r="Z447" s="409"/>
      <c r="AA447" s="409"/>
      <c r="AB447" s="431"/>
    </row>
    <row r="448" spans="1:28" ht="18" customHeight="1" x14ac:dyDescent="0.2">
      <c r="A448" s="437"/>
      <c r="B448" s="159" t="s">
        <v>990</v>
      </c>
      <c r="C448" s="431"/>
      <c r="D448" s="434"/>
      <c r="E448" s="409"/>
      <c r="F448" s="409"/>
      <c r="G448" s="409"/>
      <c r="H448" s="431"/>
      <c r="I448" s="434"/>
      <c r="J448" s="409"/>
      <c r="K448" s="409"/>
      <c r="L448" s="409"/>
      <c r="M448" s="440"/>
      <c r="N448" s="443"/>
      <c r="O448" s="409"/>
      <c r="P448" s="409"/>
      <c r="Q448" s="409"/>
      <c r="R448" s="431"/>
      <c r="S448" s="434"/>
      <c r="T448" s="409"/>
      <c r="U448" s="409"/>
      <c r="V448" s="409"/>
      <c r="W448" s="431"/>
      <c r="X448" s="434"/>
      <c r="Y448" s="409"/>
      <c r="Z448" s="409"/>
      <c r="AA448" s="409"/>
      <c r="AB448" s="431"/>
    </row>
    <row r="449" spans="1:28" ht="18" customHeight="1" x14ac:dyDescent="0.2">
      <c r="A449" s="437"/>
      <c r="B449" s="159" t="s">
        <v>991</v>
      </c>
      <c r="C449" s="431"/>
      <c r="D449" s="434"/>
      <c r="E449" s="409"/>
      <c r="F449" s="409"/>
      <c r="G449" s="409"/>
      <c r="H449" s="431"/>
      <c r="I449" s="434"/>
      <c r="J449" s="409"/>
      <c r="K449" s="409"/>
      <c r="L449" s="409"/>
      <c r="M449" s="440"/>
      <c r="N449" s="443"/>
      <c r="O449" s="409"/>
      <c r="P449" s="409"/>
      <c r="Q449" s="409"/>
      <c r="R449" s="431"/>
      <c r="S449" s="434"/>
      <c r="T449" s="409"/>
      <c r="U449" s="409"/>
      <c r="V449" s="409"/>
      <c r="W449" s="431"/>
      <c r="X449" s="434"/>
      <c r="Y449" s="409"/>
      <c r="Z449" s="409"/>
      <c r="AA449" s="409"/>
      <c r="AB449" s="431"/>
    </row>
    <row r="450" spans="1:28" ht="34.5" customHeight="1" x14ac:dyDescent="0.2">
      <c r="A450" s="438"/>
      <c r="B450" s="164" t="s">
        <v>992</v>
      </c>
      <c r="C450" s="432"/>
      <c r="D450" s="435"/>
      <c r="E450" s="409"/>
      <c r="F450" s="409"/>
      <c r="G450" s="409"/>
      <c r="H450" s="432"/>
      <c r="I450" s="435"/>
      <c r="J450" s="409"/>
      <c r="K450" s="409"/>
      <c r="L450" s="409"/>
      <c r="M450" s="441"/>
      <c r="N450" s="444"/>
      <c r="O450" s="409"/>
      <c r="P450" s="409"/>
      <c r="Q450" s="409"/>
      <c r="R450" s="432"/>
      <c r="S450" s="435"/>
      <c r="T450" s="409"/>
      <c r="U450" s="409"/>
      <c r="V450" s="409"/>
      <c r="W450" s="432"/>
      <c r="X450" s="435"/>
      <c r="Y450" s="409"/>
      <c r="Z450" s="409"/>
      <c r="AA450" s="409"/>
      <c r="AB450" s="432"/>
    </row>
    <row r="451" spans="1:28" ht="19.5" customHeight="1" x14ac:dyDescent="0.2">
      <c r="A451" s="429" t="s">
        <v>1076</v>
      </c>
      <c r="B451" s="333" t="s">
        <v>999</v>
      </c>
      <c r="C451" s="455">
        <v>0</v>
      </c>
      <c r="D451" s="454">
        <v>0</v>
      </c>
      <c r="E451" s="330"/>
      <c r="F451" s="330"/>
      <c r="G451" s="330"/>
      <c r="H451" s="455">
        <f>SUM(I451+L451)</f>
        <v>6496</v>
      </c>
      <c r="I451" s="454">
        <v>6496</v>
      </c>
      <c r="J451" s="330"/>
      <c r="K451" s="330"/>
      <c r="L451" s="330"/>
      <c r="M451" s="476">
        <f>N451</f>
        <v>4128</v>
      </c>
      <c r="N451" s="477">
        <f>3914+214</f>
        <v>4128</v>
      </c>
      <c r="O451" s="330"/>
      <c r="P451" s="330"/>
      <c r="Q451" s="330"/>
      <c r="R451" s="455">
        <v>0</v>
      </c>
      <c r="S451" s="454">
        <v>0</v>
      </c>
      <c r="T451" s="330"/>
      <c r="U451" s="330"/>
      <c r="V451" s="330"/>
      <c r="W451" s="455">
        <v>0</v>
      </c>
      <c r="X451" s="454">
        <v>0</v>
      </c>
      <c r="Y451" s="330"/>
      <c r="Z451" s="330"/>
      <c r="AA451" s="330"/>
      <c r="AB451" s="455">
        <f>C451+H451+M451+R451+W451</f>
        <v>10624</v>
      </c>
    </row>
    <row r="452" spans="1:28" ht="18.75" customHeight="1" x14ac:dyDescent="0.2">
      <c r="A452" s="429"/>
      <c r="B452" s="334" t="s">
        <v>425</v>
      </c>
      <c r="C452" s="455"/>
      <c r="D452" s="454"/>
      <c r="E452" s="330"/>
      <c r="F452" s="330"/>
      <c r="G452" s="330"/>
      <c r="H452" s="455"/>
      <c r="I452" s="454"/>
      <c r="J452" s="330"/>
      <c r="K452" s="330"/>
      <c r="L452" s="330"/>
      <c r="M452" s="476"/>
      <c r="N452" s="477"/>
      <c r="O452" s="330"/>
      <c r="P452" s="330"/>
      <c r="Q452" s="330"/>
      <c r="R452" s="455"/>
      <c r="S452" s="454"/>
      <c r="T452" s="330"/>
      <c r="U452" s="330"/>
      <c r="V452" s="330"/>
      <c r="W452" s="455"/>
      <c r="X452" s="454"/>
      <c r="Y452" s="330"/>
      <c r="Z452" s="330"/>
      <c r="AA452" s="330"/>
      <c r="AB452" s="455"/>
    </row>
    <row r="453" spans="1:28" ht="18.75" customHeight="1" x14ac:dyDescent="0.2">
      <c r="A453" s="429"/>
      <c r="B453" s="176" t="s">
        <v>1000</v>
      </c>
      <c r="C453" s="455"/>
      <c r="D453" s="454"/>
      <c r="E453" s="330"/>
      <c r="F453" s="330"/>
      <c r="G453" s="330"/>
      <c r="H453" s="455"/>
      <c r="I453" s="454"/>
      <c r="J453" s="330"/>
      <c r="K453" s="330"/>
      <c r="L453" s="330"/>
      <c r="M453" s="476"/>
      <c r="N453" s="477"/>
      <c r="O453" s="330"/>
      <c r="P453" s="330"/>
      <c r="Q453" s="330"/>
      <c r="R453" s="455"/>
      <c r="S453" s="454"/>
      <c r="T453" s="330"/>
      <c r="U453" s="330"/>
      <c r="V453" s="330"/>
      <c r="W453" s="455"/>
      <c r="X453" s="454"/>
      <c r="Y453" s="330"/>
      <c r="Z453" s="330"/>
      <c r="AA453" s="330"/>
      <c r="AB453" s="455"/>
    </row>
    <row r="454" spans="1:28" ht="30.75" customHeight="1" x14ac:dyDescent="0.25">
      <c r="A454" s="429"/>
      <c r="B454" s="335" t="s">
        <v>1001</v>
      </c>
      <c r="C454" s="455"/>
      <c r="D454" s="454"/>
      <c r="E454" s="330"/>
      <c r="F454" s="330"/>
      <c r="G454" s="330"/>
      <c r="H454" s="455"/>
      <c r="I454" s="454"/>
      <c r="J454" s="330"/>
      <c r="K454" s="330"/>
      <c r="L454" s="330"/>
      <c r="M454" s="476"/>
      <c r="N454" s="477"/>
      <c r="O454" s="330"/>
      <c r="P454" s="330"/>
      <c r="Q454" s="330"/>
      <c r="R454" s="455"/>
      <c r="S454" s="454"/>
      <c r="T454" s="330"/>
      <c r="U454" s="330"/>
      <c r="V454" s="330"/>
      <c r="W454" s="455"/>
      <c r="X454" s="454"/>
      <c r="Y454" s="330"/>
      <c r="Z454" s="330"/>
      <c r="AA454" s="330"/>
      <c r="AB454" s="455"/>
    </row>
    <row r="455" spans="1:28" ht="18.75" customHeight="1" x14ac:dyDescent="0.25">
      <c r="A455" s="429"/>
      <c r="B455" s="336" t="s">
        <v>1002</v>
      </c>
      <c r="C455" s="455"/>
      <c r="D455" s="454"/>
      <c r="E455" s="330"/>
      <c r="F455" s="330"/>
      <c r="G455" s="330"/>
      <c r="H455" s="455"/>
      <c r="I455" s="454"/>
      <c r="J455" s="330"/>
      <c r="K455" s="330"/>
      <c r="L455" s="330"/>
      <c r="M455" s="476"/>
      <c r="N455" s="477"/>
      <c r="O455" s="330"/>
      <c r="P455" s="330"/>
      <c r="Q455" s="330"/>
      <c r="R455" s="455"/>
      <c r="S455" s="454"/>
      <c r="T455" s="330"/>
      <c r="U455" s="330"/>
      <c r="V455" s="330"/>
      <c r="W455" s="455"/>
      <c r="X455" s="454"/>
      <c r="Y455" s="330"/>
      <c r="Z455" s="330"/>
      <c r="AA455" s="330"/>
      <c r="AB455" s="455"/>
    </row>
    <row r="456" spans="1:28" ht="18.75" customHeight="1" x14ac:dyDescent="0.2">
      <c r="A456" s="429"/>
      <c r="B456" s="176" t="s">
        <v>1003</v>
      </c>
      <c r="C456" s="455"/>
      <c r="D456" s="454"/>
      <c r="E456" s="330"/>
      <c r="F456" s="330"/>
      <c r="G456" s="330"/>
      <c r="H456" s="455"/>
      <c r="I456" s="454"/>
      <c r="J456" s="330"/>
      <c r="K456" s="330"/>
      <c r="L456" s="330"/>
      <c r="M456" s="476"/>
      <c r="N456" s="477"/>
      <c r="O456" s="330"/>
      <c r="P456" s="330"/>
      <c r="Q456" s="330"/>
      <c r="R456" s="455"/>
      <c r="S456" s="454"/>
      <c r="T456" s="330"/>
      <c r="U456" s="330"/>
      <c r="V456" s="330"/>
      <c r="W456" s="455"/>
      <c r="X456" s="454"/>
      <c r="Y456" s="330"/>
      <c r="Z456" s="330"/>
      <c r="AA456" s="330"/>
      <c r="AB456" s="455"/>
    </row>
    <row r="457" spans="1:28" ht="18.75" customHeight="1" x14ac:dyDescent="0.2">
      <c r="A457" s="429"/>
      <c r="B457" s="176" t="s">
        <v>1004</v>
      </c>
      <c r="C457" s="455"/>
      <c r="D457" s="454"/>
      <c r="E457" s="330"/>
      <c r="F457" s="330"/>
      <c r="G457" s="330"/>
      <c r="H457" s="455"/>
      <c r="I457" s="454"/>
      <c r="J457" s="330"/>
      <c r="K457" s="330"/>
      <c r="L457" s="330"/>
      <c r="M457" s="476"/>
      <c r="N457" s="477"/>
      <c r="O457" s="330"/>
      <c r="P457" s="330"/>
      <c r="Q457" s="330"/>
      <c r="R457" s="455"/>
      <c r="S457" s="454"/>
      <c r="T457" s="330"/>
      <c r="U457" s="330"/>
      <c r="V457" s="330"/>
      <c r="W457" s="455"/>
      <c r="X457" s="454"/>
      <c r="Y457" s="330"/>
      <c r="Z457" s="330"/>
      <c r="AA457" s="330"/>
      <c r="AB457" s="455"/>
    </row>
    <row r="458" spans="1:28" ht="18.75" customHeight="1" x14ac:dyDescent="0.2">
      <c r="A458" s="429"/>
      <c r="B458" s="176" t="s">
        <v>1005</v>
      </c>
      <c r="C458" s="455"/>
      <c r="D458" s="454"/>
      <c r="E458" s="330"/>
      <c r="F458" s="330"/>
      <c r="G458" s="330"/>
      <c r="H458" s="455"/>
      <c r="I458" s="454"/>
      <c r="J458" s="330"/>
      <c r="K458" s="330"/>
      <c r="L458" s="330"/>
      <c r="M458" s="476"/>
      <c r="N458" s="477"/>
      <c r="O458" s="330"/>
      <c r="P458" s="330"/>
      <c r="Q458" s="330"/>
      <c r="R458" s="455"/>
      <c r="S458" s="454"/>
      <c r="T458" s="330"/>
      <c r="U458" s="330"/>
      <c r="V458" s="330"/>
      <c r="W458" s="455"/>
      <c r="X458" s="454"/>
      <c r="Y458" s="330"/>
      <c r="Z458" s="330"/>
      <c r="AA458" s="330"/>
      <c r="AB458" s="455"/>
    </row>
    <row r="459" spans="1:28" ht="18.75" customHeight="1" x14ac:dyDescent="0.2">
      <c r="A459" s="429"/>
      <c r="B459" s="176" t="s">
        <v>1006</v>
      </c>
      <c r="C459" s="455"/>
      <c r="D459" s="454"/>
      <c r="E459" s="330"/>
      <c r="F459" s="330"/>
      <c r="G459" s="330"/>
      <c r="H459" s="455"/>
      <c r="I459" s="454"/>
      <c r="J459" s="330"/>
      <c r="K459" s="330"/>
      <c r="L459" s="330"/>
      <c r="M459" s="476"/>
      <c r="N459" s="477"/>
      <c r="O459" s="330"/>
      <c r="P459" s="330"/>
      <c r="Q459" s="330"/>
      <c r="R459" s="455"/>
      <c r="S459" s="454"/>
      <c r="T459" s="330"/>
      <c r="U459" s="330"/>
      <c r="V459" s="330"/>
      <c r="W459" s="455"/>
      <c r="X459" s="454"/>
      <c r="Y459" s="330"/>
      <c r="Z459" s="330"/>
      <c r="AA459" s="330"/>
      <c r="AB459" s="455"/>
    </row>
    <row r="460" spans="1:28" ht="18.75" customHeight="1" x14ac:dyDescent="0.2">
      <c r="A460" s="429"/>
      <c r="B460" s="176" t="s">
        <v>1007</v>
      </c>
      <c r="C460" s="455"/>
      <c r="D460" s="454"/>
      <c r="E460" s="330"/>
      <c r="F460" s="330"/>
      <c r="G460" s="330"/>
      <c r="H460" s="455"/>
      <c r="I460" s="454"/>
      <c r="J460" s="330"/>
      <c r="K460" s="330"/>
      <c r="L460" s="330"/>
      <c r="M460" s="476"/>
      <c r="N460" s="477"/>
      <c r="O460" s="330"/>
      <c r="P460" s="330"/>
      <c r="Q460" s="330"/>
      <c r="R460" s="455"/>
      <c r="S460" s="454"/>
      <c r="T460" s="330"/>
      <c r="U460" s="330"/>
      <c r="V460" s="330"/>
      <c r="W460" s="455"/>
      <c r="X460" s="454"/>
      <c r="Y460" s="330"/>
      <c r="Z460" s="330"/>
      <c r="AA460" s="330"/>
      <c r="AB460" s="455"/>
    </row>
    <row r="461" spans="1:28" ht="18.75" customHeight="1" x14ac:dyDescent="0.2">
      <c r="A461" s="429"/>
      <c r="B461" s="176" t="s">
        <v>1008</v>
      </c>
      <c r="C461" s="455"/>
      <c r="D461" s="454"/>
      <c r="E461" s="330"/>
      <c r="F461" s="330"/>
      <c r="G461" s="330"/>
      <c r="H461" s="455"/>
      <c r="I461" s="454"/>
      <c r="J461" s="330"/>
      <c r="K461" s="330"/>
      <c r="L461" s="330"/>
      <c r="M461" s="476"/>
      <c r="N461" s="477"/>
      <c r="O461" s="330"/>
      <c r="P461" s="330"/>
      <c r="Q461" s="330"/>
      <c r="R461" s="455"/>
      <c r="S461" s="454"/>
      <c r="T461" s="330"/>
      <c r="U461" s="330"/>
      <c r="V461" s="330"/>
      <c r="W461" s="455"/>
      <c r="X461" s="454"/>
      <c r="Y461" s="330"/>
      <c r="Z461" s="330"/>
      <c r="AA461" s="330"/>
      <c r="AB461" s="455"/>
    </row>
    <row r="462" spans="1:28" ht="21" customHeight="1" x14ac:dyDescent="0.2">
      <c r="A462" s="429"/>
      <c r="B462" s="176" t="s">
        <v>1009</v>
      </c>
      <c r="C462" s="455"/>
      <c r="D462" s="454"/>
      <c r="E462" s="330"/>
      <c r="F462" s="330"/>
      <c r="G462" s="330"/>
      <c r="H462" s="455"/>
      <c r="I462" s="454"/>
      <c r="J462" s="330"/>
      <c r="K462" s="330"/>
      <c r="L462" s="330"/>
      <c r="M462" s="476"/>
      <c r="N462" s="477"/>
      <c r="O462" s="330"/>
      <c r="P462" s="330"/>
      <c r="Q462" s="330"/>
      <c r="R462" s="455"/>
      <c r="S462" s="454"/>
      <c r="T462" s="330"/>
      <c r="U462" s="330"/>
      <c r="V462" s="330"/>
      <c r="W462" s="455"/>
      <c r="X462" s="454"/>
      <c r="Y462" s="330"/>
      <c r="Z462" s="330"/>
      <c r="AA462" s="330"/>
      <c r="AB462" s="455"/>
    </row>
    <row r="463" spans="1:28" ht="18.75" customHeight="1" x14ac:dyDescent="0.2">
      <c r="A463" s="429"/>
      <c r="B463" s="176" t="s">
        <v>1010</v>
      </c>
      <c r="C463" s="455"/>
      <c r="D463" s="454"/>
      <c r="E463" s="330"/>
      <c r="F463" s="330"/>
      <c r="G463" s="330"/>
      <c r="H463" s="455"/>
      <c r="I463" s="454"/>
      <c r="J463" s="330"/>
      <c r="K463" s="330"/>
      <c r="L463" s="330"/>
      <c r="M463" s="476"/>
      <c r="N463" s="477"/>
      <c r="O463" s="330"/>
      <c r="P463" s="330"/>
      <c r="Q463" s="330"/>
      <c r="R463" s="455"/>
      <c r="S463" s="454"/>
      <c r="T463" s="330"/>
      <c r="U463" s="330"/>
      <c r="V463" s="330"/>
      <c r="W463" s="455"/>
      <c r="X463" s="454"/>
      <c r="Y463" s="330"/>
      <c r="Z463" s="330"/>
      <c r="AA463" s="330"/>
      <c r="AB463" s="455"/>
    </row>
    <row r="464" spans="1:28" ht="18.75" customHeight="1" x14ac:dyDescent="0.2">
      <c r="A464" s="429"/>
      <c r="B464" s="334" t="s">
        <v>776</v>
      </c>
      <c r="C464" s="455"/>
      <c r="D464" s="454"/>
      <c r="E464" s="330"/>
      <c r="F464" s="330"/>
      <c r="G464" s="330"/>
      <c r="H464" s="455"/>
      <c r="I464" s="454"/>
      <c r="J464" s="330"/>
      <c r="K464" s="330"/>
      <c r="L464" s="330"/>
      <c r="M464" s="476"/>
      <c r="N464" s="477"/>
      <c r="O464" s="330"/>
      <c r="P464" s="330"/>
      <c r="Q464" s="330"/>
      <c r="R464" s="455"/>
      <c r="S464" s="454"/>
      <c r="T464" s="330"/>
      <c r="U464" s="330"/>
      <c r="V464" s="330"/>
      <c r="W464" s="455"/>
      <c r="X464" s="454"/>
      <c r="Y464" s="330"/>
      <c r="Z464" s="330"/>
      <c r="AA464" s="330"/>
      <c r="AB464" s="455"/>
    </row>
    <row r="465" spans="1:30" ht="24" customHeight="1" x14ac:dyDescent="0.2">
      <c r="A465" s="429"/>
      <c r="B465" s="358" t="s">
        <v>1803</v>
      </c>
      <c r="C465" s="455"/>
      <c r="D465" s="454"/>
      <c r="E465" s="330"/>
      <c r="F465" s="330"/>
      <c r="G465" s="330"/>
      <c r="H465" s="455"/>
      <c r="I465" s="454"/>
      <c r="J465" s="330"/>
      <c r="K465" s="330"/>
      <c r="L465" s="330"/>
      <c r="M465" s="476"/>
      <c r="N465" s="477"/>
      <c r="O465" s="330"/>
      <c r="P465" s="330"/>
      <c r="Q465" s="330"/>
      <c r="R465" s="455"/>
      <c r="S465" s="454"/>
      <c r="T465" s="330"/>
      <c r="U465" s="330"/>
      <c r="V465" s="330"/>
      <c r="W465" s="455"/>
      <c r="X465" s="454"/>
      <c r="Y465" s="330"/>
      <c r="Z465" s="330"/>
      <c r="AA465" s="330"/>
      <c r="AB465" s="455"/>
    </row>
    <row r="466" spans="1:30" ht="18.75" customHeight="1" x14ac:dyDescent="0.2">
      <c r="A466" s="429"/>
      <c r="B466" s="358" t="s">
        <v>1802</v>
      </c>
      <c r="C466" s="455"/>
      <c r="D466" s="454"/>
      <c r="E466" s="330"/>
      <c r="F466" s="330"/>
      <c r="G466" s="330"/>
      <c r="H466" s="455"/>
      <c r="I466" s="454"/>
      <c r="J466" s="330"/>
      <c r="K466" s="330"/>
      <c r="L466" s="330"/>
      <c r="M466" s="476"/>
      <c r="N466" s="477"/>
      <c r="O466" s="330"/>
      <c r="P466" s="330"/>
      <c r="Q466" s="330"/>
      <c r="R466" s="455"/>
      <c r="S466" s="454"/>
      <c r="T466" s="330"/>
      <c r="U466" s="330"/>
      <c r="V466" s="330"/>
      <c r="W466" s="455"/>
      <c r="X466" s="454"/>
      <c r="Y466" s="330"/>
      <c r="Z466" s="330"/>
      <c r="AA466" s="330"/>
      <c r="AB466" s="455"/>
    </row>
    <row r="467" spans="1:30" ht="18.75" customHeight="1" x14ac:dyDescent="0.2">
      <c r="A467" s="429"/>
      <c r="B467" s="365" t="s">
        <v>1804</v>
      </c>
      <c r="C467" s="455"/>
      <c r="D467" s="454"/>
      <c r="E467" s="330"/>
      <c r="F467" s="330"/>
      <c r="G467" s="330"/>
      <c r="H467" s="455"/>
      <c r="I467" s="454"/>
      <c r="J467" s="330"/>
      <c r="K467" s="330"/>
      <c r="L467" s="330"/>
      <c r="M467" s="476"/>
      <c r="N467" s="477"/>
      <c r="O467" s="330"/>
      <c r="P467" s="330"/>
      <c r="Q467" s="330"/>
      <c r="R467" s="455"/>
      <c r="S467" s="454"/>
      <c r="T467" s="330"/>
      <c r="U467" s="330"/>
      <c r="V467" s="330"/>
      <c r="W467" s="455"/>
      <c r="X467" s="454"/>
      <c r="Y467" s="330"/>
      <c r="Z467" s="330"/>
      <c r="AA467" s="330"/>
      <c r="AB467" s="455"/>
    </row>
    <row r="468" spans="1:30" ht="18.75" customHeight="1" x14ac:dyDescent="0.2">
      <c r="A468" s="172" t="s">
        <v>26</v>
      </c>
      <c r="B468" s="449" t="s">
        <v>1091</v>
      </c>
      <c r="C468" s="450"/>
      <c r="D468" s="450"/>
      <c r="E468" s="450"/>
      <c r="F468" s="450"/>
      <c r="G468" s="450"/>
      <c r="H468" s="450"/>
      <c r="I468" s="450"/>
      <c r="J468" s="450"/>
      <c r="K468" s="450"/>
      <c r="L468" s="450"/>
      <c r="M468" s="450"/>
      <c r="N468" s="450"/>
      <c r="O468" s="450"/>
      <c r="P468" s="450"/>
      <c r="Q468" s="450"/>
      <c r="R468" s="450"/>
      <c r="S468" s="450"/>
      <c r="T468" s="450"/>
      <c r="U468" s="450"/>
      <c r="V468" s="450"/>
      <c r="W468" s="450"/>
      <c r="X468" s="450"/>
      <c r="Y468" s="450"/>
      <c r="Z468" s="450"/>
      <c r="AA468" s="450"/>
      <c r="AB468" s="450"/>
      <c r="AC468" s="32"/>
      <c r="AD468" s="32"/>
    </row>
    <row r="469" spans="1:30" ht="18" customHeight="1" x14ac:dyDescent="0.2">
      <c r="A469" s="6" t="s">
        <v>409</v>
      </c>
      <c r="B469" s="170" t="s">
        <v>95</v>
      </c>
      <c r="C469" s="163">
        <f>D469+E469+F469+G469</f>
        <v>27036</v>
      </c>
      <c r="D469" s="156">
        <v>27036</v>
      </c>
      <c r="E469" s="156">
        <v>0</v>
      </c>
      <c r="F469" s="156">
        <v>0</v>
      </c>
      <c r="G469" s="156">
        <v>0</v>
      </c>
      <c r="H469" s="163">
        <f>I469+J469+K469+L469</f>
        <v>35037</v>
      </c>
      <c r="I469" s="156">
        <f>34053+19+526+786-411-184+388-1-139</f>
        <v>35037</v>
      </c>
      <c r="J469" s="156">
        <v>0</v>
      </c>
      <c r="K469" s="156">
        <v>0</v>
      </c>
      <c r="L469" s="156">
        <v>0</v>
      </c>
      <c r="M469" s="363">
        <f>N469+O469+P469+Q469</f>
        <v>45899</v>
      </c>
      <c r="N469" s="364">
        <f>32839+12411+642-2-121+130</f>
        <v>45899</v>
      </c>
      <c r="O469" s="156">
        <v>0</v>
      </c>
      <c r="P469" s="156">
        <v>0</v>
      </c>
      <c r="Q469" s="156">
        <v>0</v>
      </c>
      <c r="R469" s="163">
        <f>S469+T469+U469+V469</f>
        <v>45368</v>
      </c>
      <c r="S469" s="156">
        <f>32839+12529</f>
        <v>45368</v>
      </c>
      <c r="T469" s="156">
        <v>0</v>
      </c>
      <c r="U469" s="156">
        <v>0</v>
      </c>
      <c r="V469" s="156">
        <v>0</v>
      </c>
      <c r="W469" s="163">
        <f>X469+Y469+Z469+AA469</f>
        <v>45368</v>
      </c>
      <c r="X469" s="156">
        <f>26539+300+18529</f>
        <v>45368</v>
      </c>
      <c r="Y469" s="156">
        <v>0</v>
      </c>
      <c r="Z469" s="156">
        <v>0</v>
      </c>
      <c r="AA469" s="156">
        <v>0</v>
      </c>
      <c r="AB469" s="163">
        <f>C469+H469+M469+R469+W469</f>
        <v>198708</v>
      </c>
    </row>
    <row r="470" spans="1:30" s="33" customFormat="1" ht="42" customHeight="1" x14ac:dyDescent="0.2">
      <c r="A470" s="448" t="s">
        <v>360</v>
      </c>
      <c r="B470" s="448"/>
      <c r="C470" s="179">
        <f t="shared" ref="C470:AA470" si="1">SUM(C10:C469)</f>
        <v>173012</v>
      </c>
      <c r="D470" s="179">
        <f t="shared" si="1"/>
        <v>173012</v>
      </c>
      <c r="E470" s="179">
        <f t="shared" si="1"/>
        <v>0</v>
      </c>
      <c r="F470" s="179">
        <f t="shared" si="1"/>
        <v>0</v>
      </c>
      <c r="G470" s="179">
        <f t="shared" si="1"/>
        <v>0</v>
      </c>
      <c r="H470" s="179">
        <f t="shared" si="1"/>
        <v>103854</v>
      </c>
      <c r="I470" s="179">
        <f t="shared" si="1"/>
        <v>103854</v>
      </c>
      <c r="J470" s="179">
        <f t="shared" si="1"/>
        <v>0</v>
      </c>
      <c r="K470" s="179">
        <f t="shared" si="1"/>
        <v>0</v>
      </c>
      <c r="L470" s="179">
        <f t="shared" si="1"/>
        <v>0</v>
      </c>
      <c r="M470" s="589">
        <f>SUM(M10:M469)</f>
        <v>126840</v>
      </c>
      <c r="N470" s="589">
        <f>SUM(N10:N469)</f>
        <v>126840</v>
      </c>
      <c r="O470" s="179">
        <f t="shared" si="1"/>
        <v>0</v>
      </c>
      <c r="P470" s="179">
        <f t="shared" si="1"/>
        <v>0</v>
      </c>
      <c r="Q470" s="179">
        <f t="shared" si="1"/>
        <v>0</v>
      </c>
      <c r="R470" s="179">
        <f t="shared" si="1"/>
        <v>95963</v>
      </c>
      <c r="S470" s="179">
        <v>95963</v>
      </c>
      <c r="T470" s="179">
        <f t="shared" si="1"/>
        <v>0</v>
      </c>
      <c r="U470" s="179">
        <f t="shared" si="1"/>
        <v>0</v>
      </c>
      <c r="V470" s="179">
        <f t="shared" si="1"/>
        <v>0</v>
      </c>
      <c r="W470" s="179">
        <f t="shared" si="1"/>
        <v>100991</v>
      </c>
      <c r="X470" s="179">
        <v>100991</v>
      </c>
      <c r="Y470" s="179">
        <f t="shared" si="1"/>
        <v>0</v>
      </c>
      <c r="Z470" s="179">
        <f t="shared" si="1"/>
        <v>0</v>
      </c>
      <c r="AA470" s="179">
        <f t="shared" si="1"/>
        <v>0</v>
      </c>
      <c r="AB470" s="179">
        <f>SUM(AB10:AB469)</f>
        <v>600660</v>
      </c>
      <c r="AC470" s="180"/>
    </row>
    <row r="471" spans="1:30" ht="16.149999999999999" customHeight="1" x14ac:dyDescent="0.2">
      <c r="A471" s="23"/>
      <c r="B471" s="181"/>
    </row>
    <row r="472" spans="1:30" ht="42" customHeight="1" x14ac:dyDescent="0.2">
      <c r="A472" s="23"/>
      <c r="B472" s="181"/>
      <c r="D472" s="17"/>
      <c r="E472" s="17"/>
      <c r="F472" s="17"/>
      <c r="G472" s="17"/>
      <c r="H472" s="182"/>
      <c r="I472" s="17"/>
    </row>
    <row r="473" spans="1:30" ht="42" customHeight="1" x14ac:dyDescent="0.2">
      <c r="A473" s="23"/>
      <c r="B473" s="181"/>
    </row>
    <row r="474" spans="1:30" ht="42" customHeight="1" x14ac:dyDescent="0.2">
      <c r="A474" s="23"/>
      <c r="B474" s="181"/>
    </row>
    <row r="475" spans="1:30" ht="42" customHeight="1" x14ac:dyDescent="0.2">
      <c r="A475" s="23"/>
      <c r="B475" s="181"/>
    </row>
    <row r="476" spans="1:30" ht="42" customHeight="1" x14ac:dyDescent="0.2">
      <c r="A476" s="23"/>
      <c r="B476" s="181"/>
    </row>
    <row r="477" spans="1:30" ht="42" customHeight="1" x14ac:dyDescent="0.2">
      <c r="A477" s="23"/>
      <c r="B477" s="181"/>
    </row>
    <row r="478" spans="1:30" ht="42" customHeight="1" x14ac:dyDescent="0.2">
      <c r="A478" s="23"/>
      <c r="B478" s="181"/>
    </row>
    <row r="479" spans="1:30" ht="42" customHeight="1" x14ac:dyDescent="0.2">
      <c r="A479" s="23"/>
      <c r="B479" s="181"/>
    </row>
    <row r="480" spans="1:30" ht="42" customHeight="1" x14ac:dyDescent="0.2">
      <c r="A480" s="23"/>
      <c r="B480" s="181"/>
    </row>
    <row r="481" spans="1:2" ht="42" customHeight="1" x14ac:dyDescent="0.2">
      <c r="A481" s="23"/>
      <c r="B481" s="181"/>
    </row>
    <row r="482" spans="1:2" ht="42" customHeight="1" x14ac:dyDescent="0.2">
      <c r="A482" s="23"/>
      <c r="B482" s="181"/>
    </row>
    <row r="483" spans="1:2" ht="42" customHeight="1" x14ac:dyDescent="0.2">
      <c r="A483" s="23"/>
      <c r="B483" s="181"/>
    </row>
    <row r="484" spans="1:2" ht="42" customHeight="1" x14ac:dyDescent="0.2">
      <c r="A484" s="23"/>
      <c r="B484" s="181"/>
    </row>
    <row r="485" spans="1:2" ht="42" customHeight="1" x14ac:dyDescent="0.2">
      <c r="A485" s="23"/>
      <c r="B485" s="181"/>
    </row>
    <row r="486" spans="1:2" ht="42" customHeight="1" x14ac:dyDescent="0.2">
      <c r="A486" s="23"/>
      <c r="B486" s="181"/>
    </row>
    <row r="487" spans="1:2" ht="42" customHeight="1" x14ac:dyDescent="0.2">
      <c r="A487" s="23"/>
      <c r="B487" s="181"/>
    </row>
    <row r="488" spans="1:2" ht="42" customHeight="1" x14ac:dyDescent="0.2">
      <c r="A488" s="23"/>
      <c r="B488" s="181"/>
    </row>
    <row r="489" spans="1:2" ht="42" customHeight="1" x14ac:dyDescent="0.2">
      <c r="A489" s="23"/>
      <c r="B489" s="181"/>
    </row>
    <row r="490" spans="1:2" ht="42" customHeight="1" x14ac:dyDescent="0.2">
      <c r="A490" s="23"/>
      <c r="B490" s="181"/>
    </row>
    <row r="491" spans="1:2" ht="42" customHeight="1" x14ac:dyDescent="0.2">
      <c r="A491" s="23"/>
      <c r="B491" s="181"/>
    </row>
    <row r="492" spans="1:2" ht="42" customHeight="1" x14ac:dyDescent="0.2">
      <c r="A492" s="23"/>
      <c r="B492" s="181"/>
    </row>
    <row r="493" spans="1:2" ht="42" customHeight="1" x14ac:dyDescent="0.2">
      <c r="A493" s="23"/>
      <c r="B493" s="181"/>
    </row>
    <row r="494" spans="1:2" ht="42" customHeight="1" x14ac:dyDescent="0.2">
      <c r="A494" s="23"/>
      <c r="B494" s="181"/>
    </row>
    <row r="495" spans="1:2" ht="42" customHeight="1" x14ac:dyDescent="0.2">
      <c r="A495" s="23"/>
      <c r="B495" s="181"/>
    </row>
    <row r="496" spans="1:2" ht="42" customHeight="1" x14ac:dyDescent="0.2">
      <c r="A496" s="23"/>
      <c r="B496" s="181"/>
    </row>
    <row r="497" spans="1:2" ht="42" customHeight="1" x14ac:dyDescent="0.2">
      <c r="A497" s="23"/>
      <c r="B497" s="181"/>
    </row>
    <row r="498" spans="1:2" ht="42" customHeight="1" x14ac:dyDescent="0.2">
      <c r="A498" s="23"/>
      <c r="B498" s="181"/>
    </row>
    <row r="499" spans="1:2" ht="42" customHeight="1" x14ac:dyDescent="0.2">
      <c r="A499" s="23"/>
      <c r="B499" s="181"/>
    </row>
    <row r="500" spans="1:2" ht="42" customHeight="1" x14ac:dyDescent="0.2">
      <c r="A500" s="23"/>
      <c r="B500" s="181"/>
    </row>
    <row r="501" spans="1:2" ht="42" customHeight="1" x14ac:dyDescent="0.2">
      <c r="A501" s="23"/>
      <c r="B501" s="181"/>
    </row>
    <row r="502" spans="1:2" ht="42" customHeight="1" x14ac:dyDescent="0.2">
      <c r="A502" s="23"/>
      <c r="B502" s="181"/>
    </row>
    <row r="503" spans="1:2" ht="42" customHeight="1" x14ac:dyDescent="0.2">
      <c r="A503" s="23"/>
      <c r="B503" s="181"/>
    </row>
    <row r="504" spans="1:2" ht="42" customHeight="1" x14ac:dyDescent="0.2">
      <c r="A504" s="23"/>
      <c r="B504" s="181"/>
    </row>
    <row r="505" spans="1:2" ht="42" customHeight="1" x14ac:dyDescent="0.2">
      <c r="A505" s="23"/>
      <c r="B505" s="181"/>
    </row>
    <row r="506" spans="1:2" ht="42" customHeight="1" x14ac:dyDescent="0.2">
      <c r="A506" s="23"/>
      <c r="B506" s="181"/>
    </row>
    <row r="507" spans="1:2" ht="42" customHeight="1" x14ac:dyDescent="0.2">
      <c r="A507" s="23"/>
      <c r="B507" s="181"/>
    </row>
    <row r="508" spans="1:2" ht="42" customHeight="1" x14ac:dyDescent="0.2">
      <c r="A508" s="23"/>
      <c r="B508" s="181"/>
    </row>
    <row r="509" spans="1:2" ht="42" customHeight="1" x14ac:dyDescent="0.2">
      <c r="A509" s="23"/>
      <c r="B509" s="181"/>
    </row>
    <row r="510" spans="1:2" ht="42" customHeight="1" x14ac:dyDescent="0.2">
      <c r="A510" s="23"/>
      <c r="B510" s="181"/>
    </row>
    <row r="511" spans="1:2" ht="42" customHeight="1" x14ac:dyDescent="0.2">
      <c r="A511" s="23"/>
      <c r="B511" s="181"/>
    </row>
    <row r="512" spans="1:2" ht="42" customHeight="1" x14ac:dyDescent="0.2">
      <c r="A512" s="23"/>
      <c r="B512" s="181"/>
    </row>
    <row r="513" spans="1:2" ht="42" customHeight="1" x14ac:dyDescent="0.2">
      <c r="A513" s="23"/>
      <c r="B513" s="181"/>
    </row>
    <row r="514" spans="1:2" ht="42" customHeight="1" x14ac:dyDescent="0.2">
      <c r="A514" s="23"/>
      <c r="B514" s="181"/>
    </row>
    <row r="515" spans="1:2" ht="42" customHeight="1" x14ac:dyDescent="0.2">
      <c r="A515" s="23"/>
      <c r="B515" s="181"/>
    </row>
    <row r="516" spans="1:2" ht="42" customHeight="1" x14ac:dyDescent="0.2">
      <c r="A516" s="23"/>
      <c r="B516" s="181"/>
    </row>
    <row r="517" spans="1:2" ht="42" customHeight="1" x14ac:dyDescent="0.2">
      <c r="A517" s="23"/>
      <c r="B517" s="181"/>
    </row>
    <row r="518" spans="1:2" ht="42" customHeight="1" x14ac:dyDescent="0.2">
      <c r="A518" s="23"/>
      <c r="B518" s="181"/>
    </row>
    <row r="519" spans="1:2" ht="42" customHeight="1" x14ac:dyDescent="0.2">
      <c r="A519" s="23"/>
      <c r="B519" s="181"/>
    </row>
    <row r="520" spans="1:2" ht="42" customHeight="1" x14ac:dyDescent="0.2">
      <c r="A520" s="23"/>
      <c r="B520" s="181"/>
    </row>
    <row r="521" spans="1:2" ht="42" customHeight="1" x14ac:dyDescent="0.2">
      <c r="A521" s="23"/>
      <c r="B521" s="181"/>
    </row>
    <row r="522" spans="1:2" ht="42" customHeight="1" x14ac:dyDescent="0.2">
      <c r="A522" s="23"/>
      <c r="B522" s="181"/>
    </row>
    <row r="523" spans="1:2" ht="42" customHeight="1" x14ac:dyDescent="0.2">
      <c r="A523" s="23"/>
      <c r="B523" s="181"/>
    </row>
    <row r="524" spans="1:2" ht="42" customHeight="1" x14ac:dyDescent="0.2">
      <c r="A524" s="23"/>
      <c r="B524" s="181"/>
    </row>
    <row r="525" spans="1:2" ht="42" customHeight="1" x14ac:dyDescent="0.2">
      <c r="A525" s="23"/>
      <c r="B525" s="181"/>
    </row>
    <row r="526" spans="1:2" ht="42" customHeight="1" x14ac:dyDescent="0.2">
      <c r="A526" s="23"/>
      <c r="B526" s="181"/>
    </row>
    <row r="527" spans="1:2" ht="42" customHeight="1" x14ac:dyDescent="0.2">
      <c r="A527" s="23"/>
      <c r="B527" s="181"/>
    </row>
    <row r="528" spans="1:2" ht="42" customHeight="1" x14ac:dyDescent="0.2">
      <c r="A528" s="23"/>
      <c r="B528" s="181"/>
    </row>
    <row r="529" spans="1:2" ht="42" customHeight="1" x14ac:dyDescent="0.2">
      <c r="A529" s="23"/>
      <c r="B529" s="181"/>
    </row>
    <row r="530" spans="1:2" ht="42" customHeight="1" x14ac:dyDescent="0.2">
      <c r="A530" s="23"/>
      <c r="B530" s="181"/>
    </row>
    <row r="531" spans="1:2" ht="42" customHeight="1" x14ac:dyDescent="0.2">
      <c r="A531" s="23"/>
      <c r="B531" s="181"/>
    </row>
    <row r="532" spans="1:2" ht="42" customHeight="1" x14ac:dyDescent="0.2">
      <c r="A532" s="23"/>
      <c r="B532" s="181"/>
    </row>
    <row r="533" spans="1:2" ht="42" customHeight="1" x14ac:dyDescent="0.2">
      <c r="A533" s="23"/>
      <c r="B533" s="181"/>
    </row>
    <row r="534" spans="1:2" ht="42" customHeight="1" x14ac:dyDescent="0.2">
      <c r="A534" s="23"/>
      <c r="B534" s="181"/>
    </row>
    <row r="535" spans="1:2" ht="42" customHeight="1" x14ac:dyDescent="0.2">
      <c r="A535" s="23"/>
      <c r="B535" s="181"/>
    </row>
    <row r="536" spans="1:2" ht="42" customHeight="1" x14ac:dyDescent="0.2">
      <c r="A536" s="23"/>
      <c r="B536" s="181"/>
    </row>
    <row r="537" spans="1:2" ht="42" customHeight="1" x14ac:dyDescent="0.2">
      <c r="A537" s="23"/>
      <c r="B537" s="181"/>
    </row>
    <row r="538" spans="1:2" ht="42" customHeight="1" x14ac:dyDescent="0.2">
      <c r="A538" s="23"/>
      <c r="B538" s="181"/>
    </row>
    <row r="539" spans="1:2" ht="42" customHeight="1" x14ac:dyDescent="0.2">
      <c r="A539" s="23"/>
      <c r="B539" s="181"/>
    </row>
    <row r="540" spans="1:2" ht="42" customHeight="1" x14ac:dyDescent="0.2">
      <c r="A540" s="23"/>
      <c r="B540" s="181"/>
    </row>
    <row r="541" spans="1:2" ht="42" customHeight="1" x14ac:dyDescent="0.2">
      <c r="A541" s="23"/>
      <c r="B541" s="181"/>
    </row>
    <row r="542" spans="1:2" ht="42" customHeight="1" x14ac:dyDescent="0.2">
      <c r="A542" s="23"/>
      <c r="B542" s="181"/>
    </row>
    <row r="543" spans="1:2" ht="42" customHeight="1" x14ac:dyDescent="0.2">
      <c r="A543" s="23"/>
      <c r="B543" s="181"/>
    </row>
    <row r="544" spans="1:2" ht="42" customHeight="1" x14ac:dyDescent="0.2">
      <c r="A544" s="23"/>
      <c r="B544" s="181"/>
    </row>
    <row r="545" spans="1:2" ht="42" customHeight="1" x14ac:dyDescent="0.2">
      <c r="A545" s="23"/>
      <c r="B545" s="181"/>
    </row>
    <row r="546" spans="1:2" ht="42" customHeight="1" x14ac:dyDescent="0.2">
      <c r="A546" s="23"/>
      <c r="B546" s="181"/>
    </row>
  </sheetData>
  <mergeCells count="303">
    <mergeCell ref="X367:X394"/>
    <mergeCell ref="AB367:AB394"/>
    <mergeCell ref="A360:A366"/>
    <mergeCell ref="A367:A394"/>
    <mergeCell ref="C367:C394"/>
    <mergeCell ref="D367:D394"/>
    <mergeCell ref="H367:H394"/>
    <mergeCell ref="I367:I394"/>
    <mergeCell ref="M367:M394"/>
    <mergeCell ref="N367:N394"/>
    <mergeCell ref="R367:R394"/>
    <mergeCell ref="H360:H366"/>
    <mergeCell ref="I360:I366"/>
    <mergeCell ref="M360:M366"/>
    <mergeCell ref="N360:N366"/>
    <mergeCell ref="R360:R366"/>
    <mergeCell ref="S360:S366"/>
    <mergeCell ref="W360:W366"/>
    <mergeCell ref="X360:X366"/>
    <mergeCell ref="AB360:AB366"/>
    <mergeCell ref="X413:X415"/>
    <mergeCell ref="AB413:AB415"/>
    <mergeCell ref="C395:C403"/>
    <mergeCell ref="D395:D403"/>
    <mergeCell ref="H395:H403"/>
    <mergeCell ref="I395:I403"/>
    <mergeCell ref="M395:M403"/>
    <mergeCell ref="N395:N403"/>
    <mergeCell ref="R395:R403"/>
    <mergeCell ref="S395:S403"/>
    <mergeCell ref="W395:W403"/>
    <mergeCell ref="X395:X403"/>
    <mergeCell ref="AB395:AB403"/>
    <mergeCell ref="C413:C415"/>
    <mergeCell ref="D413:D415"/>
    <mergeCell ref="H413:H415"/>
    <mergeCell ref="I413:I415"/>
    <mergeCell ref="M413:M415"/>
    <mergeCell ref="N413:N415"/>
    <mergeCell ref="R413:R415"/>
    <mergeCell ref="S413:S415"/>
    <mergeCell ref="W413:W415"/>
    <mergeCell ref="H404:H412"/>
    <mergeCell ref="I404:I412"/>
    <mergeCell ref="R404:R412"/>
    <mergeCell ref="S404:S412"/>
    <mergeCell ref="W404:W412"/>
    <mergeCell ref="X404:X412"/>
    <mergeCell ref="AB404:AB412"/>
    <mergeCell ref="A127:A141"/>
    <mergeCell ref="C127:C141"/>
    <mergeCell ref="D127:D141"/>
    <mergeCell ref="H127:H141"/>
    <mergeCell ref="I127:I141"/>
    <mergeCell ref="M127:M141"/>
    <mergeCell ref="N127:N141"/>
    <mergeCell ref="R127:R141"/>
    <mergeCell ref="S127:S141"/>
    <mergeCell ref="AB162:AB164"/>
    <mergeCell ref="I172:I218"/>
    <mergeCell ref="M172:M218"/>
    <mergeCell ref="M267:M316"/>
    <mergeCell ref="N267:N316"/>
    <mergeCell ref="R267:R316"/>
    <mergeCell ref="S267:S316"/>
    <mergeCell ref="W267:W316"/>
    <mergeCell ref="S367:S394"/>
    <mergeCell ref="W367:W394"/>
    <mergeCell ref="A81:A99"/>
    <mergeCell ref="A118:A126"/>
    <mergeCell ref="C118:C126"/>
    <mergeCell ref="D118:D126"/>
    <mergeCell ref="H118:H126"/>
    <mergeCell ref="I118:I126"/>
    <mergeCell ref="M118:M126"/>
    <mergeCell ref="N118:N126"/>
    <mergeCell ref="R118:R126"/>
    <mergeCell ref="S38:S80"/>
    <mergeCell ref="W38:W80"/>
    <mergeCell ref="X38:X80"/>
    <mergeCell ref="AB38:AB80"/>
    <mergeCell ref="C81:C99"/>
    <mergeCell ref="D81:D99"/>
    <mergeCell ref="H81:H99"/>
    <mergeCell ref="I81:I99"/>
    <mergeCell ref="M81:M99"/>
    <mergeCell ref="N81:N99"/>
    <mergeCell ref="R81:R99"/>
    <mergeCell ref="S81:S99"/>
    <mergeCell ref="W81:W99"/>
    <mergeCell ref="X81:X99"/>
    <mergeCell ref="AB81:AB99"/>
    <mergeCell ref="C38:C80"/>
    <mergeCell ref="D38:D80"/>
    <mergeCell ref="H38:H80"/>
    <mergeCell ref="AB451:AB467"/>
    <mergeCell ref="A451:A467"/>
    <mergeCell ref="C451:C467"/>
    <mergeCell ref="D451:D467"/>
    <mergeCell ref="H451:H467"/>
    <mergeCell ref="I451:I467"/>
    <mergeCell ref="M451:M467"/>
    <mergeCell ref="N451:N467"/>
    <mergeCell ref="R451:R467"/>
    <mergeCell ref="R26:R28"/>
    <mergeCell ref="S26:S28"/>
    <mergeCell ref="X26:X28"/>
    <mergeCell ref="W100:W117"/>
    <mergeCell ref="A162:A164"/>
    <mergeCell ref="A142:A160"/>
    <mergeCell ref="W162:W164"/>
    <mergeCell ref="X162:X164"/>
    <mergeCell ref="A38:A80"/>
    <mergeCell ref="C162:C164"/>
    <mergeCell ref="D162:D164"/>
    <mergeCell ref="H162:H164"/>
    <mergeCell ref="I162:I164"/>
    <mergeCell ref="M162:M164"/>
    <mergeCell ref="N162:N164"/>
    <mergeCell ref="R162:R164"/>
    <mergeCell ref="S162:S164"/>
    <mergeCell ref="S118:S126"/>
    <mergeCell ref="W118:W126"/>
    <mergeCell ref="X118:X126"/>
    <mergeCell ref="I38:I80"/>
    <mergeCell ref="M38:M80"/>
    <mergeCell ref="N38:N80"/>
    <mergeCell ref="R38:R80"/>
    <mergeCell ref="W1:AB1"/>
    <mergeCell ref="W2:AB2"/>
    <mergeCell ref="M5:Q5"/>
    <mergeCell ref="R5:V5"/>
    <mergeCell ref="W5:AA5"/>
    <mergeCell ref="AB100:AB117"/>
    <mergeCell ref="B3:AB3"/>
    <mergeCell ref="X10:X25"/>
    <mergeCell ref="AB10:AB25"/>
    <mergeCell ref="AB4:AB6"/>
    <mergeCell ref="C29:C37"/>
    <mergeCell ref="D29:D37"/>
    <mergeCell ref="H29:H37"/>
    <mergeCell ref="M29:M37"/>
    <mergeCell ref="N29:N37"/>
    <mergeCell ref="H5:L5"/>
    <mergeCell ref="X29:X37"/>
    <mergeCell ref="AB29:AB37"/>
    <mergeCell ref="AB26:AB28"/>
    <mergeCell ref="M26:M28"/>
    <mergeCell ref="H26:H28"/>
    <mergeCell ref="I26:I28"/>
    <mergeCell ref="D10:D25"/>
    <mergeCell ref="N26:N28"/>
    <mergeCell ref="A10:A25"/>
    <mergeCell ref="I10:I25"/>
    <mergeCell ref="M10:M25"/>
    <mergeCell ref="N10:N25"/>
    <mergeCell ref="R10:R25"/>
    <mergeCell ref="A29:A37"/>
    <mergeCell ref="I29:I37"/>
    <mergeCell ref="C5:G5"/>
    <mergeCell ref="W26:W28"/>
    <mergeCell ref="A8:AB8"/>
    <mergeCell ref="A4:A6"/>
    <mergeCell ref="B4:B6"/>
    <mergeCell ref="C4:AA4"/>
    <mergeCell ref="A26:A28"/>
    <mergeCell ref="C26:C28"/>
    <mergeCell ref="D26:D28"/>
    <mergeCell ref="C10:C25"/>
    <mergeCell ref="H10:H25"/>
    <mergeCell ref="S10:S25"/>
    <mergeCell ref="W10:W25"/>
    <mergeCell ref="B9:AB9"/>
    <mergeCell ref="R29:R37"/>
    <mergeCell ref="S29:S37"/>
    <mergeCell ref="W29:W37"/>
    <mergeCell ref="A470:B470"/>
    <mergeCell ref="B468:AB468"/>
    <mergeCell ref="AB427:AB438"/>
    <mergeCell ref="X427:X438"/>
    <mergeCell ref="A427:A438"/>
    <mergeCell ref="A100:A117"/>
    <mergeCell ref="C100:C117"/>
    <mergeCell ref="D100:D117"/>
    <mergeCell ref="H100:H117"/>
    <mergeCell ref="I100:I117"/>
    <mergeCell ref="M100:M117"/>
    <mergeCell ref="N100:N117"/>
    <mergeCell ref="B165:AB165"/>
    <mergeCell ref="S100:S117"/>
    <mergeCell ref="R100:R117"/>
    <mergeCell ref="X100:X117"/>
    <mergeCell ref="S451:S467"/>
    <mergeCell ref="W451:W467"/>
    <mergeCell ref="A166:A171"/>
    <mergeCell ref="C166:C171"/>
    <mergeCell ref="D166:D171"/>
    <mergeCell ref="X451:X467"/>
    <mergeCell ref="R427:R438"/>
    <mergeCell ref="S427:S438"/>
    <mergeCell ref="W427:W438"/>
    <mergeCell ref="C427:C438"/>
    <mergeCell ref="C416:C423"/>
    <mergeCell ref="D416:D423"/>
    <mergeCell ref="D427:D438"/>
    <mergeCell ref="A395:A403"/>
    <mergeCell ref="H427:H438"/>
    <mergeCell ref="N427:N438"/>
    <mergeCell ref="M427:M438"/>
    <mergeCell ref="I427:I438"/>
    <mergeCell ref="A416:A423"/>
    <mergeCell ref="H416:H423"/>
    <mergeCell ref="I416:I423"/>
    <mergeCell ref="M416:M423"/>
    <mergeCell ref="N416:N423"/>
    <mergeCell ref="R416:R423"/>
    <mergeCell ref="S416:S423"/>
    <mergeCell ref="W416:W423"/>
    <mergeCell ref="A404:A412"/>
    <mergeCell ref="A413:A415"/>
    <mergeCell ref="C404:C412"/>
    <mergeCell ref="D404:D412"/>
    <mergeCell ref="M404:M412"/>
    <mergeCell ref="N404:N412"/>
    <mergeCell ref="X416:X423"/>
    <mergeCell ref="AB416:AB423"/>
    <mergeCell ref="C142:C160"/>
    <mergeCell ref="D142:D160"/>
    <mergeCell ref="H142:H160"/>
    <mergeCell ref="I142:I160"/>
    <mergeCell ref="M142:M160"/>
    <mergeCell ref="N142:N160"/>
    <mergeCell ref="R142:R160"/>
    <mergeCell ref="S142:S160"/>
    <mergeCell ref="W142:W160"/>
    <mergeCell ref="X142:X160"/>
    <mergeCell ref="AB142:AB160"/>
    <mergeCell ref="W166:W171"/>
    <mergeCell ref="X166:X171"/>
    <mergeCell ref="AB166:AB171"/>
    <mergeCell ref="N172:N218"/>
    <mergeCell ref="R172:R218"/>
    <mergeCell ref="S172:S218"/>
    <mergeCell ref="H166:H171"/>
    <mergeCell ref="I166:I171"/>
    <mergeCell ref="M166:M171"/>
    <mergeCell ref="N166:N171"/>
    <mergeCell ref="R166:R171"/>
    <mergeCell ref="AB118:AB126"/>
    <mergeCell ref="W127:W141"/>
    <mergeCell ref="X127:X141"/>
    <mergeCell ref="AB127:AB141"/>
    <mergeCell ref="S166:S171"/>
    <mergeCell ref="W172:W218"/>
    <mergeCell ref="X172:X218"/>
    <mergeCell ref="AB172:AB218"/>
    <mergeCell ref="A219:A266"/>
    <mergeCell ref="C219:C266"/>
    <mergeCell ref="D219:D266"/>
    <mergeCell ref="H219:H266"/>
    <mergeCell ref="I219:I266"/>
    <mergeCell ref="M219:M266"/>
    <mergeCell ref="N219:N266"/>
    <mergeCell ref="R219:R266"/>
    <mergeCell ref="S219:S266"/>
    <mergeCell ref="W219:W266"/>
    <mergeCell ref="X219:X266"/>
    <mergeCell ref="AB219:AB266"/>
    <mergeCell ref="A172:A218"/>
    <mergeCell ref="C172:C218"/>
    <mergeCell ref="D172:D218"/>
    <mergeCell ref="H172:H218"/>
    <mergeCell ref="X267:X316"/>
    <mergeCell ref="AB267:AB316"/>
    <mergeCell ref="A267:A316"/>
    <mergeCell ref="C267:C316"/>
    <mergeCell ref="D267:D316"/>
    <mergeCell ref="H267:H316"/>
    <mergeCell ref="I267:I316"/>
    <mergeCell ref="A317:A359"/>
    <mergeCell ref="C360:C366"/>
    <mergeCell ref="D360:D366"/>
    <mergeCell ref="C317:C359"/>
    <mergeCell ref="D317:D359"/>
    <mergeCell ref="H317:H359"/>
    <mergeCell ref="I317:I359"/>
    <mergeCell ref="R317:R359"/>
    <mergeCell ref="S317:S359"/>
    <mergeCell ref="W317:W359"/>
    <mergeCell ref="X317:X359"/>
    <mergeCell ref="AB317:AB359"/>
    <mergeCell ref="W440:W450"/>
    <mergeCell ref="X440:X450"/>
    <mergeCell ref="AB440:AB450"/>
    <mergeCell ref="A440:A450"/>
    <mergeCell ref="C440:C450"/>
    <mergeCell ref="D440:D450"/>
    <mergeCell ref="H440:H450"/>
    <mergeCell ref="I440:I450"/>
    <mergeCell ref="M440:M450"/>
    <mergeCell ref="N440:N450"/>
    <mergeCell ref="R440:R450"/>
    <mergeCell ref="S440:S450"/>
  </mergeCells>
  <printOptions horizontalCentered="1"/>
  <pageMargins left="0.19685039370078741" right="0.19685039370078741" top="0.62992125984251968" bottom="0.59055118110236227" header="0.19685039370078741" footer="0.15748031496062992"/>
  <pageSetup paperSize="8" scale="56" fitToHeight="0" orientation="landscape" r:id="rId1"/>
  <headerFooter alignWithMargins="0"/>
  <rowBreaks count="10" manualBreakCount="10">
    <brk id="37" max="27" man="1"/>
    <brk id="80" max="27" man="1"/>
    <brk id="126" max="27" man="1"/>
    <brk id="171" max="27" man="1"/>
    <brk id="218" max="27" man="1"/>
    <brk id="266" max="27" man="1"/>
    <brk id="316" max="27" man="1"/>
    <brk id="366" max="27" man="1"/>
    <brk id="412" max="27" man="1"/>
    <brk id="45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63"/>
  <sheetViews>
    <sheetView tabSelected="1" showRuler="0" view="pageBreakPreview" topLeftCell="A544" zoomScale="80" zoomScaleNormal="79" zoomScaleSheetLayoutView="80" zoomScalePageLayoutView="80" workbookViewId="0">
      <selection activeCell="AC560" sqref="AC560"/>
    </sheetView>
  </sheetViews>
  <sheetFormatPr defaultColWidth="8.7109375" defaultRowHeight="12.75" outlineLevelRow="1" x14ac:dyDescent="0.2"/>
  <cols>
    <col min="1" max="1" width="11" style="142" customWidth="1"/>
    <col min="2" max="2" width="26.28515625" customWidth="1"/>
    <col min="3" max="3" width="10.28515625" style="143" customWidth="1"/>
    <col min="4" max="4" width="13.5703125" style="144" customWidth="1"/>
    <col min="5" max="5" width="7.7109375" style="144" customWidth="1"/>
    <col min="6" max="6" width="13.28515625" style="144" customWidth="1"/>
    <col min="7" max="7" width="9.5703125" style="144" customWidth="1"/>
    <col min="8" max="8" width="11.140625" style="144" customWidth="1"/>
    <col min="9" max="9" width="10.140625" style="144" customWidth="1"/>
    <col min="10" max="10" width="9" style="144" customWidth="1"/>
    <col min="11" max="11" width="11" style="18" customWidth="1"/>
    <col min="12" max="12" width="8.85546875" style="18" customWidth="1"/>
    <col min="13" max="13" width="10.85546875" style="23" customWidth="1"/>
    <col min="14" max="14" width="11" style="23" customWidth="1"/>
    <col min="15" max="15" width="7.5703125" style="148" customWidth="1"/>
    <col min="16" max="16" width="10.85546875" style="149" customWidth="1"/>
    <col min="17" max="17" width="9" style="149" customWidth="1"/>
    <col min="18" max="18" width="10.85546875" style="23" customWidth="1"/>
    <col min="19" max="19" width="12.85546875" style="23" customWidth="1"/>
    <col min="20" max="20" width="7.7109375" style="148" customWidth="1"/>
    <col min="21" max="21" width="12.7109375" style="149" customWidth="1"/>
    <col min="22" max="22" width="9.85546875" style="149" customWidth="1"/>
    <col min="23" max="23" width="12.5703125" style="23" customWidth="1"/>
    <col min="24" max="24" width="10.7109375" style="23" customWidth="1"/>
    <col min="25" max="25" width="9.140625" style="148" customWidth="1"/>
    <col min="26" max="26" width="11" style="149" customWidth="1"/>
    <col min="27" max="27" width="9.7109375" style="23" customWidth="1"/>
    <col min="28" max="28" width="10.85546875" style="23" customWidth="1"/>
    <col min="29" max="29" width="10.140625" style="23" customWidth="1"/>
    <col min="30" max="30" width="14.28515625" bestFit="1" customWidth="1"/>
    <col min="31" max="31" width="14.7109375" customWidth="1"/>
    <col min="32" max="32" width="10.85546875" bestFit="1" customWidth="1"/>
  </cols>
  <sheetData>
    <row r="1" spans="1:30" ht="85.15" customHeight="1" x14ac:dyDescent="0.2">
      <c r="A1" s="34"/>
      <c r="B1" s="32"/>
      <c r="C1" s="35"/>
      <c r="D1" s="32"/>
      <c r="E1" s="35"/>
      <c r="F1" s="32"/>
      <c r="G1" s="32"/>
      <c r="H1" s="32"/>
      <c r="I1" s="32"/>
      <c r="J1" s="35"/>
      <c r="K1" s="32"/>
      <c r="L1" s="32"/>
      <c r="M1" s="32"/>
      <c r="N1" s="32"/>
      <c r="O1" s="35"/>
      <c r="P1" s="32"/>
      <c r="Q1" s="32"/>
      <c r="R1" s="32"/>
      <c r="S1" s="32"/>
      <c r="T1" s="35"/>
      <c r="U1" s="32"/>
      <c r="V1" s="32"/>
      <c r="W1" s="32"/>
      <c r="X1" s="32"/>
      <c r="Y1" s="25"/>
      <c r="Z1" s="470" t="s">
        <v>1829</v>
      </c>
      <c r="AA1" s="470"/>
      <c r="AB1" s="470"/>
      <c r="AC1" s="470"/>
    </row>
    <row r="2" spans="1:30" ht="101.25" customHeight="1" x14ac:dyDescent="0.2">
      <c r="A2" s="34"/>
      <c r="B2" s="32"/>
      <c r="C2" s="35"/>
      <c r="D2" s="32"/>
      <c r="E2" s="35"/>
      <c r="F2" s="32"/>
      <c r="G2" s="32"/>
      <c r="H2" s="32"/>
      <c r="I2" s="32"/>
      <c r="J2" s="35"/>
      <c r="K2" s="32"/>
      <c r="L2" s="32"/>
      <c r="M2" s="32"/>
      <c r="N2" s="32"/>
      <c r="O2" s="35"/>
      <c r="P2" s="32"/>
      <c r="Q2" s="32"/>
      <c r="R2" s="32"/>
      <c r="S2" s="32"/>
      <c r="T2" s="35"/>
      <c r="U2" s="32"/>
      <c r="V2" s="32"/>
      <c r="W2" s="32"/>
      <c r="X2" s="32"/>
      <c r="Y2" s="25"/>
      <c r="Z2" s="423" t="s">
        <v>974</v>
      </c>
      <c r="AA2" s="423"/>
      <c r="AB2" s="423"/>
      <c r="AC2" s="423"/>
    </row>
    <row r="3" spans="1:30" ht="40.5" customHeight="1" x14ac:dyDescent="0.3">
      <c r="A3" s="501" t="s">
        <v>704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502"/>
      <c r="AA3" s="502"/>
      <c r="AB3" s="502"/>
      <c r="AC3" s="502"/>
    </row>
    <row r="4" spans="1:30" s="39" customFormat="1" ht="15.6" customHeight="1" x14ac:dyDescent="0.2">
      <c r="A4" s="505" t="s">
        <v>463</v>
      </c>
      <c r="B4" s="498" t="s">
        <v>0</v>
      </c>
      <c r="C4" s="500" t="s">
        <v>506</v>
      </c>
      <c r="D4" s="500" t="s">
        <v>464</v>
      </c>
      <c r="E4" s="503" t="s">
        <v>21</v>
      </c>
      <c r="F4" s="504"/>
      <c r="G4" s="504"/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504"/>
      <c r="X4" s="504"/>
      <c r="Y4" s="504"/>
      <c r="Z4" s="504"/>
      <c r="AA4" s="504"/>
      <c r="AB4" s="504"/>
      <c r="AC4" s="504"/>
    </row>
    <row r="5" spans="1:30" s="26" customFormat="1" ht="27.4" customHeight="1" x14ac:dyDescent="0.2">
      <c r="A5" s="505"/>
      <c r="B5" s="498"/>
      <c r="C5" s="500"/>
      <c r="D5" s="500"/>
      <c r="E5" s="499" t="s">
        <v>31</v>
      </c>
      <c r="F5" s="499"/>
      <c r="G5" s="499"/>
      <c r="H5" s="499"/>
      <c r="I5" s="499"/>
      <c r="J5" s="497" t="s">
        <v>32</v>
      </c>
      <c r="K5" s="497"/>
      <c r="L5" s="497"/>
      <c r="M5" s="497"/>
      <c r="N5" s="497"/>
      <c r="O5" s="497" t="s">
        <v>33</v>
      </c>
      <c r="P5" s="497"/>
      <c r="Q5" s="497"/>
      <c r="R5" s="497"/>
      <c r="S5" s="497"/>
      <c r="T5" s="497" t="s">
        <v>34</v>
      </c>
      <c r="U5" s="497"/>
      <c r="V5" s="497"/>
      <c r="W5" s="497"/>
      <c r="X5" s="497"/>
      <c r="Y5" s="497" t="s">
        <v>35</v>
      </c>
      <c r="Z5" s="497"/>
      <c r="AA5" s="497"/>
      <c r="AB5" s="497"/>
      <c r="AC5" s="497"/>
    </row>
    <row r="6" spans="1:30" s="26" customFormat="1" ht="64.150000000000006" customHeight="1" x14ac:dyDescent="0.2">
      <c r="A6" s="505"/>
      <c r="B6" s="498"/>
      <c r="C6" s="500"/>
      <c r="D6" s="500"/>
      <c r="E6" s="38" t="s">
        <v>506</v>
      </c>
      <c r="F6" s="7" t="s">
        <v>5</v>
      </c>
      <c r="G6" s="7" t="s">
        <v>465</v>
      </c>
      <c r="H6" s="40" t="s">
        <v>6</v>
      </c>
      <c r="I6" s="37" t="s">
        <v>13</v>
      </c>
      <c r="J6" s="38" t="s">
        <v>506</v>
      </c>
      <c r="K6" s="7" t="s">
        <v>5</v>
      </c>
      <c r="L6" s="7" t="s">
        <v>465</v>
      </c>
      <c r="M6" s="37" t="s">
        <v>6</v>
      </c>
      <c r="N6" s="37" t="s">
        <v>13</v>
      </c>
      <c r="O6" s="38" t="s">
        <v>506</v>
      </c>
      <c r="P6" s="7" t="s">
        <v>5</v>
      </c>
      <c r="Q6" s="7" t="s">
        <v>465</v>
      </c>
      <c r="R6" s="37" t="s">
        <v>6</v>
      </c>
      <c r="S6" s="37" t="s">
        <v>13</v>
      </c>
      <c r="T6" s="38" t="s">
        <v>506</v>
      </c>
      <c r="U6" s="7" t="s">
        <v>5</v>
      </c>
      <c r="V6" s="7" t="s">
        <v>465</v>
      </c>
      <c r="W6" s="37" t="s">
        <v>6</v>
      </c>
      <c r="X6" s="37" t="s">
        <v>13</v>
      </c>
      <c r="Y6" s="38" t="s">
        <v>506</v>
      </c>
      <c r="Z6" s="7" t="s">
        <v>5</v>
      </c>
      <c r="AA6" s="7" t="s">
        <v>465</v>
      </c>
      <c r="AB6" s="37" t="s">
        <v>466</v>
      </c>
      <c r="AC6" s="37" t="s">
        <v>72</v>
      </c>
    </row>
    <row r="7" spans="1:30" ht="22.35" customHeight="1" x14ac:dyDescent="0.2">
      <c r="A7" s="36">
        <v>1</v>
      </c>
      <c r="B7" s="41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42">
        <v>13</v>
      </c>
      <c r="N7" s="42">
        <v>14</v>
      </c>
      <c r="O7" s="42">
        <v>15</v>
      </c>
      <c r="P7" s="42">
        <v>16</v>
      </c>
      <c r="Q7" s="42">
        <v>17</v>
      </c>
      <c r="R7" s="42">
        <v>18</v>
      </c>
      <c r="S7" s="42">
        <v>19</v>
      </c>
      <c r="T7" s="42">
        <v>20</v>
      </c>
      <c r="U7" s="42">
        <v>21</v>
      </c>
      <c r="V7" s="42">
        <v>22</v>
      </c>
      <c r="W7" s="42">
        <v>23</v>
      </c>
      <c r="X7" s="42">
        <v>24</v>
      </c>
      <c r="Y7" s="42">
        <v>25</v>
      </c>
      <c r="Z7" s="42">
        <v>26</v>
      </c>
      <c r="AA7" s="42">
        <v>27</v>
      </c>
      <c r="AB7" s="42">
        <v>28</v>
      </c>
      <c r="AC7" s="42">
        <v>29</v>
      </c>
    </row>
    <row r="8" spans="1:30" s="21" customFormat="1" ht="37.5" customHeight="1" x14ac:dyDescent="0.2">
      <c r="A8" s="459" t="s">
        <v>451</v>
      </c>
      <c r="B8" s="46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1"/>
      <c r="AD8" s="43"/>
    </row>
    <row r="9" spans="1:30" s="21" customFormat="1" ht="42" customHeight="1" x14ac:dyDescent="0.2">
      <c r="A9" s="30" t="s">
        <v>2</v>
      </c>
      <c r="B9" s="467" t="s">
        <v>1056</v>
      </c>
      <c r="C9" s="468"/>
      <c r="D9" s="468"/>
      <c r="E9" s="468"/>
      <c r="F9" s="468"/>
      <c r="G9" s="468"/>
      <c r="H9" s="468"/>
      <c r="I9" s="468"/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68"/>
      <c r="X9" s="468"/>
      <c r="Y9" s="468"/>
      <c r="Z9" s="468"/>
      <c r="AA9" s="468"/>
      <c r="AB9" s="468"/>
      <c r="AC9" s="468"/>
      <c r="AD9" s="44"/>
    </row>
    <row r="10" spans="1:30" ht="21" customHeight="1" x14ac:dyDescent="0.2">
      <c r="A10" s="30" t="s">
        <v>1095</v>
      </c>
      <c r="B10" s="467" t="s">
        <v>1096</v>
      </c>
      <c r="C10" s="468"/>
      <c r="D10" s="468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90"/>
    </row>
    <row r="11" spans="1:30" s="18" customFormat="1" ht="91.15" customHeight="1" x14ac:dyDescent="0.2">
      <c r="A11" s="45" t="s">
        <v>1097</v>
      </c>
      <c r="B11" s="46" t="s">
        <v>467</v>
      </c>
      <c r="C11" s="47">
        <f>E11+J11+O11+T11+Y11</f>
        <v>0</v>
      </c>
      <c r="D11" s="48">
        <f>F11+K11+P11+U11+Z11</f>
        <v>0</v>
      </c>
      <c r="E11" s="47">
        <f t="shared" ref="E11:AC11" si="0">E12+E13+E14</f>
        <v>0</v>
      </c>
      <c r="F11" s="48">
        <f t="shared" si="0"/>
        <v>0</v>
      </c>
      <c r="G11" s="48">
        <f t="shared" si="0"/>
        <v>0</v>
      </c>
      <c r="H11" s="48">
        <f t="shared" si="0"/>
        <v>0</v>
      </c>
      <c r="I11" s="48">
        <f t="shared" si="0"/>
        <v>0</v>
      </c>
      <c r="J11" s="47">
        <f>J12+J13+J14</f>
        <v>0</v>
      </c>
      <c r="K11" s="48">
        <f t="shared" si="0"/>
        <v>0</v>
      </c>
      <c r="L11" s="48">
        <f t="shared" si="0"/>
        <v>0</v>
      </c>
      <c r="M11" s="48">
        <f t="shared" si="0"/>
        <v>0</v>
      </c>
      <c r="N11" s="48">
        <f>N12+N13+N14</f>
        <v>0</v>
      </c>
      <c r="O11" s="400">
        <f t="shared" si="0"/>
        <v>0</v>
      </c>
      <c r="P11" s="389">
        <f t="shared" si="0"/>
        <v>0</v>
      </c>
      <c r="Q11" s="389">
        <f t="shared" si="0"/>
        <v>0</v>
      </c>
      <c r="R11" s="389">
        <f t="shared" si="0"/>
        <v>0</v>
      </c>
      <c r="S11" s="389">
        <f t="shared" si="0"/>
        <v>0</v>
      </c>
      <c r="T11" s="47">
        <f t="shared" si="0"/>
        <v>0</v>
      </c>
      <c r="U11" s="48">
        <f t="shared" si="0"/>
        <v>0</v>
      </c>
      <c r="V11" s="48">
        <f t="shared" si="0"/>
        <v>0</v>
      </c>
      <c r="W11" s="48">
        <f t="shared" si="0"/>
        <v>0</v>
      </c>
      <c r="X11" s="48">
        <f t="shared" si="0"/>
        <v>0</v>
      </c>
      <c r="Y11" s="47">
        <f t="shared" si="0"/>
        <v>0</v>
      </c>
      <c r="Z11" s="48">
        <f t="shared" si="0"/>
        <v>0</v>
      </c>
      <c r="AA11" s="48">
        <f t="shared" si="0"/>
        <v>0</v>
      </c>
      <c r="AB11" s="48">
        <f t="shared" si="0"/>
        <v>0</v>
      </c>
      <c r="AC11" s="48">
        <f t="shared" si="0"/>
        <v>0</v>
      </c>
    </row>
    <row r="12" spans="1:30" s="18" customFormat="1" ht="85.15" customHeight="1" outlineLevel="1" x14ac:dyDescent="0.2">
      <c r="A12" s="49" t="s">
        <v>1098</v>
      </c>
      <c r="B12" s="50" t="s">
        <v>468</v>
      </c>
      <c r="C12" s="51">
        <f t="shared" ref="C12:C22" si="1">E12+J12+O12+T12+Y12</f>
        <v>0</v>
      </c>
      <c r="D12" s="52">
        <f t="shared" ref="D12:D38" si="2">F12+K12+P12+U12+Z12</f>
        <v>0</v>
      </c>
      <c r="E12" s="51">
        <v>0</v>
      </c>
      <c r="F12" s="52">
        <v>0</v>
      </c>
      <c r="G12" s="52">
        <v>0</v>
      </c>
      <c r="H12" s="52">
        <v>0</v>
      </c>
      <c r="I12" s="52">
        <v>0</v>
      </c>
      <c r="J12" s="53">
        <v>0</v>
      </c>
      <c r="K12" s="52">
        <f>SUM(L12:N12)</f>
        <v>0</v>
      </c>
      <c r="L12" s="52">
        <v>0</v>
      </c>
      <c r="M12" s="54">
        <v>0</v>
      </c>
      <c r="N12" s="54">
        <f>7196-7196</f>
        <v>0</v>
      </c>
      <c r="O12" s="401">
        <f>0.58-0.58</f>
        <v>0</v>
      </c>
      <c r="P12" s="390">
        <f>Q12+R12+S12</f>
        <v>0</v>
      </c>
      <c r="Q12" s="391">
        <v>0</v>
      </c>
      <c r="R12" s="391">
        <v>0</v>
      </c>
      <c r="S12" s="391">
        <f>6622-6622</f>
        <v>0</v>
      </c>
      <c r="T12" s="53">
        <v>0</v>
      </c>
      <c r="U12" s="52">
        <f>W12+X12+V12</f>
        <v>0</v>
      </c>
      <c r="V12" s="54">
        <v>0</v>
      </c>
      <c r="W12" s="54">
        <v>0</v>
      </c>
      <c r="X12" s="54">
        <v>0</v>
      </c>
      <c r="Y12" s="53">
        <v>0</v>
      </c>
      <c r="Z12" s="52">
        <f>AB12+AC12+AA12</f>
        <v>0</v>
      </c>
      <c r="AA12" s="54">
        <v>0</v>
      </c>
      <c r="AB12" s="54">
        <v>0</v>
      </c>
      <c r="AC12" s="54">
        <v>0</v>
      </c>
    </row>
    <row r="13" spans="1:30" s="18" customFormat="1" ht="101.45" customHeight="1" outlineLevel="1" x14ac:dyDescent="0.2">
      <c r="A13" s="49" t="s">
        <v>1099</v>
      </c>
      <c r="B13" s="50" t="s">
        <v>469</v>
      </c>
      <c r="C13" s="51">
        <f t="shared" si="1"/>
        <v>0</v>
      </c>
      <c r="D13" s="52">
        <f t="shared" si="2"/>
        <v>0</v>
      </c>
      <c r="E13" s="51">
        <v>0</v>
      </c>
      <c r="F13" s="52">
        <f>H13+I13</f>
        <v>0</v>
      </c>
      <c r="G13" s="52">
        <v>0</v>
      </c>
      <c r="H13" s="52">
        <v>0</v>
      </c>
      <c r="I13" s="52">
        <v>0</v>
      </c>
      <c r="J13" s="53">
        <v>0</v>
      </c>
      <c r="K13" s="52">
        <f>SUM(L13:N13)</f>
        <v>0</v>
      </c>
      <c r="L13" s="52">
        <v>0</v>
      </c>
      <c r="M13" s="54">
        <v>0</v>
      </c>
      <c r="N13" s="54">
        <v>0</v>
      </c>
      <c r="O13" s="53">
        <v>0</v>
      </c>
      <c r="P13" s="52">
        <f>R13+S13</f>
        <v>0</v>
      </c>
      <c r="Q13" s="54">
        <v>0</v>
      </c>
      <c r="R13" s="54">
        <v>0</v>
      </c>
      <c r="S13" s="54">
        <v>0</v>
      </c>
      <c r="T13" s="53">
        <v>0</v>
      </c>
      <c r="U13" s="52">
        <f>W13+X13</f>
        <v>0</v>
      </c>
      <c r="V13" s="54">
        <v>0</v>
      </c>
      <c r="W13" s="54">
        <v>0</v>
      </c>
      <c r="X13" s="54">
        <v>0</v>
      </c>
      <c r="Y13" s="53">
        <v>0</v>
      </c>
      <c r="Z13" s="52">
        <f>AB13+AC13</f>
        <v>0</v>
      </c>
      <c r="AA13" s="54">
        <v>0</v>
      </c>
      <c r="AB13" s="54">
        <v>0</v>
      </c>
      <c r="AC13" s="54">
        <v>0</v>
      </c>
    </row>
    <row r="14" spans="1:30" s="18" customFormat="1" ht="99.6" customHeight="1" outlineLevel="1" x14ac:dyDescent="0.2">
      <c r="A14" s="49" t="s">
        <v>1100</v>
      </c>
      <c r="B14" s="50" t="s">
        <v>470</v>
      </c>
      <c r="C14" s="51">
        <f t="shared" si="1"/>
        <v>0</v>
      </c>
      <c r="D14" s="52">
        <f t="shared" si="2"/>
        <v>0</v>
      </c>
      <c r="E14" s="51">
        <v>0</v>
      </c>
      <c r="F14" s="52">
        <v>0</v>
      </c>
      <c r="G14" s="52">
        <v>0</v>
      </c>
      <c r="H14" s="52">
        <v>0</v>
      </c>
      <c r="I14" s="52">
        <v>0</v>
      </c>
      <c r="J14" s="53">
        <v>0</v>
      </c>
      <c r="K14" s="52">
        <f>SUM(L14:N14)</f>
        <v>0</v>
      </c>
      <c r="L14" s="52">
        <v>0</v>
      </c>
      <c r="M14" s="54">
        <v>0</v>
      </c>
      <c r="N14" s="54">
        <v>0</v>
      </c>
      <c r="O14" s="53">
        <v>0</v>
      </c>
      <c r="P14" s="52">
        <f>R14+S14</f>
        <v>0</v>
      </c>
      <c r="Q14" s="54">
        <v>0</v>
      </c>
      <c r="R14" s="54">
        <v>0</v>
      </c>
      <c r="S14" s="54">
        <v>0</v>
      </c>
      <c r="T14" s="53">
        <v>0</v>
      </c>
      <c r="U14" s="52">
        <f>W14+X14</f>
        <v>0</v>
      </c>
      <c r="V14" s="54">
        <v>0</v>
      </c>
      <c r="W14" s="54">
        <v>0</v>
      </c>
      <c r="X14" s="54">
        <v>0</v>
      </c>
      <c r="Y14" s="53">
        <v>0</v>
      </c>
      <c r="Z14" s="52">
        <f>AB14+AC14</f>
        <v>0</v>
      </c>
      <c r="AA14" s="54">
        <v>0</v>
      </c>
      <c r="AB14" s="54">
        <v>0</v>
      </c>
      <c r="AC14" s="54">
        <v>0</v>
      </c>
    </row>
    <row r="15" spans="1:30" s="18" customFormat="1" ht="53.25" customHeight="1" x14ac:dyDescent="0.2">
      <c r="A15" s="45" t="s">
        <v>1101</v>
      </c>
      <c r="B15" s="46" t="s">
        <v>579</v>
      </c>
      <c r="C15" s="47">
        <f>E15+J15+O15+T15+Y15</f>
        <v>0</v>
      </c>
      <c r="D15" s="48">
        <f>F15+K15+P15+U15+Z15</f>
        <v>0</v>
      </c>
      <c r="E15" s="47">
        <f>E16+E17+E18</f>
        <v>0</v>
      </c>
      <c r="F15" s="48">
        <f t="shared" ref="F15:AC15" si="3">F16+F17+F18</f>
        <v>0</v>
      </c>
      <c r="G15" s="48">
        <f t="shared" si="3"/>
        <v>0</v>
      </c>
      <c r="H15" s="48">
        <f t="shared" si="3"/>
        <v>0</v>
      </c>
      <c r="I15" s="48">
        <f t="shared" si="3"/>
        <v>0</v>
      </c>
      <c r="J15" s="47">
        <f t="shared" si="3"/>
        <v>0</v>
      </c>
      <c r="K15" s="48">
        <f>K16+K17+K18</f>
        <v>0</v>
      </c>
      <c r="L15" s="48">
        <f t="shared" si="3"/>
        <v>0</v>
      </c>
      <c r="M15" s="48">
        <f t="shared" si="3"/>
        <v>0</v>
      </c>
      <c r="N15" s="48">
        <f>N16+N17+N18</f>
        <v>0</v>
      </c>
      <c r="O15" s="47">
        <f>O16+O17+O18</f>
        <v>0</v>
      </c>
      <c r="P15" s="48">
        <f t="shared" si="3"/>
        <v>0</v>
      </c>
      <c r="Q15" s="48">
        <f t="shared" si="3"/>
        <v>0</v>
      </c>
      <c r="R15" s="48">
        <f t="shared" si="3"/>
        <v>0</v>
      </c>
      <c r="S15" s="48">
        <f t="shared" si="3"/>
        <v>0</v>
      </c>
      <c r="T15" s="47">
        <f t="shared" si="3"/>
        <v>0</v>
      </c>
      <c r="U15" s="48">
        <f t="shared" si="3"/>
        <v>0</v>
      </c>
      <c r="V15" s="48">
        <f t="shared" si="3"/>
        <v>0</v>
      </c>
      <c r="W15" s="48">
        <f t="shared" si="3"/>
        <v>0</v>
      </c>
      <c r="X15" s="48">
        <f t="shared" si="3"/>
        <v>0</v>
      </c>
      <c r="Y15" s="47">
        <f t="shared" si="3"/>
        <v>0</v>
      </c>
      <c r="Z15" s="48">
        <f t="shared" si="3"/>
        <v>0</v>
      </c>
      <c r="AA15" s="48">
        <f t="shared" si="3"/>
        <v>0</v>
      </c>
      <c r="AB15" s="48">
        <f t="shared" si="3"/>
        <v>0</v>
      </c>
      <c r="AC15" s="48">
        <f t="shared" si="3"/>
        <v>0</v>
      </c>
    </row>
    <row r="16" spans="1:30" s="18" customFormat="1" ht="52.15" customHeight="1" outlineLevel="1" x14ac:dyDescent="0.2">
      <c r="A16" s="49" t="s">
        <v>1102</v>
      </c>
      <c r="B16" s="50" t="s">
        <v>579</v>
      </c>
      <c r="C16" s="51">
        <f t="shared" si="1"/>
        <v>0</v>
      </c>
      <c r="D16" s="52">
        <f>F16+K16+P16+U16+Z16</f>
        <v>0</v>
      </c>
      <c r="E16" s="51">
        <v>0</v>
      </c>
      <c r="F16" s="52">
        <v>0</v>
      </c>
      <c r="G16" s="52">
        <v>0</v>
      </c>
      <c r="H16" s="52">
        <v>0</v>
      </c>
      <c r="I16" s="52">
        <v>0</v>
      </c>
      <c r="J16" s="53">
        <v>0</v>
      </c>
      <c r="K16" s="52">
        <v>0</v>
      </c>
      <c r="L16" s="52">
        <v>0</v>
      </c>
      <c r="M16" s="54">
        <v>0</v>
      </c>
      <c r="N16" s="54">
        <v>0</v>
      </c>
      <c r="O16" s="53">
        <v>0</v>
      </c>
      <c r="P16" s="54">
        <f>Q16+R16+S16</f>
        <v>0</v>
      </c>
      <c r="Q16" s="54">
        <v>0</v>
      </c>
      <c r="R16" s="54">
        <v>0</v>
      </c>
      <c r="S16" s="54">
        <v>0</v>
      </c>
      <c r="T16" s="53">
        <v>0</v>
      </c>
      <c r="U16" s="54">
        <v>0</v>
      </c>
      <c r="V16" s="54">
        <v>0</v>
      </c>
      <c r="W16" s="54">
        <v>0</v>
      </c>
      <c r="X16" s="54">
        <v>0</v>
      </c>
      <c r="Y16" s="53">
        <v>0</v>
      </c>
      <c r="Z16" s="54">
        <v>0</v>
      </c>
      <c r="AA16" s="54">
        <v>0</v>
      </c>
      <c r="AB16" s="54">
        <v>0</v>
      </c>
      <c r="AC16" s="54">
        <v>0</v>
      </c>
    </row>
    <row r="17" spans="1:29" s="18" customFormat="1" ht="76.150000000000006" customHeight="1" outlineLevel="1" x14ac:dyDescent="0.2">
      <c r="A17" s="49" t="s">
        <v>1103</v>
      </c>
      <c r="B17" s="50" t="s">
        <v>580</v>
      </c>
      <c r="C17" s="51">
        <f t="shared" si="1"/>
        <v>0</v>
      </c>
      <c r="D17" s="52">
        <f>F17+K17+P17+U17+Z17</f>
        <v>0</v>
      </c>
      <c r="E17" s="51">
        <v>0</v>
      </c>
      <c r="F17" s="52">
        <v>0</v>
      </c>
      <c r="G17" s="52">
        <v>0</v>
      </c>
      <c r="H17" s="52">
        <v>0</v>
      </c>
      <c r="I17" s="52">
        <v>0</v>
      </c>
      <c r="J17" s="53">
        <v>0</v>
      </c>
      <c r="K17" s="52">
        <f>SUM(L17:N17)</f>
        <v>0</v>
      </c>
      <c r="L17" s="52">
        <v>0</v>
      </c>
      <c r="M17" s="54">
        <v>0</v>
      </c>
      <c r="N17" s="54">
        <v>0</v>
      </c>
      <c r="O17" s="53">
        <v>0</v>
      </c>
      <c r="P17" s="54">
        <v>0</v>
      </c>
      <c r="Q17" s="54">
        <v>0</v>
      </c>
      <c r="R17" s="54">
        <v>0</v>
      </c>
      <c r="S17" s="54">
        <v>0</v>
      </c>
      <c r="T17" s="53">
        <v>0</v>
      </c>
      <c r="U17" s="54">
        <v>0</v>
      </c>
      <c r="V17" s="54">
        <v>0</v>
      </c>
      <c r="W17" s="54">
        <v>0</v>
      </c>
      <c r="X17" s="54">
        <v>0</v>
      </c>
      <c r="Y17" s="53">
        <v>0</v>
      </c>
      <c r="Z17" s="54">
        <v>0</v>
      </c>
      <c r="AA17" s="54">
        <v>0</v>
      </c>
      <c r="AB17" s="54">
        <v>0</v>
      </c>
      <c r="AC17" s="54">
        <v>0</v>
      </c>
    </row>
    <row r="18" spans="1:29" s="18" customFormat="1" ht="76.150000000000006" customHeight="1" outlineLevel="1" x14ac:dyDescent="0.2">
      <c r="A18" s="49" t="s">
        <v>1104</v>
      </c>
      <c r="B18" s="50" t="s">
        <v>581</v>
      </c>
      <c r="C18" s="51">
        <f t="shared" si="1"/>
        <v>0</v>
      </c>
      <c r="D18" s="52">
        <f>F18+K18+P18+U18+Z18</f>
        <v>0</v>
      </c>
      <c r="E18" s="51">
        <f>H18+L18+Q18+V18</f>
        <v>0</v>
      </c>
      <c r="F18" s="52">
        <v>0</v>
      </c>
      <c r="G18" s="52">
        <v>0</v>
      </c>
      <c r="H18" s="52">
        <v>0</v>
      </c>
      <c r="I18" s="52">
        <v>0</v>
      </c>
      <c r="J18" s="53">
        <v>0</v>
      </c>
      <c r="K18" s="52">
        <f>SUM(L18:N18)</f>
        <v>0</v>
      </c>
      <c r="L18" s="52">
        <v>0</v>
      </c>
      <c r="M18" s="54">
        <v>0</v>
      </c>
      <c r="N18" s="54">
        <v>0</v>
      </c>
      <c r="O18" s="53">
        <v>0</v>
      </c>
      <c r="P18" s="54">
        <v>0</v>
      </c>
      <c r="Q18" s="54">
        <v>0</v>
      </c>
      <c r="R18" s="54">
        <v>0</v>
      </c>
      <c r="S18" s="54">
        <v>0</v>
      </c>
      <c r="T18" s="53">
        <v>0</v>
      </c>
      <c r="U18" s="54">
        <v>0</v>
      </c>
      <c r="V18" s="54">
        <v>0</v>
      </c>
      <c r="W18" s="54">
        <v>0</v>
      </c>
      <c r="X18" s="54">
        <v>0</v>
      </c>
      <c r="Y18" s="53">
        <v>0</v>
      </c>
      <c r="Z18" s="54">
        <v>0</v>
      </c>
      <c r="AA18" s="54">
        <v>0</v>
      </c>
      <c r="AB18" s="54">
        <v>0</v>
      </c>
      <c r="AC18" s="54">
        <v>0</v>
      </c>
    </row>
    <row r="19" spans="1:29" s="18" customFormat="1" ht="73.900000000000006" customHeight="1" x14ac:dyDescent="0.2">
      <c r="A19" s="45" t="s">
        <v>1105</v>
      </c>
      <c r="B19" s="46" t="s">
        <v>37</v>
      </c>
      <c r="C19" s="47">
        <f t="shared" si="1"/>
        <v>4.2</v>
      </c>
      <c r="D19" s="48">
        <f>F19+K19+P19+U19+Z19</f>
        <v>8606</v>
      </c>
      <c r="E19" s="47">
        <f>E20+E21+E22</f>
        <v>0</v>
      </c>
      <c r="F19" s="48">
        <f t="shared" ref="F19:Y19" si="4">F20+F21+F22</f>
        <v>0</v>
      </c>
      <c r="G19" s="48">
        <f t="shared" si="4"/>
        <v>0</v>
      </c>
      <c r="H19" s="48">
        <f t="shared" si="4"/>
        <v>0</v>
      </c>
      <c r="I19" s="48">
        <f t="shared" si="4"/>
        <v>0</v>
      </c>
      <c r="J19" s="45">
        <f t="shared" si="4"/>
        <v>0</v>
      </c>
      <c r="K19" s="48">
        <f t="shared" si="4"/>
        <v>0</v>
      </c>
      <c r="L19" s="48">
        <f t="shared" si="4"/>
        <v>0</v>
      </c>
      <c r="M19" s="48">
        <f t="shared" si="4"/>
        <v>0</v>
      </c>
      <c r="N19" s="48">
        <f t="shared" si="4"/>
        <v>0</v>
      </c>
      <c r="O19" s="400">
        <f>O20+O21+O22</f>
        <v>0</v>
      </c>
      <c r="P19" s="389">
        <f t="shared" si="4"/>
        <v>8128</v>
      </c>
      <c r="Q19" s="389">
        <f t="shared" si="4"/>
        <v>0</v>
      </c>
      <c r="R19" s="389">
        <f t="shared" si="4"/>
        <v>0</v>
      </c>
      <c r="S19" s="389">
        <f>S20+S21+S22</f>
        <v>8128</v>
      </c>
      <c r="T19" s="400">
        <f t="shared" si="4"/>
        <v>4.2</v>
      </c>
      <c r="U19" s="389">
        <f>U20+U21+U22</f>
        <v>478</v>
      </c>
      <c r="V19" s="389">
        <f>V20+V21+V22</f>
        <v>0</v>
      </c>
      <c r="W19" s="389">
        <f>W20+W21+W22</f>
        <v>0</v>
      </c>
      <c r="X19" s="389">
        <f>X20+X21+X22</f>
        <v>478</v>
      </c>
      <c r="Y19" s="47">
        <f t="shared" si="4"/>
        <v>0</v>
      </c>
      <c r="Z19" s="48">
        <f>Z20+Z21+Z22</f>
        <v>0</v>
      </c>
      <c r="AA19" s="48">
        <f>AA20+AA21+AA22</f>
        <v>0</v>
      </c>
      <c r="AB19" s="48">
        <f>AB20+AB21+AB22</f>
        <v>0</v>
      </c>
      <c r="AC19" s="48">
        <f>AC20+AC21+AC22</f>
        <v>0</v>
      </c>
    </row>
    <row r="20" spans="1:29" ht="69" customHeight="1" outlineLevel="1" x14ac:dyDescent="0.2">
      <c r="A20" s="49" t="s">
        <v>1106</v>
      </c>
      <c r="B20" s="50" t="s">
        <v>83</v>
      </c>
      <c r="C20" s="51">
        <f t="shared" si="1"/>
        <v>4.2</v>
      </c>
      <c r="D20" s="52">
        <f>F20+K20+P20+U20+Z20</f>
        <v>8606</v>
      </c>
      <c r="E20" s="51">
        <v>0</v>
      </c>
      <c r="F20" s="52">
        <v>0</v>
      </c>
      <c r="G20" s="52">
        <v>0</v>
      </c>
      <c r="H20" s="52">
        <v>0</v>
      </c>
      <c r="I20" s="52">
        <v>0</v>
      </c>
      <c r="J20" s="51">
        <f>1.1-1.1</f>
        <v>0</v>
      </c>
      <c r="K20" s="52">
        <f t="shared" ref="K20:K38" si="5">SUM(L20:N20)</f>
        <v>0</v>
      </c>
      <c r="L20" s="52">
        <v>0</v>
      </c>
      <c r="M20" s="54">
        <f>100000-100000</f>
        <v>0</v>
      </c>
      <c r="N20" s="54">
        <f>6157-6157</f>
        <v>0</v>
      </c>
      <c r="O20" s="401">
        <v>0</v>
      </c>
      <c r="P20" s="391">
        <f>Q20+R20+S20</f>
        <v>8128</v>
      </c>
      <c r="Q20" s="391">
        <v>0</v>
      </c>
      <c r="R20" s="391">
        <v>0</v>
      </c>
      <c r="S20" s="391">
        <f>8576-360-88</f>
        <v>8128</v>
      </c>
      <c r="T20" s="401">
        <v>4.2</v>
      </c>
      <c r="U20" s="393">
        <f>W20+X20</f>
        <v>478</v>
      </c>
      <c r="V20" s="393">
        <v>0</v>
      </c>
      <c r="W20" s="393">
        <v>0</v>
      </c>
      <c r="X20" s="393">
        <f>13519-13041</f>
        <v>478</v>
      </c>
      <c r="Y20" s="38">
        <v>0</v>
      </c>
      <c r="Z20" s="54">
        <f>AB20+AC20</f>
        <v>0</v>
      </c>
      <c r="AA20" s="54">
        <v>0</v>
      </c>
      <c r="AB20" s="54">
        <v>0</v>
      </c>
      <c r="AC20" s="54">
        <v>0</v>
      </c>
    </row>
    <row r="21" spans="1:29" ht="84.6" customHeight="1" outlineLevel="1" x14ac:dyDescent="0.2">
      <c r="A21" s="49" t="s">
        <v>1107</v>
      </c>
      <c r="B21" s="50" t="s">
        <v>971</v>
      </c>
      <c r="C21" s="51">
        <f t="shared" si="1"/>
        <v>0</v>
      </c>
      <c r="D21" s="52">
        <f t="shared" si="2"/>
        <v>0</v>
      </c>
      <c r="E21" s="51">
        <v>0</v>
      </c>
      <c r="F21" s="52">
        <v>0</v>
      </c>
      <c r="G21" s="52">
        <v>0</v>
      </c>
      <c r="H21" s="52">
        <v>0</v>
      </c>
      <c r="I21" s="52">
        <v>0</v>
      </c>
      <c r="J21" s="51">
        <v>0</v>
      </c>
      <c r="K21" s="52">
        <v>0</v>
      </c>
      <c r="L21" s="52">
        <v>0</v>
      </c>
      <c r="M21" s="54">
        <v>0</v>
      </c>
      <c r="N21" s="54">
        <v>0</v>
      </c>
      <c r="O21" s="53">
        <v>0</v>
      </c>
      <c r="P21" s="54">
        <v>0</v>
      </c>
      <c r="Q21" s="54">
        <v>0</v>
      </c>
      <c r="R21" s="54">
        <v>0</v>
      </c>
      <c r="S21" s="54">
        <v>0</v>
      </c>
      <c r="T21" s="53">
        <v>0</v>
      </c>
      <c r="U21" s="55">
        <f>W21+X21</f>
        <v>0</v>
      </c>
      <c r="V21" s="55">
        <v>0</v>
      </c>
      <c r="W21" s="55">
        <v>0</v>
      </c>
      <c r="X21" s="55">
        <v>0</v>
      </c>
      <c r="Y21" s="38">
        <v>0</v>
      </c>
      <c r="Z21" s="54">
        <f>-AA21+AB21+AC21</f>
        <v>0</v>
      </c>
      <c r="AA21" s="54">
        <v>0</v>
      </c>
      <c r="AB21" s="54">
        <v>0</v>
      </c>
      <c r="AC21" s="54">
        <f>3150-3150</f>
        <v>0</v>
      </c>
    </row>
    <row r="22" spans="1:29" ht="89.45" customHeight="1" outlineLevel="1" x14ac:dyDescent="0.2">
      <c r="A22" s="49" t="s">
        <v>1108</v>
      </c>
      <c r="B22" s="50" t="s">
        <v>84</v>
      </c>
      <c r="C22" s="51">
        <f t="shared" si="1"/>
        <v>0</v>
      </c>
      <c r="D22" s="52">
        <f t="shared" si="2"/>
        <v>0</v>
      </c>
      <c r="E22" s="51">
        <v>0</v>
      </c>
      <c r="F22" s="52">
        <v>0</v>
      </c>
      <c r="G22" s="52">
        <v>0</v>
      </c>
      <c r="H22" s="52">
        <v>0</v>
      </c>
      <c r="I22" s="52">
        <v>0</v>
      </c>
      <c r="J22" s="51">
        <v>0</v>
      </c>
      <c r="K22" s="52">
        <v>0</v>
      </c>
      <c r="L22" s="52">
        <v>0</v>
      </c>
      <c r="M22" s="54">
        <v>0</v>
      </c>
      <c r="N22" s="54">
        <v>0</v>
      </c>
      <c r="O22" s="53">
        <f>P22+Q22+R22+S22</f>
        <v>0</v>
      </c>
      <c r="P22" s="54">
        <v>0</v>
      </c>
      <c r="Q22" s="54">
        <v>0</v>
      </c>
      <c r="R22" s="54">
        <v>0</v>
      </c>
      <c r="S22" s="54">
        <v>0</v>
      </c>
      <c r="T22" s="53">
        <v>0</v>
      </c>
      <c r="U22" s="55">
        <f>W22+X22</f>
        <v>0</v>
      </c>
      <c r="V22" s="55">
        <v>0</v>
      </c>
      <c r="W22" s="55">
        <v>0</v>
      </c>
      <c r="X22" s="55">
        <v>0</v>
      </c>
      <c r="Y22" s="38">
        <v>0</v>
      </c>
      <c r="Z22" s="54">
        <f>AA22+AB22+AC22</f>
        <v>0</v>
      </c>
      <c r="AA22" s="54">
        <v>0</v>
      </c>
      <c r="AB22" s="54">
        <v>0</v>
      </c>
      <c r="AC22" s="54">
        <f>1100-1100</f>
        <v>0</v>
      </c>
    </row>
    <row r="23" spans="1:29" s="18" customFormat="1" ht="90" customHeight="1" x14ac:dyDescent="0.2">
      <c r="A23" s="45" t="s">
        <v>1109</v>
      </c>
      <c r="B23" s="56" t="s">
        <v>38</v>
      </c>
      <c r="C23" s="47">
        <f>E23+J23+O23++T23+Y23</f>
        <v>0</v>
      </c>
      <c r="D23" s="48">
        <f t="shared" si="2"/>
        <v>0</v>
      </c>
      <c r="E23" s="47">
        <f t="shared" ref="E23:N23" si="6">E24+E25+E26</f>
        <v>0</v>
      </c>
      <c r="F23" s="48">
        <f t="shared" si="6"/>
        <v>0</v>
      </c>
      <c r="G23" s="48">
        <f t="shared" si="6"/>
        <v>0</v>
      </c>
      <c r="H23" s="48">
        <f t="shared" si="6"/>
        <v>0</v>
      </c>
      <c r="I23" s="48">
        <f t="shared" si="6"/>
        <v>0</v>
      </c>
      <c r="J23" s="47">
        <f t="shared" si="6"/>
        <v>0</v>
      </c>
      <c r="K23" s="48">
        <f t="shared" si="6"/>
        <v>0</v>
      </c>
      <c r="L23" s="48">
        <f t="shared" si="6"/>
        <v>0</v>
      </c>
      <c r="M23" s="48">
        <f t="shared" si="6"/>
        <v>0</v>
      </c>
      <c r="N23" s="48">
        <f t="shared" si="6"/>
        <v>0</v>
      </c>
      <c r="O23" s="400">
        <f>O24+O25+O26</f>
        <v>0</v>
      </c>
      <c r="P23" s="389">
        <f t="shared" ref="P23:AC23" si="7">P24+P25+P26</f>
        <v>0</v>
      </c>
      <c r="Q23" s="389">
        <f t="shared" si="7"/>
        <v>0</v>
      </c>
      <c r="R23" s="389">
        <f t="shared" si="7"/>
        <v>0</v>
      </c>
      <c r="S23" s="389">
        <f t="shared" si="7"/>
        <v>0</v>
      </c>
      <c r="T23" s="47">
        <f t="shared" si="7"/>
        <v>0</v>
      </c>
      <c r="U23" s="48">
        <f t="shared" si="7"/>
        <v>0</v>
      </c>
      <c r="V23" s="48">
        <f t="shared" si="7"/>
        <v>0</v>
      </c>
      <c r="W23" s="48">
        <f t="shared" si="7"/>
        <v>0</v>
      </c>
      <c r="X23" s="48">
        <f t="shared" si="7"/>
        <v>0</v>
      </c>
      <c r="Y23" s="47">
        <f t="shared" si="7"/>
        <v>0</v>
      </c>
      <c r="Z23" s="48">
        <f t="shared" si="7"/>
        <v>0</v>
      </c>
      <c r="AA23" s="48">
        <f t="shared" si="7"/>
        <v>0</v>
      </c>
      <c r="AB23" s="48">
        <f t="shared" si="7"/>
        <v>0</v>
      </c>
      <c r="AC23" s="48">
        <f t="shared" si="7"/>
        <v>0</v>
      </c>
    </row>
    <row r="24" spans="1:29" ht="75.599999999999994" customHeight="1" outlineLevel="1" x14ac:dyDescent="0.2">
      <c r="A24" s="49" t="s">
        <v>1110</v>
      </c>
      <c r="B24" s="57" t="s">
        <v>38</v>
      </c>
      <c r="C24" s="51">
        <f>E24+J24+O24+T24+Y24</f>
        <v>0</v>
      </c>
      <c r="D24" s="52">
        <f t="shared" si="2"/>
        <v>0</v>
      </c>
      <c r="E24" s="51">
        <v>0</v>
      </c>
      <c r="F24" s="52">
        <v>0</v>
      </c>
      <c r="G24" s="52">
        <v>0</v>
      </c>
      <c r="H24" s="52">
        <v>0</v>
      </c>
      <c r="I24" s="52">
        <v>0</v>
      </c>
      <c r="J24" s="51">
        <v>0</v>
      </c>
      <c r="K24" s="52">
        <f>L24+M24+N24</f>
        <v>0</v>
      </c>
      <c r="L24" s="52">
        <v>0</v>
      </c>
      <c r="M24" s="54">
        <f>ROUND(7389.22*0.959,1)-7086.3</f>
        <v>0</v>
      </c>
      <c r="N24" s="54">
        <f>474-474</f>
        <v>0</v>
      </c>
      <c r="O24" s="401">
        <f>0.9-0.9</f>
        <v>0</v>
      </c>
      <c r="P24" s="391">
        <f>Q24+R24+S24</f>
        <v>0</v>
      </c>
      <c r="Q24" s="391">
        <v>0</v>
      </c>
      <c r="R24" s="391">
        <v>0</v>
      </c>
      <c r="S24" s="391">
        <f>509-509</f>
        <v>0</v>
      </c>
      <c r="T24" s="53">
        <v>0</v>
      </c>
      <c r="U24" s="55">
        <v>0</v>
      </c>
      <c r="V24" s="55">
        <v>0</v>
      </c>
      <c r="W24" s="55">
        <v>0</v>
      </c>
      <c r="X24" s="55">
        <v>0</v>
      </c>
      <c r="Y24" s="38">
        <v>0</v>
      </c>
      <c r="Z24" s="54">
        <v>0</v>
      </c>
      <c r="AA24" s="54">
        <v>0</v>
      </c>
      <c r="AB24" s="54">
        <v>0</v>
      </c>
      <c r="AC24" s="54">
        <v>0</v>
      </c>
    </row>
    <row r="25" spans="1:29" ht="89.25" customHeight="1" outlineLevel="1" x14ac:dyDescent="0.2">
      <c r="A25" s="49" t="s">
        <v>1111</v>
      </c>
      <c r="B25" s="57" t="s">
        <v>39</v>
      </c>
      <c r="C25" s="51">
        <f>E25+J25+O25+T25+Y25</f>
        <v>0</v>
      </c>
      <c r="D25" s="52">
        <f t="shared" si="2"/>
        <v>0</v>
      </c>
      <c r="E25" s="51">
        <v>0</v>
      </c>
      <c r="F25" s="52">
        <v>0</v>
      </c>
      <c r="G25" s="52">
        <v>0</v>
      </c>
      <c r="H25" s="52">
        <v>0</v>
      </c>
      <c r="I25" s="52">
        <v>0</v>
      </c>
      <c r="J25" s="51">
        <v>0</v>
      </c>
      <c r="K25" s="52">
        <f>L25+M25+N25</f>
        <v>0</v>
      </c>
      <c r="L25" s="52">
        <v>0</v>
      </c>
      <c r="M25" s="54">
        <v>0</v>
      </c>
      <c r="N25" s="54">
        <f>175-53-122</f>
        <v>0</v>
      </c>
      <c r="O25" s="53">
        <v>0</v>
      </c>
      <c r="P25" s="54">
        <f>S25</f>
        <v>0</v>
      </c>
      <c r="Q25" s="54">
        <v>0</v>
      </c>
      <c r="R25" s="54">
        <v>0</v>
      </c>
      <c r="S25" s="54">
        <v>0</v>
      </c>
      <c r="T25" s="53">
        <v>0</v>
      </c>
      <c r="U25" s="55">
        <f>V25+W25+X25</f>
        <v>0</v>
      </c>
      <c r="V25" s="55">
        <v>0</v>
      </c>
      <c r="W25" s="55">
        <v>0</v>
      </c>
      <c r="X25" s="55">
        <v>0</v>
      </c>
      <c r="Y25" s="38">
        <v>0</v>
      </c>
      <c r="Z25" s="54">
        <v>0</v>
      </c>
      <c r="AA25" s="54">
        <v>0</v>
      </c>
      <c r="AB25" s="54">
        <v>0</v>
      </c>
      <c r="AC25" s="54">
        <v>0</v>
      </c>
    </row>
    <row r="26" spans="1:29" ht="85.5" customHeight="1" outlineLevel="1" x14ac:dyDescent="0.2">
      <c r="A26" s="49" t="s">
        <v>1112</v>
      </c>
      <c r="B26" s="57" t="s">
        <v>85</v>
      </c>
      <c r="C26" s="51">
        <f>E26+J26+O26+T26+Y26</f>
        <v>0</v>
      </c>
      <c r="D26" s="52">
        <f t="shared" si="2"/>
        <v>0</v>
      </c>
      <c r="E26" s="51">
        <v>0</v>
      </c>
      <c r="F26" s="52">
        <v>0</v>
      </c>
      <c r="G26" s="52">
        <v>0</v>
      </c>
      <c r="H26" s="52">
        <v>0</v>
      </c>
      <c r="I26" s="52">
        <v>0</v>
      </c>
      <c r="J26" s="51">
        <v>0</v>
      </c>
      <c r="K26" s="52">
        <f>L26+M26+N26</f>
        <v>0</v>
      </c>
      <c r="L26" s="52">
        <v>0</v>
      </c>
      <c r="M26" s="54">
        <v>0</v>
      </c>
      <c r="N26" s="54">
        <f>16-16</f>
        <v>0</v>
      </c>
      <c r="O26" s="53">
        <v>0</v>
      </c>
      <c r="P26" s="54">
        <f>S26</f>
        <v>0</v>
      </c>
      <c r="Q26" s="54">
        <v>0</v>
      </c>
      <c r="R26" s="54">
        <v>0</v>
      </c>
      <c r="S26" s="54">
        <v>0</v>
      </c>
      <c r="T26" s="53">
        <v>0</v>
      </c>
      <c r="U26" s="55">
        <f>V26+W26+X26</f>
        <v>0</v>
      </c>
      <c r="V26" s="55">
        <v>0</v>
      </c>
      <c r="W26" s="55">
        <v>0</v>
      </c>
      <c r="X26" s="55">
        <v>0</v>
      </c>
      <c r="Y26" s="38">
        <v>0</v>
      </c>
      <c r="Z26" s="54">
        <v>0</v>
      </c>
      <c r="AA26" s="54">
        <v>0</v>
      </c>
      <c r="AB26" s="54">
        <v>0</v>
      </c>
      <c r="AC26" s="54">
        <v>0</v>
      </c>
    </row>
    <row r="27" spans="1:29" ht="83.45" customHeight="1" x14ac:dyDescent="0.2">
      <c r="A27" s="45" t="s">
        <v>1113</v>
      </c>
      <c r="B27" s="56" t="s">
        <v>86</v>
      </c>
      <c r="C27" s="47">
        <f>C28+C29+C30</f>
        <v>0</v>
      </c>
      <c r="D27" s="48">
        <f t="shared" ref="D27:K27" si="8">D28+D29+D30</f>
        <v>0</v>
      </c>
      <c r="E27" s="47">
        <f t="shared" si="8"/>
        <v>0</v>
      </c>
      <c r="F27" s="48">
        <f t="shared" si="8"/>
        <v>0</v>
      </c>
      <c r="G27" s="48">
        <f t="shared" si="8"/>
        <v>0</v>
      </c>
      <c r="H27" s="48">
        <f t="shared" si="8"/>
        <v>0</v>
      </c>
      <c r="I27" s="48">
        <f t="shared" si="8"/>
        <v>0</v>
      </c>
      <c r="J27" s="47">
        <f t="shared" si="8"/>
        <v>0</v>
      </c>
      <c r="K27" s="48">
        <f t="shared" si="8"/>
        <v>0</v>
      </c>
      <c r="L27" s="48">
        <f>L28+L29+L30</f>
        <v>0</v>
      </c>
      <c r="M27" s="48">
        <f>M28+M29+M30</f>
        <v>0</v>
      </c>
      <c r="N27" s="48">
        <v>0</v>
      </c>
      <c r="O27" s="47">
        <f t="shared" ref="O27:AA27" si="9">O28+O29+O30</f>
        <v>0</v>
      </c>
      <c r="P27" s="48">
        <f t="shared" si="9"/>
        <v>0</v>
      </c>
      <c r="Q27" s="48">
        <f t="shared" si="9"/>
        <v>0</v>
      </c>
      <c r="R27" s="48">
        <f t="shared" si="9"/>
        <v>0</v>
      </c>
      <c r="S27" s="48">
        <f t="shared" si="9"/>
        <v>0</v>
      </c>
      <c r="T27" s="47">
        <f t="shared" si="9"/>
        <v>0</v>
      </c>
      <c r="U27" s="48">
        <f>U28+U29+U30</f>
        <v>0</v>
      </c>
      <c r="V27" s="48">
        <f t="shared" si="9"/>
        <v>0</v>
      </c>
      <c r="W27" s="48">
        <f>W28+W29+W30</f>
        <v>0</v>
      </c>
      <c r="X27" s="48">
        <f>X28+X29+X30</f>
        <v>0</v>
      </c>
      <c r="Y27" s="47">
        <f t="shared" si="9"/>
        <v>0</v>
      </c>
      <c r="Z27" s="48">
        <f>Z28+Z29+Z30</f>
        <v>0</v>
      </c>
      <c r="AA27" s="48">
        <f t="shared" si="9"/>
        <v>0</v>
      </c>
      <c r="AB27" s="48">
        <f>AB28+AB29+AB30</f>
        <v>0</v>
      </c>
      <c r="AC27" s="48">
        <f>AC28+AC29+AC30</f>
        <v>0</v>
      </c>
    </row>
    <row r="28" spans="1:29" ht="81" customHeight="1" outlineLevel="1" x14ac:dyDescent="0.2">
      <c r="A28" s="49" t="s">
        <v>1114</v>
      </c>
      <c r="B28" s="57" t="s">
        <v>86</v>
      </c>
      <c r="C28" s="51">
        <f t="shared" ref="C28:C34" si="10">E28+J28+O28+T28+Y28</f>
        <v>0</v>
      </c>
      <c r="D28" s="52">
        <f t="shared" si="2"/>
        <v>0</v>
      </c>
      <c r="E28" s="51">
        <v>0</v>
      </c>
      <c r="F28" s="52">
        <v>0</v>
      </c>
      <c r="G28" s="52">
        <v>0</v>
      </c>
      <c r="H28" s="52">
        <v>0</v>
      </c>
      <c r="I28" s="52">
        <v>0</v>
      </c>
      <c r="J28" s="51">
        <v>0</v>
      </c>
      <c r="K28" s="52">
        <f t="shared" si="5"/>
        <v>0</v>
      </c>
      <c r="L28" s="52">
        <v>0</v>
      </c>
      <c r="M28" s="52">
        <f>ROUND(27438.82*0.959,1)-26313.8</f>
        <v>0</v>
      </c>
      <c r="N28" s="52">
        <v>0</v>
      </c>
      <c r="O28" s="51">
        <v>0</v>
      </c>
      <c r="P28" s="52">
        <v>0</v>
      </c>
      <c r="Q28" s="52">
        <v>0</v>
      </c>
      <c r="R28" s="54">
        <v>0</v>
      </c>
      <c r="S28" s="54">
        <v>0</v>
      </c>
      <c r="T28" s="53">
        <v>0</v>
      </c>
      <c r="U28" s="52">
        <f>V28+W28+X28</f>
        <v>0</v>
      </c>
      <c r="V28" s="52">
        <v>0</v>
      </c>
      <c r="W28" s="54">
        <v>0</v>
      </c>
      <c r="X28" s="54">
        <v>0</v>
      </c>
      <c r="Y28" s="53">
        <v>0</v>
      </c>
      <c r="Z28" s="52">
        <f>AA28+AB28+AC28</f>
        <v>0</v>
      </c>
      <c r="AA28" s="54">
        <v>0</v>
      </c>
      <c r="AB28" s="54">
        <v>0</v>
      </c>
      <c r="AC28" s="54">
        <v>0</v>
      </c>
    </row>
    <row r="29" spans="1:29" ht="105.6" customHeight="1" outlineLevel="1" x14ac:dyDescent="0.2">
      <c r="A29" s="49" t="s">
        <v>1115</v>
      </c>
      <c r="B29" s="57" t="s">
        <v>87</v>
      </c>
      <c r="C29" s="51">
        <f t="shared" si="10"/>
        <v>0</v>
      </c>
      <c r="D29" s="52">
        <f t="shared" si="2"/>
        <v>0</v>
      </c>
      <c r="E29" s="51">
        <v>0</v>
      </c>
      <c r="F29" s="52">
        <v>0</v>
      </c>
      <c r="G29" s="52">
        <v>0</v>
      </c>
      <c r="H29" s="52">
        <v>0</v>
      </c>
      <c r="I29" s="52">
        <v>0</v>
      </c>
      <c r="J29" s="51">
        <v>0</v>
      </c>
      <c r="K29" s="52">
        <f t="shared" si="5"/>
        <v>0</v>
      </c>
      <c r="L29" s="52">
        <v>0</v>
      </c>
      <c r="M29" s="52">
        <v>0</v>
      </c>
      <c r="N29" s="52">
        <v>0</v>
      </c>
      <c r="O29" s="51">
        <v>0</v>
      </c>
      <c r="P29" s="52">
        <f>S29</f>
        <v>0</v>
      </c>
      <c r="Q29" s="52">
        <v>0</v>
      </c>
      <c r="R29" s="54">
        <v>0</v>
      </c>
      <c r="S29" s="54">
        <v>0</v>
      </c>
      <c r="T29" s="53">
        <v>0</v>
      </c>
      <c r="U29" s="52">
        <f>V29+W29+X29</f>
        <v>0</v>
      </c>
      <c r="V29" s="52">
        <v>0</v>
      </c>
      <c r="W29" s="54">
        <v>0</v>
      </c>
      <c r="X29" s="54">
        <v>0</v>
      </c>
      <c r="Y29" s="53">
        <v>0</v>
      </c>
      <c r="Z29" s="52">
        <f>AA29+AB29+AC29</f>
        <v>0</v>
      </c>
      <c r="AA29" s="54">
        <v>0</v>
      </c>
      <c r="AB29" s="54">
        <v>0</v>
      </c>
      <c r="AC29" s="54">
        <v>0</v>
      </c>
    </row>
    <row r="30" spans="1:29" ht="105.6" customHeight="1" outlineLevel="1" x14ac:dyDescent="0.2">
      <c r="A30" s="49" t="s">
        <v>1116</v>
      </c>
      <c r="B30" s="57" t="s">
        <v>406</v>
      </c>
      <c r="C30" s="51">
        <v>0</v>
      </c>
      <c r="D30" s="52">
        <f t="shared" si="2"/>
        <v>0</v>
      </c>
      <c r="E30" s="51">
        <v>0</v>
      </c>
      <c r="F30" s="52">
        <v>0</v>
      </c>
      <c r="G30" s="52">
        <v>0</v>
      </c>
      <c r="H30" s="52">
        <v>0</v>
      </c>
      <c r="I30" s="52">
        <v>0</v>
      </c>
      <c r="J30" s="51">
        <v>0</v>
      </c>
      <c r="K30" s="52">
        <v>0</v>
      </c>
      <c r="L30" s="52">
        <v>0</v>
      </c>
      <c r="M30" s="52">
        <v>0</v>
      </c>
      <c r="N30" s="52">
        <v>0</v>
      </c>
      <c r="O30" s="51">
        <v>0</v>
      </c>
      <c r="P30" s="52">
        <f>S30</f>
        <v>0</v>
      </c>
      <c r="Q30" s="52">
        <v>0</v>
      </c>
      <c r="R30" s="54">
        <v>0</v>
      </c>
      <c r="S30" s="54">
        <v>0</v>
      </c>
      <c r="T30" s="53">
        <v>0</v>
      </c>
      <c r="U30" s="52">
        <f>V30+W30+X30</f>
        <v>0</v>
      </c>
      <c r="V30" s="52">
        <v>0</v>
      </c>
      <c r="W30" s="54">
        <v>0</v>
      </c>
      <c r="X30" s="54">
        <v>0</v>
      </c>
      <c r="Y30" s="53">
        <v>0</v>
      </c>
      <c r="Z30" s="52">
        <f>AA30+AB30+AC30</f>
        <v>0</v>
      </c>
      <c r="AA30" s="54">
        <v>0</v>
      </c>
      <c r="AB30" s="54">
        <v>0</v>
      </c>
      <c r="AC30" s="54">
        <v>0</v>
      </c>
    </row>
    <row r="31" spans="1:29" ht="64.150000000000006" customHeight="1" x14ac:dyDescent="0.2">
      <c r="A31" s="45" t="s">
        <v>1117</v>
      </c>
      <c r="B31" s="56" t="s">
        <v>41</v>
      </c>
      <c r="C31" s="47">
        <f t="shared" si="10"/>
        <v>0</v>
      </c>
      <c r="D31" s="48">
        <f t="shared" si="2"/>
        <v>0</v>
      </c>
      <c r="E31" s="47">
        <f>E32+E33+E34</f>
        <v>0</v>
      </c>
      <c r="F31" s="48">
        <f>F32+F33+F34</f>
        <v>0</v>
      </c>
      <c r="G31" s="48">
        <f t="shared" ref="G31:N31" si="11">G32+G33+G34</f>
        <v>0</v>
      </c>
      <c r="H31" s="48">
        <f t="shared" si="11"/>
        <v>0</v>
      </c>
      <c r="I31" s="48">
        <f t="shared" si="11"/>
        <v>0</v>
      </c>
      <c r="J31" s="47">
        <f t="shared" si="11"/>
        <v>0</v>
      </c>
      <c r="K31" s="48">
        <f t="shared" si="5"/>
        <v>0</v>
      </c>
      <c r="L31" s="48">
        <f>L32+L33+L34</f>
        <v>0</v>
      </c>
      <c r="M31" s="48">
        <f t="shared" si="11"/>
        <v>0</v>
      </c>
      <c r="N31" s="48">
        <f t="shared" si="11"/>
        <v>0</v>
      </c>
      <c r="O31" s="47">
        <v>0</v>
      </c>
      <c r="P31" s="48">
        <f t="shared" ref="P31:AA31" si="12">P32+P33+P34</f>
        <v>0</v>
      </c>
      <c r="Q31" s="48">
        <f t="shared" si="12"/>
        <v>0</v>
      </c>
      <c r="R31" s="48">
        <f t="shared" si="12"/>
        <v>0</v>
      </c>
      <c r="S31" s="48">
        <f t="shared" si="12"/>
        <v>0</v>
      </c>
      <c r="T31" s="47">
        <f t="shared" si="12"/>
        <v>0</v>
      </c>
      <c r="U31" s="48">
        <f>U32+U33+U34</f>
        <v>0</v>
      </c>
      <c r="V31" s="48">
        <f t="shared" si="12"/>
        <v>0</v>
      </c>
      <c r="W31" s="48">
        <v>0</v>
      </c>
      <c r="X31" s="48">
        <v>0</v>
      </c>
      <c r="Y31" s="47">
        <f t="shared" si="12"/>
        <v>0</v>
      </c>
      <c r="Z31" s="48">
        <f>Z32+Z33+Z34</f>
        <v>0</v>
      </c>
      <c r="AA31" s="48">
        <f t="shared" si="12"/>
        <v>0</v>
      </c>
      <c r="AB31" s="48">
        <f>AB32+AB33+AB34</f>
        <v>0</v>
      </c>
      <c r="AC31" s="48">
        <f>AC32+AC33+AC34</f>
        <v>0</v>
      </c>
    </row>
    <row r="32" spans="1:29" ht="63.75" customHeight="1" outlineLevel="1" x14ac:dyDescent="0.2">
      <c r="A32" s="49" t="s">
        <v>1118</v>
      </c>
      <c r="B32" s="57" t="s">
        <v>41</v>
      </c>
      <c r="C32" s="51">
        <f t="shared" si="10"/>
        <v>0</v>
      </c>
      <c r="D32" s="52">
        <f t="shared" si="2"/>
        <v>0</v>
      </c>
      <c r="E32" s="51">
        <v>0</v>
      </c>
      <c r="F32" s="52">
        <v>0</v>
      </c>
      <c r="G32" s="52">
        <v>0</v>
      </c>
      <c r="H32" s="52">
        <v>0</v>
      </c>
      <c r="I32" s="52">
        <v>0</v>
      </c>
      <c r="J32" s="51">
        <v>0</v>
      </c>
      <c r="K32" s="52">
        <f t="shared" si="5"/>
        <v>0</v>
      </c>
      <c r="L32" s="52">
        <v>0</v>
      </c>
      <c r="M32" s="52">
        <v>0</v>
      </c>
      <c r="N32" s="54">
        <v>0</v>
      </c>
      <c r="O32" s="51">
        <v>0</v>
      </c>
      <c r="P32" s="52">
        <v>0</v>
      </c>
      <c r="Q32" s="52">
        <v>0</v>
      </c>
      <c r="R32" s="54">
        <v>0</v>
      </c>
      <c r="S32" s="54">
        <v>0</v>
      </c>
      <c r="T32" s="53">
        <v>0</v>
      </c>
      <c r="U32" s="52">
        <v>0</v>
      </c>
      <c r="V32" s="52">
        <v>0</v>
      </c>
      <c r="W32" s="52">
        <v>0</v>
      </c>
      <c r="X32" s="52">
        <v>0</v>
      </c>
      <c r="Y32" s="53">
        <v>0</v>
      </c>
      <c r="Z32" s="52">
        <f>AA32+AB32+AC32</f>
        <v>0</v>
      </c>
      <c r="AA32" s="54">
        <v>0</v>
      </c>
      <c r="AB32" s="54">
        <v>0</v>
      </c>
      <c r="AC32" s="54">
        <v>0</v>
      </c>
    </row>
    <row r="33" spans="1:29" ht="87.75" customHeight="1" outlineLevel="1" x14ac:dyDescent="0.2">
      <c r="A33" s="49" t="s">
        <v>1119</v>
      </c>
      <c r="B33" s="57" t="s">
        <v>42</v>
      </c>
      <c r="C33" s="51">
        <f t="shared" si="10"/>
        <v>0</v>
      </c>
      <c r="D33" s="52">
        <f t="shared" si="2"/>
        <v>0</v>
      </c>
      <c r="E33" s="51">
        <v>0</v>
      </c>
      <c r="F33" s="52">
        <v>0</v>
      </c>
      <c r="G33" s="52">
        <v>0</v>
      </c>
      <c r="H33" s="52">
        <v>0</v>
      </c>
      <c r="I33" s="52">
        <v>0</v>
      </c>
      <c r="J33" s="51">
        <v>0</v>
      </c>
      <c r="K33" s="52">
        <f t="shared" si="5"/>
        <v>0</v>
      </c>
      <c r="L33" s="52">
        <v>0</v>
      </c>
      <c r="M33" s="52">
        <v>0</v>
      </c>
      <c r="N33" s="54">
        <v>0</v>
      </c>
      <c r="O33" s="51">
        <v>0</v>
      </c>
      <c r="P33" s="52">
        <f>Q33+R33+S33</f>
        <v>0</v>
      </c>
      <c r="Q33" s="52">
        <v>0</v>
      </c>
      <c r="R33" s="54">
        <v>0</v>
      </c>
      <c r="S33" s="54">
        <v>0</v>
      </c>
      <c r="T33" s="53">
        <v>0</v>
      </c>
      <c r="U33" s="52">
        <v>0</v>
      </c>
      <c r="V33" s="52">
        <v>0</v>
      </c>
      <c r="W33" s="52">
        <v>0</v>
      </c>
      <c r="X33" s="52">
        <v>0</v>
      </c>
      <c r="Y33" s="53">
        <v>0</v>
      </c>
      <c r="Z33" s="52">
        <f>AA33+AB33+AC33</f>
        <v>0</v>
      </c>
      <c r="AA33" s="54">
        <v>0</v>
      </c>
      <c r="AB33" s="54">
        <v>0</v>
      </c>
      <c r="AC33" s="54">
        <v>0</v>
      </c>
    </row>
    <row r="34" spans="1:29" ht="86.25" customHeight="1" outlineLevel="1" x14ac:dyDescent="0.2">
      <c r="A34" s="49" t="s">
        <v>1120</v>
      </c>
      <c r="B34" s="57" t="s">
        <v>43</v>
      </c>
      <c r="C34" s="51">
        <f t="shared" si="10"/>
        <v>0</v>
      </c>
      <c r="D34" s="52">
        <f t="shared" si="2"/>
        <v>0</v>
      </c>
      <c r="E34" s="51">
        <v>0</v>
      </c>
      <c r="F34" s="52">
        <v>0</v>
      </c>
      <c r="G34" s="52">
        <v>0</v>
      </c>
      <c r="H34" s="52">
        <v>0</v>
      </c>
      <c r="I34" s="52">
        <v>0</v>
      </c>
      <c r="J34" s="51">
        <v>0</v>
      </c>
      <c r="K34" s="52">
        <f t="shared" si="5"/>
        <v>0</v>
      </c>
      <c r="L34" s="52">
        <v>0</v>
      </c>
      <c r="M34" s="52">
        <v>0</v>
      </c>
      <c r="N34" s="54">
        <v>0</v>
      </c>
      <c r="O34" s="51">
        <v>0</v>
      </c>
      <c r="P34" s="52">
        <f>Q34+R34+S34</f>
        <v>0</v>
      </c>
      <c r="Q34" s="52">
        <v>0</v>
      </c>
      <c r="R34" s="54">
        <v>0</v>
      </c>
      <c r="S34" s="54">
        <v>0</v>
      </c>
      <c r="T34" s="53">
        <v>0</v>
      </c>
      <c r="U34" s="52">
        <v>0</v>
      </c>
      <c r="V34" s="52">
        <v>0</v>
      </c>
      <c r="W34" s="52">
        <v>0</v>
      </c>
      <c r="X34" s="52">
        <v>0</v>
      </c>
      <c r="Y34" s="53">
        <v>0</v>
      </c>
      <c r="Z34" s="52">
        <f>AA34+AB34+AC34</f>
        <v>0</v>
      </c>
      <c r="AA34" s="54">
        <v>0</v>
      </c>
      <c r="AB34" s="54">
        <v>0</v>
      </c>
      <c r="AC34" s="54">
        <v>0</v>
      </c>
    </row>
    <row r="35" spans="1:29" ht="51" customHeight="1" x14ac:dyDescent="0.2">
      <c r="A35" s="45" t="s">
        <v>1121</v>
      </c>
      <c r="B35" s="56" t="s">
        <v>78</v>
      </c>
      <c r="C35" s="47">
        <f>E35+J35+O35+T35+Y35</f>
        <v>0</v>
      </c>
      <c r="D35" s="48">
        <f t="shared" si="2"/>
        <v>0</v>
      </c>
      <c r="E35" s="47">
        <f>E36+E37+E38</f>
        <v>0</v>
      </c>
      <c r="F35" s="48">
        <f t="shared" ref="F35:AC35" si="13">F36+F37+F38</f>
        <v>0</v>
      </c>
      <c r="G35" s="48">
        <f t="shared" si="13"/>
        <v>0</v>
      </c>
      <c r="H35" s="48">
        <f t="shared" si="13"/>
        <v>0</v>
      </c>
      <c r="I35" s="48">
        <f t="shared" si="13"/>
        <v>0</v>
      </c>
      <c r="J35" s="47">
        <f t="shared" si="13"/>
        <v>0</v>
      </c>
      <c r="K35" s="48">
        <f t="shared" si="5"/>
        <v>0</v>
      </c>
      <c r="L35" s="48">
        <f t="shared" si="13"/>
        <v>0</v>
      </c>
      <c r="M35" s="48">
        <f t="shared" si="13"/>
        <v>0</v>
      </c>
      <c r="N35" s="48">
        <f t="shared" si="13"/>
        <v>0</v>
      </c>
      <c r="O35" s="47">
        <f t="shared" si="13"/>
        <v>0</v>
      </c>
      <c r="P35" s="48">
        <f>P36+P37+P38</f>
        <v>0</v>
      </c>
      <c r="Q35" s="48">
        <f t="shared" si="13"/>
        <v>0</v>
      </c>
      <c r="R35" s="48">
        <f t="shared" si="13"/>
        <v>0</v>
      </c>
      <c r="S35" s="48">
        <f>S36+S37+S38</f>
        <v>0</v>
      </c>
      <c r="T35" s="47">
        <f t="shared" si="13"/>
        <v>0</v>
      </c>
      <c r="U35" s="48">
        <f t="shared" si="13"/>
        <v>0</v>
      </c>
      <c r="V35" s="48">
        <f t="shared" si="13"/>
        <v>0</v>
      </c>
      <c r="W35" s="48">
        <f t="shared" si="13"/>
        <v>0</v>
      </c>
      <c r="X35" s="48">
        <f t="shared" si="13"/>
        <v>0</v>
      </c>
      <c r="Y35" s="47">
        <f t="shared" si="13"/>
        <v>0</v>
      </c>
      <c r="Z35" s="48">
        <f>Z36+Z37+Z38</f>
        <v>0</v>
      </c>
      <c r="AA35" s="48">
        <f t="shared" si="13"/>
        <v>0</v>
      </c>
      <c r="AB35" s="48">
        <f t="shared" si="13"/>
        <v>0</v>
      </c>
      <c r="AC35" s="48">
        <f t="shared" si="13"/>
        <v>0</v>
      </c>
    </row>
    <row r="36" spans="1:29" ht="45.6" customHeight="1" outlineLevel="1" x14ac:dyDescent="0.2">
      <c r="A36" s="49" t="s">
        <v>1122</v>
      </c>
      <c r="B36" s="57" t="s">
        <v>78</v>
      </c>
      <c r="C36" s="51">
        <f>E36+J36+O36+T36+Y36</f>
        <v>0</v>
      </c>
      <c r="D36" s="52">
        <f t="shared" si="2"/>
        <v>0</v>
      </c>
      <c r="E36" s="51">
        <v>0</v>
      </c>
      <c r="F36" s="52">
        <v>0</v>
      </c>
      <c r="G36" s="52">
        <v>0</v>
      </c>
      <c r="H36" s="52">
        <v>0</v>
      </c>
      <c r="I36" s="52">
        <v>0</v>
      </c>
      <c r="J36" s="51">
        <v>0</v>
      </c>
      <c r="K36" s="52">
        <f t="shared" si="5"/>
        <v>0</v>
      </c>
      <c r="L36" s="52">
        <v>0</v>
      </c>
      <c r="M36" s="52">
        <v>0</v>
      </c>
      <c r="N36" s="52">
        <v>0</v>
      </c>
      <c r="O36" s="51">
        <v>0</v>
      </c>
      <c r="P36" s="52">
        <v>0</v>
      </c>
      <c r="Q36" s="52">
        <v>0</v>
      </c>
      <c r="R36" s="54">
        <v>0</v>
      </c>
      <c r="S36" s="54">
        <v>0</v>
      </c>
      <c r="T36" s="53">
        <v>0</v>
      </c>
      <c r="U36" s="52">
        <v>0</v>
      </c>
      <c r="V36" s="52">
        <v>0</v>
      </c>
      <c r="W36" s="54">
        <v>0</v>
      </c>
      <c r="X36" s="54">
        <v>0</v>
      </c>
      <c r="Y36" s="53">
        <v>0</v>
      </c>
      <c r="Z36" s="52">
        <f>AA36+AB36+AC36</f>
        <v>0</v>
      </c>
      <c r="AA36" s="54">
        <v>0</v>
      </c>
      <c r="AB36" s="54">
        <v>0</v>
      </c>
      <c r="AC36" s="54">
        <v>0</v>
      </c>
    </row>
    <row r="37" spans="1:29" ht="69" customHeight="1" outlineLevel="1" x14ac:dyDescent="0.2">
      <c r="A37" s="49" t="s">
        <v>1123</v>
      </c>
      <c r="B37" s="57" t="s">
        <v>79</v>
      </c>
      <c r="C37" s="51">
        <f>E37+J37+O37+T37+Y37</f>
        <v>0</v>
      </c>
      <c r="D37" s="52">
        <f t="shared" si="2"/>
        <v>0</v>
      </c>
      <c r="E37" s="51">
        <v>0</v>
      </c>
      <c r="F37" s="52">
        <v>0</v>
      </c>
      <c r="G37" s="52">
        <v>0</v>
      </c>
      <c r="H37" s="52">
        <v>0</v>
      </c>
      <c r="I37" s="52">
        <v>0</v>
      </c>
      <c r="J37" s="51">
        <v>0</v>
      </c>
      <c r="K37" s="52">
        <f t="shared" si="5"/>
        <v>0</v>
      </c>
      <c r="L37" s="52">
        <v>0</v>
      </c>
      <c r="M37" s="52">
        <v>0</v>
      </c>
      <c r="N37" s="52">
        <v>0</v>
      </c>
      <c r="O37" s="51">
        <v>0</v>
      </c>
      <c r="P37" s="52">
        <v>0</v>
      </c>
      <c r="Q37" s="52">
        <v>0</v>
      </c>
      <c r="R37" s="54">
        <v>0</v>
      </c>
      <c r="S37" s="54">
        <v>0</v>
      </c>
      <c r="T37" s="53">
        <v>0</v>
      </c>
      <c r="U37" s="52">
        <v>0</v>
      </c>
      <c r="V37" s="52">
        <v>0</v>
      </c>
      <c r="W37" s="54">
        <v>0</v>
      </c>
      <c r="X37" s="54">
        <v>0</v>
      </c>
      <c r="Y37" s="53">
        <v>0</v>
      </c>
      <c r="Z37" s="52">
        <f>AA37+AB37+AC37</f>
        <v>0</v>
      </c>
      <c r="AA37" s="54">
        <v>0</v>
      </c>
      <c r="AB37" s="54">
        <v>0</v>
      </c>
      <c r="AC37" s="54">
        <v>0</v>
      </c>
    </row>
    <row r="38" spans="1:29" ht="66.599999999999994" customHeight="1" outlineLevel="1" x14ac:dyDescent="0.2">
      <c r="A38" s="49" t="s">
        <v>1124</v>
      </c>
      <c r="B38" s="57" t="s">
        <v>80</v>
      </c>
      <c r="C38" s="51">
        <f>E38+J38+O38+T38+Y38</f>
        <v>0</v>
      </c>
      <c r="D38" s="52">
        <f t="shared" si="2"/>
        <v>0</v>
      </c>
      <c r="E38" s="51">
        <v>0</v>
      </c>
      <c r="F38" s="52">
        <v>0</v>
      </c>
      <c r="G38" s="52">
        <v>0</v>
      </c>
      <c r="H38" s="52">
        <v>0</v>
      </c>
      <c r="I38" s="52">
        <v>0</v>
      </c>
      <c r="J38" s="51">
        <v>0</v>
      </c>
      <c r="K38" s="52">
        <f t="shared" si="5"/>
        <v>0</v>
      </c>
      <c r="L38" s="52">
        <v>0</v>
      </c>
      <c r="M38" s="52">
        <v>0</v>
      </c>
      <c r="N38" s="52">
        <v>0</v>
      </c>
      <c r="O38" s="51">
        <v>0</v>
      </c>
      <c r="P38" s="52">
        <v>0</v>
      </c>
      <c r="Q38" s="52">
        <v>0</v>
      </c>
      <c r="R38" s="54">
        <v>0</v>
      </c>
      <c r="S38" s="54">
        <v>0</v>
      </c>
      <c r="T38" s="53">
        <v>0</v>
      </c>
      <c r="U38" s="52">
        <v>0</v>
      </c>
      <c r="V38" s="52">
        <v>0</v>
      </c>
      <c r="W38" s="54">
        <v>0</v>
      </c>
      <c r="X38" s="54">
        <v>0</v>
      </c>
      <c r="Y38" s="53">
        <v>0</v>
      </c>
      <c r="Z38" s="52">
        <f>AA38+AB38+AC38</f>
        <v>0</v>
      </c>
      <c r="AA38" s="54">
        <v>0</v>
      </c>
      <c r="AB38" s="54">
        <v>0</v>
      </c>
      <c r="AC38" s="54">
        <v>0</v>
      </c>
    </row>
    <row r="39" spans="1:29" s="18" customFormat="1" ht="39" customHeight="1" outlineLevel="1" x14ac:dyDescent="0.2">
      <c r="A39" s="45" t="s">
        <v>1125</v>
      </c>
      <c r="B39" s="56" t="s">
        <v>569</v>
      </c>
      <c r="C39" s="47">
        <f>C40</f>
        <v>1.18</v>
      </c>
      <c r="D39" s="48">
        <f>D40</f>
        <v>137532</v>
      </c>
      <c r="E39" s="47">
        <f>E40</f>
        <v>0.96</v>
      </c>
      <c r="F39" s="48">
        <f t="shared" ref="F39:AC39" si="14">F40</f>
        <v>87629</v>
      </c>
      <c r="G39" s="48">
        <f>G40</f>
        <v>0</v>
      </c>
      <c r="H39" s="48">
        <f>H40</f>
        <v>83058</v>
      </c>
      <c r="I39" s="48">
        <f t="shared" si="14"/>
        <v>4571</v>
      </c>
      <c r="J39" s="47">
        <f t="shared" si="14"/>
        <v>9.9999999999999811E-3</v>
      </c>
      <c r="K39" s="48">
        <f t="shared" si="14"/>
        <v>291</v>
      </c>
      <c r="L39" s="48">
        <f t="shared" si="14"/>
        <v>0</v>
      </c>
      <c r="M39" s="48">
        <f t="shared" si="14"/>
        <v>0</v>
      </c>
      <c r="N39" s="48">
        <f>N40</f>
        <v>291</v>
      </c>
      <c r="O39" s="47">
        <f t="shared" si="14"/>
        <v>0.21</v>
      </c>
      <c r="P39" s="389">
        <f t="shared" si="14"/>
        <v>49612</v>
      </c>
      <c r="Q39" s="389">
        <f t="shared" si="14"/>
        <v>0</v>
      </c>
      <c r="R39" s="389">
        <f t="shared" si="14"/>
        <v>47048</v>
      </c>
      <c r="S39" s="389">
        <f t="shared" si="14"/>
        <v>2564</v>
      </c>
      <c r="T39" s="47">
        <f t="shared" si="14"/>
        <v>0</v>
      </c>
      <c r="U39" s="48">
        <f t="shared" si="14"/>
        <v>0</v>
      </c>
      <c r="V39" s="48">
        <f t="shared" si="14"/>
        <v>0</v>
      </c>
      <c r="W39" s="48">
        <f t="shared" si="14"/>
        <v>0</v>
      </c>
      <c r="X39" s="48">
        <f t="shared" si="14"/>
        <v>0</v>
      </c>
      <c r="Y39" s="47">
        <f t="shared" si="14"/>
        <v>0</v>
      </c>
      <c r="Z39" s="48">
        <f t="shared" si="14"/>
        <v>0</v>
      </c>
      <c r="AA39" s="48">
        <f t="shared" si="14"/>
        <v>0</v>
      </c>
      <c r="AB39" s="48">
        <f t="shared" si="14"/>
        <v>0</v>
      </c>
      <c r="AC39" s="48">
        <f t="shared" si="14"/>
        <v>0</v>
      </c>
    </row>
    <row r="40" spans="1:29" ht="31.5" customHeight="1" outlineLevel="1" x14ac:dyDescent="0.2">
      <c r="A40" s="49" t="s">
        <v>1126</v>
      </c>
      <c r="B40" s="57" t="s">
        <v>569</v>
      </c>
      <c r="C40" s="51">
        <f>E40+J40+O40</f>
        <v>1.18</v>
      </c>
      <c r="D40" s="52">
        <f>F40+K40+P40+U40+Z40</f>
        <v>137532</v>
      </c>
      <c r="E40" s="51">
        <v>0.96</v>
      </c>
      <c r="F40" s="52">
        <f>G40+H40+I40</f>
        <v>87629</v>
      </c>
      <c r="G40" s="52">
        <v>0</v>
      </c>
      <c r="H40" s="52">
        <v>83058</v>
      </c>
      <c r="I40" s="52">
        <v>4571</v>
      </c>
      <c r="J40" s="51">
        <f>0.21-0.2</f>
        <v>9.9999999999999811E-3</v>
      </c>
      <c r="K40" s="52">
        <f t="shared" ref="K40:K45" si="15">L40+M40+N40</f>
        <v>291</v>
      </c>
      <c r="L40" s="52">
        <v>0</v>
      </c>
      <c r="M40" s="52">
        <f>47204-41693-5511</f>
        <v>0</v>
      </c>
      <c r="N40" s="52">
        <f>2485-2194</f>
        <v>291</v>
      </c>
      <c r="O40" s="51">
        <v>0.21</v>
      </c>
      <c r="P40" s="390">
        <f>Q40+R40+S40</f>
        <v>49612</v>
      </c>
      <c r="Q40" s="390">
        <v>0</v>
      </c>
      <c r="R40" s="391">
        <v>47048</v>
      </c>
      <c r="S40" s="391">
        <f>2476+88</f>
        <v>2564</v>
      </c>
      <c r="T40" s="53">
        <v>0</v>
      </c>
      <c r="U40" s="52">
        <v>0</v>
      </c>
      <c r="V40" s="52">
        <v>0</v>
      </c>
      <c r="W40" s="54">
        <v>0</v>
      </c>
      <c r="X40" s="54">
        <v>0</v>
      </c>
      <c r="Y40" s="53">
        <v>0</v>
      </c>
      <c r="Z40" s="52">
        <v>0</v>
      </c>
      <c r="AA40" s="54">
        <v>0</v>
      </c>
      <c r="AB40" s="54">
        <v>0</v>
      </c>
      <c r="AC40" s="54">
        <v>0</v>
      </c>
    </row>
    <row r="41" spans="1:29" s="18" customFormat="1" ht="71.25" customHeight="1" outlineLevel="1" x14ac:dyDescent="0.2">
      <c r="A41" s="45" t="s">
        <v>1127</v>
      </c>
      <c r="B41" s="56" t="s">
        <v>570</v>
      </c>
      <c r="C41" s="47">
        <f>C42</f>
        <v>1.5</v>
      </c>
      <c r="D41" s="48">
        <f>D42</f>
        <v>174852</v>
      </c>
      <c r="E41" s="47">
        <f t="shared" ref="E41:J41" si="16">E42</f>
        <v>1.5</v>
      </c>
      <c r="F41" s="48">
        <f>F42</f>
        <v>167820</v>
      </c>
      <c r="G41" s="48">
        <f t="shared" si="16"/>
        <v>126793</v>
      </c>
      <c r="H41" s="48">
        <f t="shared" si="16"/>
        <v>38250</v>
      </c>
      <c r="I41" s="48">
        <f t="shared" si="16"/>
        <v>2777</v>
      </c>
      <c r="J41" s="47">
        <f t="shared" si="16"/>
        <v>0</v>
      </c>
      <c r="K41" s="48">
        <f t="shared" si="15"/>
        <v>7032</v>
      </c>
      <c r="L41" s="48">
        <f t="shared" ref="L41:AC41" si="17">L42</f>
        <v>0</v>
      </c>
      <c r="M41" s="48">
        <f t="shared" si="17"/>
        <v>0</v>
      </c>
      <c r="N41" s="48">
        <f t="shared" si="17"/>
        <v>7032</v>
      </c>
      <c r="O41" s="47">
        <f t="shared" si="17"/>
        <v>0</v>
      </c>
      <c r="P41" s="48">
        <f t="shared" si="17"/>
        <v>0</v>
      </c>
      <c r="Q41" s="48">
        <f t="shared" si="17"/>
        <v>0</v>
      </c>
      <c r="R41" s="48">
        <f t="shared" si="17"/>
        <v>0</v>
      </c>
      <c r="S41" s="48">
        <f t="shared" si="17"/>
        <v>0</v>
      </c>
      <c r="T41" s="47">
        <f t="shared" si="17"/>
        <v>0</v>
      </c>
      <c r="U41" s="48">
        <f t="shared" si="17"/>
        <v>0</v>
      </c>
      <c r="V41" s="48">
        <f t="shared" si="17"/>
        <v>0</v>
      </c>
      <c r="W41" s="48">
        <f t="shared" si="17"/>
        <v>0</v>
      </c>
      <c r="X41" s="48">
        <f t="shared" si="17"/>
        <v>0</v>
      </c>
      <c r="Y41" s="47">
        <f t="shared" si="17"/>
        <v>0</v>
      </c>
      <c r="Z41" s="48">
        <f t="shared" si="17"/>
        <v>0</v>
      </c>
      <c r="AA41" s="48">
        <f t="shared" si="17"/>
        <v>0</v>
      </c>
      <c r="AB41" s="48">
        <f t="shared" si="17"/>
        <v>0</v>
      </c>
      <c r="AC41" s="48">
        <f t="shared" si="17"/>
        <v>0</v>
      </c>
    </row>
    <row r="42" spans="1:29" ht="63" customHeight="1" outlineLevel="1" x14ac:dyDescent="0.2">
      <c r="A42" s="49" t="s">
        <v>1128</v>
      </c>
      <c r="B42" s="57" t="s">
        <v>570</v>
      </c>
      <c r="C42" s="51">
        <f>E42</f>
        <v>1.5</v>
      </c>
      <c r="D42" s="52">
        <f>F42+K42+P42+U42+Z42</f>
        <v>174852</v>
      </c>
      <c r="E42" s="51">
        <v>1.5</v>
      </c>
      <c r="F42" s="52">
        <f>G42+H42+I42</f>
        <v>167820</v>
      </c>
      <c r="G42" s="52">
        <v>126793</v>
      </c>
      <c r="H42" s="52">
        <v>38250</v>
      </c>
      <c r="I42" s="52">
        <v>2777</v>
      </c>
      <c r="J42" s="51">
        <v>0</v>
      </c>
      <c r="K42" s="52">
        <f t="shared" si="15"/>
        <v>7032</v>
      </c>
      <c r="L42" s="52">
        <f>L54+L55+L56</f>
        <v>0</v>
      </c>
      <c r="M42" s="52">
        <v>0</v>
      </c>
      <c r="N42" s="52">
        <f>7002+30</f>
        <v>7032</v>
      </c>
      <c r="O42" s="51">
        <v>0</v>
      </c>
      <c r="P42" s="52">
        <v>0</v>
      </c>
      <c r="Q42" s="52">
        <f>Q54+Q55+Q56</f>
        <v>0</v>
      </c>
      <c r="R42" s="54">
        <v>0</v>
      </c>
      <c r="S42" s="54">
        <v>0</v>
      </c>
      <c r="T42" s="53">
        <v>0</v>
      </c>
      <c r="U42" s="52">
        <v>0</v>
      </c>
      <c r="V42" s="52">
        <f>V54+V55+V56</f>
        <v>0</v>
      </c>
      <c r="W42" s="54">
        <v>0</v>
      </c>
      <c r="X42" s="54">
        <v>0</v>
      </c>
      <c r="Y42" s="53">
        <v>0</v>
      </c>
      <c r="Z42" s="52">
        <v>0</v>
      </c>
      <c r="AA42" s="54">
        <f>AA54+AA55+AA56</f>
        <v>0</v>
      </c>
      <c r="AB42" s="54">
        <v>0</v>
      </c>
      <c r="AC42" s="54">
        <v>0</v>
      </c>
    </row>
    <row r="43" spans="1:29" s="18" customFormat="1" ht="43.15" customHeight="1" outlineLevel="1" x14ac:dyDescent="0.2">
      <c r="A43" s="45" t="s">
        <v>1129</v>
      </c>
      <c r="B43" s="56" t="s">
        <v>713</v>
      </c>
      <c r="C43" s="47">
        <f>E43</f>
        <v>0</v>
      </c>
      <c r="D43" s="48">
        <f t="shared" ref="D43:D48" si="18">F43+K43+P43+U43+Z43</f>
        <v>0</v>
      </c>
      <c r="E43" s="47">
        <v>0</v>
      </c>
      <c r="F43" s="48">
        <f>G43+H43+I43</f>
        <v>0</v>
      </c>
      <c r="G43" s="48">
        <v>0</v>
      </c>
      <c r="H43" s="48">
        <v>0</v>
      </c>
      <c r="I43" s="48">
        <v>0</v>
      </c>
      <c r="J43" s="47">
        <v>0</v>
      </c>
      <c r="K43" s="48">
        <f t="shared" si="15"/>
        <v>0</v>
      </c>
      <c r="L43" s="48">
        <f>L55+L56+L57</f>
        <v>0</v>
      </c>
      <c r="M43" s="48">
        <v>0</v>
      </c>
      <c r="N43" s="48">
        <v>0</v>
      </c>
      <c r="O43" s="47">
        <v>0</v>
      </c>
      <c r="P43" s="48">
        <f>Q43+R43+S43</f>
        <v>0</v>
      </c>
      <c r="Q43" s="48">
        <f>Q55+Q56+Q57</f>
        <v>0</v>
      </c>
      <c r="R43" s="58">
        <v>0</v>
      </c>
      <c r="S43" s="58">
        <f>5000-5000</f>
        <v>0</v>
      </c>
      <c r="T43" s="59">
        <v>0</v>
      </c>
      <c r="U43" s="48">
        <f>V43+W43+X43</f>
        <v>0</v>
      </c>
      <c r="V43" s="48">
        <f>V55+V56+V57</f>
        <v>0</v>
      </c>
      <c r="W43" s="58">
        <v>0</v>
      </c>
      <c r="X43" s="58">
        <f>5000-5000</f>
        <v>0</v>
      </c>
      <c r="Y43" s="59">
        <v>0</v>
      </c>
      <c r="Z43" s="48">
        <v>0</v>
      </c>
      <c r="AA43" s="58">
        <f>AA55+AA56+AA57</f>
        <v>0</v>
      </c>
      <c r="AB43" s="58">
        <v>0</v>
      </c>
      <c r="AC43" s="58">
        <v>0</v>
      </c>
    </row>
    <row r="44" spans="1:29" s="18" customFormat="1" ht="132" customHeight="1" outlineLevel="1" x14ac:dyDescent="0.2">
      <c r="A44" s="45" t="s">
        <v>1130</v>
      </c>
      <c r="B44" s="56" t="s">
        <v>609</v>
      </c>
      <c r="C44" s="47">
        <f>E44+J44</f>
        <v>0</v>
      </c>
      <c r="D44" s="48">
        <f t="shared" si="18"/>
        <v>0</v>
      </c>
      <c r="E44" s="47">
        <v>0</v>
      </c>
      <c r="F44" s="48">
        <f>G44+H44+I44</f>
        <v>0</v>
      </c>
      <c r="G44" s="48">
        <v>0</v>
      </c>
      <c r="H44" s="48">
        <v>0</v>
      </c>
      <c r="I44" s="48">
        <v>0</v>
      </c>
      <c r="J44" s="47">
        <v>0</v>
      </c>
      <c r="K44" s="48">
        <f t="shared" si="15"/>
        <v>0</v>
      </c>
      <c r="L44" s="48">
        <v>0</v>
      </c>
      <c r="M44" s="48">
        <v>0</v>
      </c>
      <c r="N44" s="48">
        <v>0</v>
      </c>
      <c r="O44" s="47">
        <v>0</v>
      </c>
      <c r="P44" s="48">
        <f>Q44+R44+S44</f>
        <v>0</v>
      </c>
      <c r="Q44" s="48">
        <v>0</v>
      </c>
      <c r="R44" s="58">
        <v>0</v>
      </c>
      <c r="S44" s="58">
        <v>0</v>
      </c>
      <c r="T44" s="59">
        <v>0</v>
      </c>
      <c r="U44" s="48">
        <v>0</v>
      </c>
      <c r="V44" s="48">
        <v>0</v>
      </c>
      <c r="W44" s="58">
        <v>0</v>
      </c>
      <c r="X44" s="58">
        <v>0</v>
      </c>
      <c r="Y44" s="59">
        <v>0</v>
      </c>
      <c r="Z44" s="48">
        <v>0</v>
      </c>
      <c r="AA44" s="58">
        <v>0</v>
      </c>
      <c r="AB44" s="58">
        <v>0</v>
      </c>
      <c r="AC44" s="58">
        <v>0</v>
      </c>
    </row>
    <row r="45" spans="1:29" s="18" customFormat="1" ht="130.5" customHeight="1" outlineLevel="1" x14ac:dyDescent="0.2">
      <c r="A45" s="45" t="s">
        <v>1131</v>
      </c>
      <c r="B45" s="56" t="s">
        <v>610</v>
      </c>
      <c r="C45" s="47">
        <f>E45+J45</f>
        <v>0</v>
      </c>
      <c r="D45" s="48">
        <f t="shared" si="18"/>
        <v>0</v>
      </c>
      <c r="E45" s="47">
        <v>0</v>
      </c>
      <c r="F45" s="48">
        <f>G45+H45+I45</f>
        <v>0</v>
      </c>
      <c r="G45" s="48">
        <v>0</v>
      </c>
      <c r="H45" s="48">
        <v>0</v>
      </c>
      <c r="I45" s="48">
        <v>0</v>
      </c>
      <c r="J45" s="47">
        <v>0</v>
      </c>
      <c r="K45" s="48">
        <f t="shared" si="15"/>
        <v>0</v>
      </c>
      <c r="L45" s="48">
        <v>0</v>
      </c>
      <c r="M45" s="48">
        <v>0</v>
      </c>
      <c r="N45" s="48">
        <v>0</v>
      </c>
      <c r="O45" s="47">
        <v>0</v>
      </c>
      <c r="P45" s="48">
        <f>Q45+R45+S45</f>
        <v>0</v>
      </c>
      <c r="Q45" s="48">
        <v>0</v>
      </c>
      <c r="R45" s="58">
        <v>0</v>
      </c>
      <c r="S45" s="58">
        <v>0</v>
      </c>
      <c r="T45" s="59">
        <v>0</v>
      </c>
      <c r="U45" s="48">
        <v>0</v>
      </c>
      <c r="V45" s="48">
        <v>0</v>
      </c>
      <c r="W45" s="58">
        <v>0</v>
      </c>
      <c r="X45" s="58">
        <v>0</v>
      </c>
      <c r="Y45" s="59">
        <v>0</v>
      </c>
      <c r="Z45" s="48">
        <v>0</v>
      </c>
      <c r="AA45" s="58">
        <v>0</v>
      </c>
      <c r="AB45" s="58">
        <v>0</v>
      </c>
      <c r="AC45" s="58">
        <v>0</v>
      </c>
    </row>
    <row r="46" spans="1:29" s="18" customFormat="1" ht="57.6" customHeight="1" outlineLevel="1" x14ac:dyDescent="0.2">
      <c r="A46" s="45" t="s">
        <v>1132</v>
      </c>
      <c r="B46" s="56" t="s">
        <v>678</v>
      </c>
      <c r="C46" s="47">
        <f>E46</f>
        <v>0.6</v>
      </c>
      <c r="D46" s="48">
        <f>F46+K46+P46+U46+Z46</f>
        <v>65045</v>
      </c>
      <c r="E46" s="45">
        <f>E47+E48</f>
        <v>0.6</v>
      </c>
      <c r="F46" s="48">
        <f>F47+F4</f>
        <v>64036</v>
      </c>
      <c r="G46" s="48">
        <f>G47+G48</f>
        <v>0</v>
      </c>
      <c r="H46" s="48">
        <f>H47+H48</f>
        <v>60962</v>
      </c>
      <c r="I46" s="48">
        <f>I47+I48</f>
        <v>5054</v>
      </c>
      <c r="J46" s="48">
        <f t="shared" ref="J46:AC46" si="19">J47+J48</f>
        <v>0</v>
      </c>
      <c r="K46" s="48">
        <f>K47+K48+K49</f>
        <v>1009</v>
      </c>
      <c r="L46" s="48">
        <f>L47+L48+L49</f>
        <v>0</v>
      </c>
      <c r="M46" s="48">
        <f>M47+M48+M49</f>
        <v>0</v>
      </c>
      <c r="N46" s="48">
        <f>N47+N48+N49</f>
        <v>1009</v>
      </c>
      <c r="O46" s="48">
        <f t="shared" si="19"/>
        <v>0</v>
      </c>
      <c r="P46" s="48">
        <f t="shared" si="19"/>
        <v>0</v>
      </c>
      <c r="Q46" s="48">
        <f t="shared" si="19"/>
        <v>0</v>
      </c>
      <c r="R46" s="48">
        <f t="shared" si="19"/>
        <v>0</v>
      </c>
      <c r="S46" s="48">
        <f t="shared" si="19"/>
        <v>0</v>
      </c>
      <c r="T46" s="48">
        <f t="shared" si="19"/>
        <v>0</v>
      </c>
      <c r="U46" s="48">
        <f t="shared" si="19"/>
        <v>0</v>
      </c>
      <c r="V46" s="48">
        <f t="shared" si="19"/>
        <v>0</v>
      </c>
      <c r="W46" s="48">
        <f t="shared" si="19"/>
        <v>0</v>
      </c>
      <c r="X46" s="48">
        <f t="shared" si="19"/>
        <v>0</v>
      </c>
      <c r="Y46" s="48">
        <f t="shared" si="19"/>
        <v>0</v>
      </c>
      <c r="Z46" s="48">
        <f>Z47+Z48</f>
        <v>0</v>
      </c>
      <c r="AA46" s="48">
        <f t="shared" si="19"/>
        <v>0</v>
      </c>
      <c r="AB46" s="48">
        <f t="shared" si="19"/>
        <v>0</v>
      </c>
      <c r="AC46" s="48">
        <f t="shared" si="19"/>
        <v>0</v>
      </c>
    </row>
    <row r="47" spans="1:29" ht="54" customHeight="1" outlineLevel="1" x14ac:dyDescent="0.2">
      <c r="A47" s="49" t="s">
        <v>1133</v>
      </c>
      <c r="B47" s="57" t="s">
        <v>678</v>
      </c>
      <c r="C47" s="51">
        <f>E47</f>
        <v>0.6</v>
      </c>
      <c r="D47" s="52">
        <f t="shared" si="18"/>
        <v>64036</v>
      </c>
      <c r="E47" s="51">
        <v>0.6</v>
      </c>
      <c r="F47" s="52">
        <f>G47+H47+I47</f>
        <v>64036</v>
      </c>
      <c r="G47" s="52">
        <v>0</v>
      </c>
      <c r="H47" s="52">
        <v>60962</v>
      </c>
      <c r="I47" s="52">
        <v>3074</v>
      </c>
      <c r="J47" s="51">
        <v>0</v>
      </c>
      <c r="K47" s="52">
        <v>0</v>
      </c>
      <c r="L47" s="52">
        <v>0</v>
      </c>
      <c r="M47" s="52">
        <v>0</v>
      </c>
      <c r="N47" s="52">
        <v>0</v>
      </c>
      <c r="O47" s="51">
        <v>0</v>
      </c>
      <c r="P47" s="52">
        <v>0</v>
      </c>
      <c r="Q47" s="52">
        <v>0</v>
      </c>
      <c r="R47" s="54">
        <v>0</v>
      </c>
      <c r="S47" s="54">
        <v>0</v>
      </c>
      <c r="T47" s="53">
        <v>0</v>
      </c>
      <c r="U47" s="52">
        <v>0</v>
      </c>
      <c r="V47" s="52">
        <v>0</v>
      </c>
      <c r="W47" s="54">
        <v>0</v>
      </c>
      <c r="X47" s="54">
        <v>0</v>
      </c>
      <c r="Y47" s="53">
        <v>0</v>
      </c>
      <c r="Z47" s="52">
        <v>0</v>
      </c>
      <c r="AA47" s="54">
        <v>0</v>
      </c>
      <c r="AB47" s="54">
        <v>0</v>
      </c>
      <c r="AC47" s="54">
        <v>0</v>
      </c>
    </row>
    <row r="48" spans="1:29" ht="79.150000000000006" customHeight="1" outlineLevel="1" x14ac:dyDescent="0.2">
      <c r="A48" s="49" t="s">
        <v>1134</v>
      </c>
      <c r="B48" s="57" t="s">
        <v>710</v>
      </c>
      <c r="C48" s="51">
        <f>E48</f>
        <v>0</v>
      </c>
      <c r="D48" s="52">
        <f t="shared" si="18"/>
        <v>1980</v>
      </c>
      <c r="E48" s="51">
        <v>0</v>
      </c>
      <c r="F48" s="52">
        <f>G48+H48+I48</f>
        <v>1980</v>
      </c>
      <c r="G48" s="52">
        <v>0</v>
      </c>
      <c r="H48" s="52">
        <v>0</v>
      </c>
      <c r="I48" s="52">
        <v>1980</v>
      </c>
      <c r="J48" s="51">
        <v>0</v>
      </c>
      <c r="K48" s="52">
        <v>0</v>
      </c>
      <c r="L48" s="52">
        <v>0</v>
      </c>
      <c r="M48" s="52">
        <v>0</v>
      </c>
      <c r="N48" s="52">
        <v>0</v>
      </c>
      <c r="O48" s="51">
        <v>0</v>
      </c>
      <c r="P48" s="52">
        <v>0</v>
      </c>
      <c r="Q48" s="52">
        <v>0</v>
      </c>
      <c r="R48" s="54">
        <v>0</v>
      </c>
      <c r="S48" s="54">
        <v>0</v>
      </c>
      <c r="T48" s="53">
        <v>0</v>
      </c>
      <c r="U48" s="52">
        <v>0</v>
      </c>
      <c r="V48" s="52">
        <v>0</v>
      </c>
      <c r="W48" s="54">
        <v>0</v>
      </c>
      <c r="X48" s="54">
        <v>0</v>
      </c>
      <c r="Y48" s="53">
        <v>0</v>
      </c>
      <c r="Z48" s="52">
        <v>0</v>
      </c>
      <c r="AA48" s="54">
        <v>0</v>
      </c>
      <c r="AB48" s="54">
        <v>0</v>
      </c>
      <c r="AC48" s="54">
        <v>0</v>
      </c>
    </row>
    <row r="49" spans="1:30" ht="88.5" customHeight="1" outlineLevel="1" x14ac:dyDescent="0.2">
      <c r="A49" s="49" t="s">
        <v>1135</v>
      </c>
      <c r="B49" s="57" t="s">
        <v>970</v>
      </c>
      <c r="C49" s="51">
        <f>E49</f>
        <v>0</v>
      </c>
      <c r="D49" s="52">
        <f>F49+K49+P49+U49+Z49</f>
        <v>1009</v>
      </c>
      <c r="E49" s="51">
        <v>0</v>
      </c>
      <c r="F49" s="52">
        <f>G49+H49+I49</f>
        <v>0</v>
      </c>
      <c r="G49" s="52">
        <v>0</v>
      </c>
      <c r="H49" s="52">
        <v>0</v>
      </c>
      <c r="I49" s="52">
        <v>0</v>
      </c>
      <c r="J49" s="51">
        <v>0</v>
      </c>
      <c r="K49" s="52">
        <f>L49+M49+N49</f>
        <v>1009</v>
      </c>
      <c r="L49" s="52">
        <v>0</v>
      </c>
      <c r="M49" s="52">
        <v>0</v>
      </c>
      <c r="N49" s="52">
        <v>1009</v>
      </c>
      <c r="O49" s="51">
        <v>0</v>
      </c>
      <c r="P49" s="52">
        <v>0</v>
      </c>
      <c r="Q49" s="52">
        <v>0</v>
      </c>
      <c r="R49" s="54">
        <v>0</v>
      </c>
      <c r="S49" s="54">
        <v>0</v>
      </c>
      <c r="T49" s="53">
        <v>0</v>
      </c>
      <c r="U49" s="52">
        <v>0</v>
      </c>
      <c r="V49" s="52">
        <v>0</v>
      </c>
      <c r="W49" s="54">
        <v>0</v>
      </c>
      <c r="X49" s="54">
        <v>0</v>
      </c>
      <c r="Y49" s="53">
        <v>0</v>
      </c>
      <c r="Z49" s="52">
        <v>0</v>
      </c>
      <c r="AA49" s="54">
        <v>0</v>
      </c>
      <c r="AB49" s="54">
        <v>0</v>
      </c>
      <c r="AC49" s="54">
        <v>0</v>
      </c>
    </row>
    <row r="50" spans="1:30" ht="88.5" customHeight="1" outlineLevel="1" x14ac:dyDescent="0.2">
      <c r="A50" s="394" t="s">
        <v>1820</v>
      </c>
      <c r="B50" s="395" t="s">
        <v>1821</v>
      </c>
      <c r="C50" s="47">
        <f>C51</f>
        <v>4.03</v>
      </c>
      <c r="D50" s="48">
        <f>F50+K50+P50+U50+Z50</f>
        <v>13041</v>
      </c>
      <c r="E50" s="47">
        <v>0</v>
      </c>
      <c r="F50" s="48">
        <f>F51</f>
        <v>0</v>
      </c>
      <c r="G50" s="48">
        <f>G51</f>
        <v>0</v>
      </c>
      <c r="H50" s="48">
        <f>H51</f>
        <v>0</v>
      </c>
      <c r="I50" s="48">
        <f>I51</f>
        <v>0</v>
      </c>
      <c r="J50" s="47">
        <v>0</v>
      </c>
      <c r="K50" s="48">
        <f>K51</f>
        <v>0</v>
      </c>
      <c r="L50" s="48">
        <f>L51</f>
        <v>0</v>
      </c>
      <c r="M50" s="48">
        <f>M51</f>
        <v>0</v>
      </c>
      <c r="N50" s="48">
        <f>N51</f>
        <v>0</v>
      </c>
      <c r="O50" s="47">
        <v>0</v>
      </c>
      <c r="P50" s="48">
        <v>0</v>
      </c>
      <c r="Q50" s="48">
        <f>Q51</f>
        <v>0</v>
      </c>
      <c r="R50" s="48">
        <f>R51</f>
        <v>0</v>
      </c>
      <c r="S50" s="48">
        <v>0</v>
      </c>
      <c r="T50" s="59">
        <f>T51</f>
        <v>4.03</v>
      </c>
      <c r="U50" s="389">
        <f>U51</f>
        <v>13041</v>
      </c>
      <c r="V50" s="389">
        <f>V51</f>
        <v>0</v>
      </c>
      <c r="W50" s="389">
        <f>W51</f>
        <v>0</v>
      </c>
      <c r="X50" s="389">
        <f>X51</f>
        <v>13041</v>
      </c>
      <c r="Y50" s="59">
        <f>Y51+Y52</f>
        <v>0</v>
      </c>
      <c r="Z50" s="48">
        <f>Z51</f>
        <v>0</v>
      </c>
      <c r="AA50" s="48">
        <f>AA51</f>
        <v>0</v>
      </c>
      <c r="AB50" s="48">
        <f>AB51</f>
        <v>0</v>
      </c>
      <c r="AC50" s="48">
        <f>AC51</f>
        <v>0</v>
      </c>
    </row>
    <row r="51" spans="1:30" ht="88.5" customHeight="1" outlineLevel="1" x14ac:dyDescent="0.2">
      <c r="A51" s="396" t="s">
        <v>1822</v>
      </c>
      <c r="B51" s="397" t="s">
        <v>1821</v>
      </c>
      <c r="C51" s="51">
        <v>4.03</v>
      </c>
      <c r="D51" s="52">
        <f>F51+K51+P51+U51+Z51</f>
        <v>13041</v>
      </c>
      <c r="E51" s="51">
        <v>0</v>
      </c>
      <c r="F51" s="52">
        <f>G51+H51+I51</f>
        <v>0</v>
      </c>
      <c r="G51" s="52">
        <v>0</v>
      </c>
      <c r="H51" s="52">
        <v>0</v>
      </c>
      <c r="I51" s="52">
        <v>0</v>
      </c>
      <c r="J51" s="51">
        <v>0</v>
      </c>
      <c r="K51" s="52">
        <f>L51+M51+N51</f>
        <v>0</v>
      </c>
      <c r="L51" s="52">
        <v>0</v>
      </c>
      <c r="M51" s="52">
        <v>0</v>
      </c>
      <c r="N51" s="52">
        <v>0</v>
      </c>
      <c r="O51" s="51">
        <v>0</v>
      </c>
      <c r="P51" s="52">
        <f>Q51+R51+S51</f>
        <v>0</v>
      </c>
      <c r="Q51" s="52">
        <v>0</v>
      </c>
      <c r="R51" s="54">
        <v>0</v>
      </c>
      <c r="S51" s="54">
        <v>0</v>
      </c>
      <c r="T51" s="53">
        <v>4.03</v>
      </c>
      <c r="U51" s="390">
        <f>V51+W51+X51</f>
        <v>13041</v>
      </c>
      <c r="V51" s="390">
        <v>0</v>
      </c>
      <c r="W51" s="391">
        <v>0</v>
      </c>
      <c r="X51" s="391">
        <v>13041</v>
      </c>
      <c r="Y51" s="53">
        <v>0</v>
      </c>
      <c r="Z51" s="52">
        <f>AA51+AB51+AC51</f>
        <v>0</v>
      </c>
      <c r="AA51" s="54">
        <v>0</v>
      </c>
      <c r="AB51" s="54">
        <v>0</v>
      </c>
      <c r="AC51" s="54">
        <v>0</v>
      </c>
    </row>
    <row r="52" spans="1:30" s="64" customFormat="1" ht="40.5" customHeight="1" x14ac:dyDescent="0.2">
      <c r="A52" s="60"/>
      <c r="B52" s="61" t="s">
        <v>1136</v>
      </c>
      <c r="C52" s="62">
        <f t="shared" ref="C52:AA52" si="20">C11+C19+C23+C27+C31+C35+C39+C41+C15+C43+C44+C45+C46</f>
        <v>7.4799999999999995</v>
      </c>
      <c r="D52" s="63">
        <f>D11+D19+D23+D27+D31+D35+D39+D41+D15+D43+D44+D45+D46</f>
        <v>386035</v>
      </c>
      <c r="E52" s="62">
        <f t="shared" si="20"/>
        <v>3.06</v>
      </c>
      <c r="F52" s="63">
        <f t="shared" si="20"/>
        <v>319485</v>
      </c>
      <c r="G52" s="63">
        <f t="shared" si="20"/>
        <v>126793</v>
      </c>
      <c r="H52" s="63">
        <f t="shared" si="20"/>
        <v>182270</v>
      </c>
      <c r="I52" s="63">
        <f t="shared" si="20"/>
        <v>12402</v>
      </c>
      <c r="J52" s="62">
        <f t="shared" si="20"/>
        <v>9.9999999999999811E-3</v>
      </c>
      <c r="K52" s="63">
        <f>K11+K19+K23+K27+K31+K35+K39+K41+K15+K43+K44+K45+K46</f>
        <v>8332</v>
      </c>
      <c r="L52" s="63">
        <f>L11+L19+L23+L27+L31+L35+L39+L41+L15+L43+L44+L45+L46</f>
        <v>0</v>
      </c>
      <c r="M52" s="63">
        <f>M11+M19+M23+M27+M31+M35+M39+M41+M15+M43+M44+M45+M46</f>
        <v>0</v>
      </c>
      <c r="N52" s="63">
        <f>N11+N19+N23+N27+N31+N35+N39+N41+N15+N43+N44+N45+N46</f>
        <v>8332</v>
      </c>
      <c r="O52" s="402">
        <f t="shared" si="20"/>
        <v>0.21</v>
      </c>
      <c r="P52" s="63">
        <f>P11+P19+P23+P27+P31+P35+P39+P41+P15+P43+P44+P45+P46+P50</f>
        <v>57740</v>
      </c>
      <c r="Q52" s="63">
        <f t="shared" si="20"/>
        <v>0</v>
      </c>
      <c r="R52" s="63">
        <f t="shared" si="20"/>
        <v>47048</v>
      </c>
      <c r="S52" s="63">
        <f>S11+S19+S23+S27+S31+S35+S39+S41+S15+S43+S44+S45+S50</f>
        <v>10692</v>
      </c>
      <c r="T52" s="62">
        <f>T11+T19+T23+T27+T31+T35+T39+T41+T15+T43+T44+T45+T46+T50</f>
        <v>8.23</v>
      </c>
      <c r="U52" s="392">
        <f>U11+U19+U23+U27+U31+U35+U39+U41+U15+U43+U44+U45+U46+U50</f>
        <v>13519</v>
      </c>
      <c r="V52" s="392">
        <f t="shared" si="20"/>
        <v>0</v>
      </c>
      <c r="W52" s="392">
        <f t="shared" si="20"/>
        <v>0</v>
      </c>
      <c r="X52" s="392">
        <f>X11+X19+X23+X27+X31+X35+X39+X41+X15+X43+X44+X45+X46+X50</f>
        <v>13519</v>
      </c>
      <c r="Y52" s="62">
        <f>Y11+Y19+Y23+Y27+Y31+Y35+Y39+Y41+Y15+Y43+Y44+Y45+Y46</f>
        <v>0</v>
      </c>
      <c r="Z52" s="63">
        <f>Z11+Z19+Z23+Z27+Z31+Z35+Z39+Z41+Z15+Z43+Z44+Z45+Z46</f>
        <v>0</v>
      </c>
      <c r="AA52" s="63">
        <f t="shared" si="20"/>
        <v>0</v>
      </c>
      <c r="AB52" s="63">
        <f>AB11+AB19+AB23+AB27+AB31+AB35+AB39+AB41+AB15+AB43+AB44+AB45+AB46</f>
        <v>0</v>
      </c>
      <c r="AC52" s="63">
        <f>AC11+AC19+AC23+AC27+AC31+AC35+AC39+AC41+AC15+AC43+AC44+AC45+AC46</f>
        <v>0</v>
      </c>
      <c r="AD52" s="60"/>
    </row>
    <row r="53" spans="1:30" ht="25.5" customHeight="1" x14ac:dyDescent="0.2">
      <c r="A53" s="65" t="s">
        <v>77</v>
      </c>
      <c r="B53" s="491" t="s">
        <v>1137</v>
      </c>
      <c r="C53" s="492"/>
      <c r="D53" s="492"/>
      <c r="E53" s="492"/>
      <c r="F53" s="492"/>
      <c r="G53" s="492"/>
      <c r="H53" s="492"/>
      <c r="I53" s="492"/>
      <c r="J53" s="492"/>
      <c r="K53" s="492"/>
      <c r="L53" s="492"/>
      <c r="M53" s="492"/>
      <c r="N53" s="492"/>
      <c r="O53" s="492"/>
      <c r="P53" s="492"/>
      <c r="Q53" s="492"/>
      <c r="R53" s="492"/>
      <c r="S53" s="492"/>
      <c r="T53" s="492"/>
      <c r="U53" s="492"/>
      <c r="V53" s="492"/>
      <c r="W53" s="492"/>
      <c r="X53" s="492"/>
      <c r="Y53" s="492"/>
      <c r="Z53" s="492"/>
      <c r="AA53" s="492"/>
      <c r="AB53" s="492"/>
      <c r="AC53" s="493"/>
    </row>
    <row r="54" spans="1:30" s="18" customFormat="1" ht="112.15" customHeight="1" outlineLevel="1" x14ac:dyDescent="0.2">
      <c r="A54" s="45" t="s">
        <v>1138</v>
      </c>
      <c r="B54" s="66" t="s">
        <v>88</v>
      </c>
      <c r="C54" s="47">
        <f>C55+C56+C57</f>
        <v>0</v>
      </c>
      <c r="D54" s="48">
        <f t="shared" ref="D54:R54" si="21">D55+D56+D57</f>
        <v>0</v>
      </c>
      <c r="E54" s="47">
        <f t="shared" si="21"/>
        <v>0</v>
      </c>
      <c r="F54" s="48">
        <f t="shared" si="21"/>
        <v>0</v>
      </c>
      <c r="G54" s="48">
        <f t="shared" si="21"/>
        <v>0</v>
      </c>
      <c r="H54" s="48">
        <f t="shared" si="21"/>
        <v>0</v>
      </c>
      <c r="I54" s="48">
        <f t="shared" si="21"/>
        <v>0</v>
      </c>
      <c r="J54" s="47">
        <f t="shared" si="21"/>
        <v>0</v>
      </c>
      <c r="K54" s="48">
        <f t="shared" si="21"/>
        <v>0</v>
      </c>
      <c r="L54" s="48">
        <f t="shared" si="21"/>
        <v>0</v>
      </c>
      <c r="M54" s="48">
        <f t="shared" si="21"/>
        <v>0</v>
      </c>
      <c r="N54" s="48">
        <f t="shared" si="21"/>
        <v>0</v>
      </c>
      <c r="O54" s="47">
        <f t="shared" si="21"/>
        <v>0</v>
      </c>
      <c r="P54" s="48">
        <f t="shared" si="21"/>
        <v>0</v>
      </c>
      <c r="Q54" s="48">
        <f t="shared" si="21"/>
        <v>0</v>
      </c>
      <c r="R54" s="48">
        <f t="shared" si="21"/>
        <v>0</v>
      </c>
      <c r="S54" s="48">
        <f t="shared" ref="S54:AA54" si="22">S55+S56+S57</f>
        <v>0</v>
      </c>
      <c r="T54" s="47">
        <f t="shared" si="22"/>
        <v>0</v>
      </c>
      <c r="U54" s="48">
        <f>U55+U56+U57</f>
        <v>0</v>
      </c>
      <c r="V54" s="48">
        <f>V55+V56+V57</f>
        <v>0</v>
      </c>
      <c r="W54" s="48">
        <v>0</v>
      </c>
      <c r="X54" s="48">
        <v>0</v>
      </c>
      <c r="Y54" s="47">
        <f t="shared" si="22"/>
        <v>0</v>
      </c>
      <c r="Z54" s="48">
        <f>Z55+Z56+Z57</f>
        <v>0</v>
      </c>
      <c r="AA54" s="48">
        <f t="shared" si="22"/>
        <v>0</v>
      </c>
      <c r="AB54" s="48">
        <f>AB55+AB56+AB57</f>
        <v>0</v>
      </c>
      <c r="AC54" s="48">
        <f>AC55+AC56+AC57</f>
        <v>0</v>
      </c>
    </row>
    <row r="55" spans="1:30" ht="111.6" customHeight="1" outlineLevel="1" x14ac:dyDescent="0.2">
      <c r="A55" s="49" t="s">
        <v>1139</v>
      </c>
      <c r="B55" s="67" t="s">
        <v>88</v>
      </c>
      <c r="C55" s="51">
        <f>E55+J55+O55+T55+Y55</f>
        <v>0</v>
      </c>
      <c r="D55" s="52">
        <f>F55+K55+P55+U55+Z55</f>
        <v>0</v>
      </c>
      <c r="E55" s="51">
        <v>0</v>
      </c>
      <c r="F55" s="52">
        <v>0</v>
      </c>
      <c r="G55" s="52">
        <v>0</v>
      </c>
      <c r="H55" s="52">
        <v>0</v>
      </c>
      <c r="I55" s="52">
        <v>0</v>
      </c>
      <c r="J55" s="51">
        <v>0</v>
      </c>
      <c r="K55" s="52">
        <f t="shared" ref="K55:K60" si="23">SUM(L55:N55)</f>
        <v>0</v>
      </c>
      <c r="L55" s="52">
        <v>0</v>
      </c>
      <c r="M55" s="52">
        <f>ROUND(51350*0.959,1)-49244.7</f>
        <v>0</v>
      </c>
      <c r="N55" s="52">
        <v>0</v>
      </c>
      <c r="O55" s="51">
        <v>0</v>
      </c>
      <c r="P55" s="52">
        <v>0</v>
      </c>
      <c r="Q55" s="52">
        <v>0</v>
      </c>
      <c r="R55" s="52">
        <f>P55*0.959</f>
        <v>0</v>
      </c>
      <c r="S55" s="52">
        <f>P55*0.041</f>
        <v>0</v>
      </c>
      <c r="T55" s="51">
        <v>0</v>
      </c>
      <c r="U55" s="52">
        <v>0</v>
      </c>
      <c r="V55" s="52">
        <v>0</v>
      </c>
      <c r="W55" s="52">
        <v>0</v>
      </c>
      <c r="X55" s="52">
        <v>0</v>
      </c>
      <c r="Y55" s="51">
        <v>0</v>
      </c>
      <c r="Z55" s="52">
        <f>AA55+AB55+AC55</f>
        <v>0</v>
      </c>
      <c r="AA55" s="52">
        <v>0</v>
      </c>
      <c r="AB55" s="52">
        <v>0</v>
      </c>
      <c r="AC55" s="52">
        <v>0</v>
      </c>
    </row>
    <row r="56" spans="1:30" ht="138" customHeight="1" outlineLevel="1" x14ac:dyDescent="0.2">
      <c r="A56" s="49" t="s">
        <v>1140</v>
      </c>
      <c r="B56" s="67" t="s">
        <v>40</v>
      </c>
      <c r="C56" s="51">
        <v>0</v>
      </c>
      <c r="D56" s="52">
        <f>F56+K56+P56+U56+Z56</f>
        <v>0</v>
      </c>
      <c r="E56" s="51">
        <v>0</v>
      </c>
      <c r="F56" s="52">
        <v>0</v>
      </c>
      <c r="G56" s="52">
        <v>0</v>
      </c>
      <c r="H56" s="52">
        <v>0</v>
      </c>
      <c r="I56" s="52">
        <v>0</v>
      </c>
      <c r="J56" s="51">
        <v>0</v>
      </c>
      <c r="K56" s="52">
        <f t="shared" si="23"/>
        <v>0</v>
      </c>
      <c r="L56" s="52">
        <v>0</v>
      </c>
      <c r="M56" s="52">
        <v>0</v>
      </c>
      <c r="N56" s="52">
        <v>0</v>
      </c>
      <c r="O56" s="51">
        <v>0</v>
      </c>
      <c r="P56" s="52">
        <v>0</v>
      </c>
      <c r="Q56" s="52">
        <v>0</v>
      </c>
      <c r="R56" s="52">
        <v>0</v>
      </c>
      <c r="S56" s="52">
        <v>0</v>
      </c>
      <c r="T56" s="51">
        <v>0</v>
      </c>
      <c r="U56" s="52">
        <v>0</v>
      </c>
      <c r="V56" s="52">
        <v>0</v>
      </c>
      <c r="W56" s="52">
        <v>0</v>
      </c>
      <c r="X56" s="52">
        <v>0</v>
      </c>
      <c r="Y56" s="51">
        <v>0</v>
      </c>
      <c r="Z56" s="52">
        <f>AA56+AB56+AC56</f>
        <v>0</v>
      </c>
      <c r="AA56" s="52">
        <v>0</v>
      </c>
      <c r="AB56" s="52">
        <v>0</v>
      </c>
      <c r="AC56" s="52">
        <v>0</v>
      </c>
    </row>
    <row r="57" spans="1:30" ht="135.6" customHeight="1" outlineLevel="1" x14ac:dyDescent="0.2">
      <c r="A57" s="49" t="s">
        <v>1141</v>
      </c>
      <c r="B57" s="67" t="s">
        <v>407</v>
      </c>
      <c r="C57" s="51">
        <v>0</v>
      </c>
      <c r="D57" s="52">
        <f>F57+K57+P57+U57+Z57</f>
        <v>0</v>
      </c>
      <c r="E57" s="51">
        <v>0</v>
      </c>
      <c r="F57" s="52">
        <v>0</v>
      </c>
      <c r="G57" s="52">
        <v>0</v>
      </c>
      <c r="H57" s="52">
        <v>0</v>
      </c>
      <c r="I57" s="52">
        <v>0</v>
      </c>
      <c r="J57" s="51">
        <v>0</v>
      </c>
      <c r="K57" s="52">
        <f>N57</f>
        <v>0</v>
      </c>
      <c r="L57" s="52">
        <v>0</v>
      </c>
      <c r="M57" s="52">
        <v>0</v>
      </c>
      <c r="N57" s="52">
        <v>0</v>
      </c>
      <c r="O57" s="51">
        <v>0</v>
      </c>
      <c r="P57" s="52">
        <v>0</v>
      </c>
      <c r="Q57" s="52">
        <v>0</v>
      </c>
      <c r="R57" s="52">
        <v>0</v>
      </c>
      <c r="S57" s="52">
        <v>0</v>
      </c>
      <c r="T57" s="51">
        <v>0</v>
      </c>
      <c r="U57" s="52">
        <v>0</v>
      </c>
      <c r="V57" s="52">
        <v>0</v>
      </c>
      <c r="W57" s="52">
        <v>0</v>
      </c>
      <c r="X57" s="52">
        <v>0</v>
      </c>
      <c r="Y57" s="51">
        <v>0</v>
      </c>
      <c r="Z57" s="52">
        <f>AA57+AB57+AC57</f>
        <v>0</v>
      </c>
      <c r="AA57" s="52">
        <v>0</v>
      </c>
      <c r="AB57" s="52">
        <v>0</v>
      </c>
      <c r="AC57" s="52">
        <v>0</v>
      </c>
    </row>
    <row r="58" spans="1:30" s="18" customFormat="1" ht="105" customHeight="1" outlineLevel="1" x14ac:dyDescent="0.2">
      <c r="A58" s="45" t="s">
        <v>1142</v>
      </c>
      <c r="B58" s="66" t="s">
        <v>401</v>
      </c>
      <c r="C58" s="47">
        <f t="shared" ref="C58:AB58" si="24">C59+C60+C61</f>
        <v>0</v>
      </c>
      <c r="D58" s="48">
        <f t="shared" si="24"/>
        <v>0</v>
      </c>
      <c r="E58" s="47">
        <f t="shared" si="24"/>
        <v>0</v>
      </c>
      <c r="F58" s="48">
        <f t="shared" si="24"/>
        <v>0</v>
      </c>
      <c r="G58" s="48">
        <f t="shared" si="24"/>
        <v>0</v>
      </c>
      <c r="H58" s="48">
        <f t="shared" si="24"/>
        <v>0</v>
      </c>
      <c r="I58" s="48">
        <f t="shared" si="24"/>
        <v>0</v>
      </c>
      <c r="J58" s="47">
        <f t="shared" si="24"/>
        <v>0</v>
      </c>
      <c r="K58" s="48">
        <f>K59+K60+K61</f>
        <v>0</v>
      </c>
      <c r="L58" s="48">
        <f t="shared" si="24"/>
        <v>0</v>
      </c>
      <c r="M58" s="48">
        <f t="shared" si="24"/>
        <v>0</v>
      </c>
      <c r="N58" s="48">
        <f>N59+N60+N61</f>
        <v>0</v>
      </c>
      <c r="O58" s="47">
        <f t="shared" si="24"/>
        <v>0</v>
      </c>
      <c r="P58" s="48">
        <f t="shared" si="24"/>
        <v>0</v>
      </c>
      <c r="Q58" s="48">
        <f t="shared" si="24"/>
        <v>0</v>
      </c>
      <c r="R58" s="48">
        <f t="shared" si="24"/>
        <v>0</v>
      </c>
      <c r="S58" s="48">
        <f t="shared" si="24"/>
        <v>0</v>
      </c>
      <c r="T58" s="47">
        <f t="shared" si="24"/>
        <v>0</v>
      </c>
      <c r="U58" s="48">
        <f t="shared" si="24"/>
        <v>0</v>
      </c>
      <c r="V58" s="48">
        <f t="shared" si="24"/>
        <v>0</v>
      </c>
      <c r="W58" s="48">
        <f t="shared" si="24"/>
        <v>0</v>
      </c>
      <c r="X58" s="48">
        <f t="shared" si="24"/>
        <v>0</v>
      </c>
      <c r="Y58" s="47">
        <f t="shared" si="24"/>
        <v>0</v>
      </c>
      <c r="Z58" s="48">
        <f t="shared" si="24"/>
        <v>0</v>
      </c>
      <c r="AA58" s="48">
        <f t="shared" si="24"/>
        <v>0</v>
      </c>
      <c r="AB58" s="48">
        <f t="shared" si="24"/>
        <v>0</v>
      </c>
      <c r="AC58" s="48">
        <f>AC59+AC60+AC61+AC76</f>
        <v>0</v>
      </c>
    </row>
    <row r="59" spans="1:30" ht="92.45" customHeight="1" outlineLevel="1" x14ac:dyDescent="0.2">
      <c r="A59" s="49" t="s">
        <v>1143</v>
      </c>
      <c r="B59" s="67" t="s">
        <v>401</v>
      </c>
      <c r="C59" s="51">
        <f>E59+J59+O59++Y59+T59</f>
        <v>0</v>
      </c>
      <c r="D59" s="54">
        <f t="shared" ref="D59:D65" si="25">F59+K59+P59+Z59+U59</f>
        <v>0</v>
      </c>
      <c r="E59" s="53">
        <v>0</v>
      </c>
      <c r="F59" s="54">
        <v>0</v>
      </c>
      <c r="G59" s="54">
        <v>0</v>
      </c>
      <c r="H59" s="54">
        <v>0</v>
      </c>
      <c r="I59" s="54">
        <v>0</v>
      </c>
      <c r="J59" s="51">
        <v>0</v>
      </c>
      <c r="K59" s="52">
        <f t="shared" si="23"/>
        <v>0</v>
      </c>
      <c r="L59" s="52">
        <v>0</v>
      </c>
      <c r="M59" s="54">
        <f>ROUND(52500*0.959,1)-50347.5</f>
        <v>0</v>
      </c>
      <c r="N59" s="54">
        <v>0</v>
      </c>
      <c r="O59" s="53">
        <v>0</v>
      </c>
      <c r="P59" s="54">
        <f>R59+S59</f>
        <v>0</v>
      </c>
      <c r="Q59" s="54">
        <v>0</v>
      </c>
      <c r="R59" s="54">
        <v>0</v>
      </c>
      <c r="S59" s="54">
        <v>0</v>
      </c>
      <c r="T59" s="53">
        <v>0</v>
      </c>
      <c r="U59" s="52">
        <v>0</v>
      </c>
      <c r="V59" s="52">
        <v>0</v>
      </c>
      <c r="W59" s="52">
        <v>0</v>
      </c>
      <c r="X59" s="52">
        <v>0</v>
      </c>
      <c r="Y59" s="53">
        <v>0</v>
      </c>
      <c r="Z59" s="54">
        <f>AA59+AB59+AC59</f>
        <v>0</v>
      </c>
      <c r="AA59" s="54">
        <v>0</v>
      </c>
      <c r="AB59" s="54">
        <v>0</v>
      </c>
      <c r="AC59" s="54">
        <v>0</v>
      </c>
    </row>
    <row r="60" spans="1:30" ht="109.9" customHeight="1" outlineLevel="1" x14ac:dyDescent="0.2">
      <c r="A60" s="49" t="s">
        <v>1144</v>
      </c>
      <c r="B60" s="67" t="s">
        <v>404</v>
      </c>
      <c r="C60" s="51">
        <f>E60+J60+O60++Y60+T60</f>
        <v>0</v>
      </c>
      <c r="D60" s="54">
        <f t="shared" si="25"/>
        <v>0</v>
      </c>
      <c r="E60" s="53">
        <v>0</v>
      </c>
      <c r="F60" s="54">
        <v>0</v>
      </c>
      <c r="G60" s="54">
        <v>0</v>
      </c>
      <c r="H60" s="54">
        <v>0</v>
      </c>
      <c r="I60" s="54">
        <v>0</v>
      </c>
      <c r="J60" s="51">
        <v>0</v>
      </c>
      <c r="K60" s="52">
        <f t="shared" si="23"/>
        <v>0</v>
      </c>
      <c r="L60" s="52">
        <v>0</v>
      </c>
      <c r="M60" s="54">
        <v>0</v>
      </c>
      <c r="N60" s="54">
        <v>0</v>
      </c>
      <c r="O60" s="53">
        <v>0</v>
      </c>
      <c r="P60" s="54">
        <f>S60</f>
        <v>0</v>
      </c>
      <c r="Q60" s="54">
        <v>0</v>
      </c>
      <c r="R60" s="54">
        <v>0</v>
      </c>
      <c r="S60" s="54">
        <v>0</v>
      </c>
      <c r="T60" s="53">
        <v>0</v>
      </c>
      <c r="U60" s="52">
        <v>0</v>
      </c>
      <c r="V60" s="52">
        <v>0</v>
      </c>
      <c r="W60" s="52">
        <v>0</v>
      </c>
      <c r="X60" s="52">
        <v>0</v>
      </c>
      <c r="Y60" s="53">
        <v>0</v>
      </c>
      <c r="Z60" s="54">
        <f>AA60+AB60+AC60</f>
        <v>0</v>
      </c>
      <c r="AA60" s="54">
        <v>0</v>
      </c>
      <c r="AB60" s="54">
        <v>0</v>
      </c>
      <c r="AC60" s="54">
        <v>0</v>
      </c>
    </row>
    <row r="61" spans="1:30" ht="108" customHeight="1" outlineLevel="1" x14ac:dyDescent="0.2">
      <c r="A61" s="49" t="s">
        <v>1145</v>
      </c>
      <c r="B61" s="67" t="s">
        <v>405</v>
      </c>
      <c r="C61" s="51">
        <f>E61+J61+O61++Y61+T61</f>
        <v>0</v>
      </c>
      <c r="D61" s="54">
        <f t="shared" si="25"/>
        <v>0</v>
      </c>
      <c r="E61" s="53">
        <v>0</v>
      </c>
      <c r="F61" s="54">
        <v>0</v>
      </c>
      <c r="G61" s="54">
        <v>0</v>
      </c>
      <c r="H61" s="54">
        <v>0</v>
      </c>
      <c r="I61" s="54">
        <v>0</v>
      </c>
      <c r="J61" s="51">
        <v>0</v>
      </c>
      <c r="K61" s="52">
        <f>N61</f>
        <v>0</v>
      </c>
      <c r="L61" s="52">
        <v>0</v>
      </c>
      <c r="M61" s="54">
        <v>0</v>
      </c>
      <c r="N61" s="54">
        <v>0</v>
      </c>
      <c r="O61" s="53">
        <v>0</v>
      </c>
      <c r="P61" s="54">
        <f>S61</f>
        <v>0</v>
      </c>
      <c r="Q61" s="54">
        <v>0</v>
      </c>
      <c r="R61" s="54">
        <v>0</v>
      </c>
      <c r="S61" s="54">
        <v>0</v>
      </c>
      <c r="T61" s="53">
        <v>0</v>
      </c>
      <c r="U61" s="52">
        <v>0</v>
      </c>
      <c r="V61" s="52">
        <v>0</v>
      </c>
      <c r="W61" s="52">
        <v>0</v>
      </c>
      <c r="X61" s="52">
        <v>0</v>
      </c>
      <c r="Y61" s="53">
        <v>0</v>
      </c>
      <c r="Z61" s="54">
        <f>AA61+AB61+AC61</f>
        <v>0</v>
      </c>
      <c r="AA61" s="54">
        <v>0</v>
      </c>
      <c r="AB61" s="54">
        <v>0</v>
      </c>
      <c r="AC61" s="54">
        <v>0</v>
      </c>
    </row>
    <row r="62" spans="1:30" s="18" customFormat="1" ht="122.25" customHeight="1" outlineLevel="1" x14ac:dyDescent="0.2">
      <c r="A62" s="45" t="s">
        <v>1146</v>
      </c>
      <c r="B62" s="66" t="s">
        <v>402</v>
      </c>
      <c r="C62" s="47">
        <f>E62+J62+O62+Y62+T62</f>
        <v>0</v>
      </c>
      <c r="D62" s="48">
        <f t="shared" si="25"/>
        <v>0</v>
      </c>
      <c r="E62" s="47">
        <f t="shared" ref="E62:X62" si="26">E63+E64+E65</f>
        <v>0</v>
      </c>
      <c r="F62" s="48">
        <f>F63+F64+F65</f>
        <v>0</v>
      </c>
      <c r="G62" s="48">
        <f t="shared" si="26"/>
        <v>0</v>
      </c>
      <c r="H62" s="48">
        <f t="shared" si="26"/>
        <v>0</v>
      </c>
      <c r="I62" s="48">
        <f t="shared" si="26"/>
        <v>0</v>
      </c>
      <c r="J62" s="47">
        <f t="shared" si="26"/>
        <v>0</v>
      </c>
      <c r="K62" s="48">
        <f>K63+K64+K65</f>
        <v>0</v>
      </c>
      <c r="L62" s="48">
        <f t="shared" si="26"/>
        <v>0</v>
      </c>
      <c r="M62" s="48">
        <f t="shared" si="26"/>
        <v>0</v>
      </c>
      <c r="N62" s="48">
        <f t="shared" si="26"/>
        <v>0</v>
      </c>
      <c r="O62" s="47">
        <f t="shared" si="26"/>
        <v>0</v>
      </c>
      <c r="P62" s="48">
        <f t="shared" si="26"/>
        <v>0</v>
      </c>
      <c r="Q62" s="48">
        <f t="shared" si="26"/>
        <v>0</v>
      </c>
      <c r="R62" s="48">
        <f t="shared" si="26"/>
        <v>0</v>
      </c>
      <c r="S62" s="48">
        <f t="shared" si="26"/>
        <v>0</v>
      </c>
      <c r="T62" s="47">
        <f t="shared" si="26"/>
        <v>0</v>
      </c>
      <c r="U62" s="48">
        <f t="shared" si="26"/>
        <v>0</v>
      </c>
      <c r="V62" s="48">
        <f t="shared" si="26"/>
        <v>0</v>
      </c>
      <c r="W62" s="48">
        <f t="shared" si="26"/>
        <v>0</v>
      </c>
      <c r="X62" s="48">
        <f t="shared" si="26"/>
        <v>0</v>
      </c>
      <c r="Y62" s="47">
        <f>Y63+Y64+Y65</f>
        <v>0</v>
      </c>
      <c r="Z62" s="48">
        <f>Z63+Z64+Z65</f>
        <v>0</v>
      </c>
      <c r="AA62" s="48">
        <f>AA63+AA64+AA65</f>
        <v>0</v>
      </c>
      <c r="AB62" s="48">
        <f>AB63+AB64+AB65</f>
        <v>0</v>
      </c>
      <c r="AC62" s="48">
        <f>AC63+AC64+AC65</f>
        <v>0</v>
      </c>
    </row>
    <row r="63" spans="1:30" ht="108" customHeight="1" outlineLevel="1" x14ac:dyDescent="0.2">
      <c r="A63" s="49" t="s">
        <v>1147</v>
      </c>
      <c r="B63" s="67" t="s">
        <v>402</v>
      </c>
      <c r="C63" s="51">
        <f>E63+J63+O63+Y63+T63</f>
        <v>0</v>
      </c>
      <c r="D63" s="52">
        <f t="shared" si="25"/>
        <v>0</v>
      </c>
      <c r="E63" s="53">
        <v>0</v>
      </c>
      <c r="F63" s="54">
        <v>0</v>
      </c>
      <c r="G63" s="54">
        <v>0</v>
      </c>
      <c r="H63" s="54">
        <v>0</v>
      </c>
      <c r="I63" s="54">
        <v>0</v>
      </c>
      <c r="J63" s="51">
        <v>0</v>
      </c>
      <c r="K63" s="52">
        <v>0</v>
      </c>
      <c r="L63" s="52">
        <v>0</v>
      </c>
      <c r="M63" s="54">
        <v>0</v>
      </c>
      <c r="N63" s="54">
        <v>0</v>
      </c>
      <c r="O63" s="53">
        <v>0</v>
      </c>
      <c r="P63" s="54">
        <v>0</v>
      </c>
      <c r="Q63" s="54">
        <v>0</v>
      </c>
      <c r="R63" s="54">
        <v>0</v>
      </c>
      <c r="S63" s="54">
        <v>0</v>
      </c>
      <c r="T63" s="52">
        <v>0</v>
      </c>
      <c r="U63" s="52">
        <v>0</v>
      </c>
      <c r="V63" s="52">
        <v>0</v>
      </c>
      <c r="W63" s="52">
        <v>0</v>
      </c>
      <c r="X63" s="52">
        <v>0</v>
      </c>
      <c r="Y63" s="53">
        <v>0</v>
      </c>
      <c r="Z63" s="54">
        <f>AA63+AB63+AC63</f>
        <v>0</v>
      </c>
      <c r="AA63" s="54">
        <v>0</v>
      </c>
      <c r="AB63" s="54">
        <v>0</v>
      </c>
      <c r="AC63" s="54">
        <v>0</v>
      </c>
    </row>
    <row r="64" spans="1:30" ht="129.75" customHeight="1" outlineLevel="1" x14ac:dyDescent="0.2">
      <c r="A64" s="49" t="s">
        <v>1148</v>
      </c>
      <c r="B64" s="67" t="s">
        <v>471</v>
      </c>
      <c r="C64" s="51">
        <f>E64+J64+O64+Y64+T64</f>
        <v>0</v>
      </c>
      <c r="D64" s="52">
        <f t="shared" si="25"/>
        <v>0</v>
      </c>
      <c r="E64" s="53">
        <v>0</v>
      </c>
      <c r="F64" s="54">
        <v>0</v>
      </c>
      <c r="G64" s="54">
        <v>0</v>
      </c>
      <c r="H64" s="54">
        <v>0</v>
      </c>
      <c r="I64" s="54">
        <v>0</v>
      </c>
      <c r="J64" s="51">
        <v>0</v>
      </c>
      <c r="K64" s="52">
        <v>0</v>
      </c>
      <c r="L64" s="52">
        <v>0</v>
      </c>
      <c r="M64" s="54">
        <v>0</v>
      </c>
      <c r="N64" s="54">
        <v>0</v>
      </c>
      <c r="O64" s="53">
        <v>0</v>
      </c>
      <c r="P64" s="54">
        <f>S64</f>
        <v>0</v>
      </c>
      <c r="Q64" s="54">
        <v>0</v>
      </c>
      <c r="R64" s="54">
        <v>0</v>
      </c>
      <c r="S64" s="54">
        <v>0</v>
      </c>
      <c r="T64" s="52">
        <v>0</v>
      </c>
      <c r="U64" s="52">
        <v>0</v>
      </c>
      <c r="V64" s="52">
        <v>0</v>
      </c>
      <c r="W64" s="52">
        <v>0</v>
      </c>
      <c r="X64" s="52">
        <v>0</v>
      </c>
      <c r="Y64" s="53">
        <v>0</v>
      </c>
      <c r="Z64" s="54">
        <f>AA64+AB64+AC64</f>
        <v>0</v>
      </c>
      <c r="AA64" s="54">
        <v>0</v>
      </c>
      <c r="AB64" s="54">
        <v>0</v>
      </c>
      <c r="AC64" s="54">
        <v>0</v>
      </c>
    </row>
    <row r="65" spans="1:30" ht="128.25" customHeight="1" outlineLevel="1" x14ac:dyDescent="0.2">
      <c r="A65" s="49" t="s">
        <v>1149</v>
      </c>
      <c r="B65" s="67" t="s">
        <v>472</v>
      </c>
      <c r="C65" s="51">
        <f>E65+J65+O65+Y65+T65</f>
        <v>0</v>
      </c>
      <c r="D65" s="52">
        <f t="shared" si="25"/>
        <v>0</v>
      </c>
      <c r="E65" s="53">
        <v>0</v>
      </c>
      <c r="F65" s="54">
        <v>0</v>
      </c>
      <c r="G65" s="54">
        <v>0</v>
      </c>
      <c r="H65" s="54">
        <v>0</v>
      </c>
      <c r="I65" s="54">
        <v>0</v>
      </c>
      <c r="J65" s="51">
        <v>0</v>
      </c>
      <c r="K65" s="52">
        <v>0</v>
      </c>
      <c r="L65" s="52">
        <v>0</v>
      </c>
      <c r="M65" s="54">
        <v>0</v>
      </c>
      <c r="N65" s="54">
        <v>0</v>
      </c>
      <c r="O65" s="53">
        <v>0</v>
      </c>
      <c r="P65" s="54">
        <f>S65</f>
        <v>0</v>
      </c>
      <c r="Q65" s="54">
        <v>0</v>
      </c>
      <c r="R65" s="54">
        <v>0</v>
      </c>
      <c r="S65" s="54">
        <v>0</v>
      </c>
      <c r="T65" s="52">
        <v>0</v>
      </c>
      <c r="U65" s="52">
        <v>0</v>
      </c>
      <c r="V65" s="52">
        <v>0</v>
      </c>
      <c r="W65" s="52">
        <v>0</v>
      </c>
      <c r="X65" s="52">
        <v>0</v>
      </c>
      <c r="Y65" s="53">
        <v>0</v>
      </c>
      <c r="Z65" s="54">
        <f>AA65+AB65+AC65</f>
        <v>0</v>
      </c>
      <c r="AA65" s="54">
        <v>0</v>
      </c>
      <c r="AB65" s="54">
        <v>0</v>
      </c>
      <c r="AC65" s="54">
        <v>0</v>
      </c>
    </row>
    <row r="66" spans="1:30" s="18" customFormat="1" ht="79.5" customHeight="1" outlineLevel="1" x14ac:dyDescent="0.2">
      <c r="A66" s="45" t="s">
        <v>1150</v>
      </c>
      <c r="B66" s="66" t="s">
        <v>711</v>
      </c>
      <c r="C66" s="47">
        <f t="shared" ref="C66:D68" si="27">E66+J66+O66+T66+Y66</f>
        <v>2</v>
      </c>
      <c r="D66" s="48">
        <f t="shared" si="27"/>
        <v>185535</v>
      </c>
      <c r="E66" s="59">
        <v>1</v>
      </c>
      <c r="F66" s="58">
        <f>G66+H66+I66</f>
        <v>66560</v>
      </c>
      <c r="G66" s="58">
        <f>G67+G68</f>
        <v>0</v>
      </c>
      <c r="H66" s="58">
        <f>H67+H68</f>
        <v>62060</v>
      </c>
      <c r="I66" s="58">
        <f>I67+I68</f>
        <v>4500</v>
      </c>
      <c r="J66" s="47">
        <v>0</v>
      </c>
      <c r="K66" s="48">
        <f>K67+K68</f>
        <v>0</v>
      </c>
      <c r="L66" s="48">
        <f>L67+L68</f>
        <v>0</v>
      </c>
      <c r="M66" s="48">
        <f>M67+M68</f>
        <v>0</v>
      </c>
      <c r="N66" s="48">
        <f>N67+N68</f>
        <v>0</v>
      </c>
      <c r="O66" s="59">
        <f>O67+O68</f>
        <v>1</v>
      </c>
      <c r="P66" s="58">
        <f>S66+R66+Q66</f>
        <v>118975</v>
      </c>
      <c r="Q66" s="58">
        <v>0</v>
      </c>
      <c r="R66" s="58">
        <f>R67+R68+R69</f>
        <v>110000</v>
      </c>
      <c r="S66" s="58">
        <f>S67+S68+S69</f>
        <v>8975</v>
      </c>
      <c r="T66" s="59">
        <v>0</v>
      </c>
      <c r="U66" s="58">
        <f>V66+W66+X66</f>
        <v>0</v>
      </c>
      <c r="V66" s="58">
        <v>0</v>
      </c>
      <c r="W66" s="58">
        <v>0</v>
      </c>
      <c r="X66" s="58">
        <v>0</v>
      </c>
      <c r="Y66" s="59">
        <v>0</v>
      </c>
      <c r="Z66" s="58">
        <v>0</v>
      </c>
      <c r="AA66" s="58">
        <v>0</v>
      </c>
      <c r="AB66" s="58">
        <v>0</v>
      </c>
      <c r="AC66" s="58">
        <v>0</v>
      </c>
    </row>
    <row r="67" spans="1:30" ht="79.5" customHeight="1" outlineLevel="1" x14ac:dyDescent="0.2">
      <c r="A67" s="49" t="s">
        <v>1151</v>
      </c>
      <c r="B67" s="67" t="s">
        <v>711</v>
      </c>
      <c r="C67" s="51">
        <f t="shared" si="27"/>
        <v>2</v>
      </c>
      <c r="D67" s="52">
        <f t="shared" si="27"/>
        <v>180619</v>
      </c>
      <c r="E67" s="53">
        <v>1</v>
      </c>
      <c r="F67" s="54">
        <f>G67+H67+I67</f>
        <v>65189</v>
      </c>
      <c r="G67" s="54">
        <v>0</v>
      </c>
      <c r="H67" s="54">
        <f>62060</f>
        <v>62060</v>
      </c>
      <c r="I67" s="54">
        <v>3129</v>
      </c>
      <c r="J67" s="51">
        <v>0</v>
      </c>
      <c r="K67" s="52">
        <f>L67+M67+N67</f>
        <v>0</v>
      </c>
      <c r="L67" s="52">
        <v>0</v>
      </c>
      <c r="M67" s="54">
        <f>61000-33953-27047</f>
        <v>0</v>
      </c>
      <c r="N67" s="54">
        <f>3756-2091-1665</f>
        <v>0</v>
      </c>
      <c r="O67" s="53">
        <v>1</v>
      </c>
      <c r="P67" s="391">
        <f>S67+R67</f>
        <v>115430</v>
      </c>
      <c r="Q67" s="391">
        <v>0</v>
      </c>
      <c r="R67" s="391">
        <v>108735</v>
      </c>
      <c r="S67" s="391">
        <v>6695</v>
      </c>
      <c r="T67" s="53">
        <v>0</v>
      </c>
      <c r="U67" s="54">
        <f>V67+W67+X67</f>
        <v>0</v>
      </c>
      <c r="V67" s="54">
        <v>0</v>
      </c>
      <c r="W67" s="54">
        <v>0</v>
      </c>
      <c r="X67" s="54">
        <v>0</v>
      </c>
      <c r="Y67" s="53">
        <v>0</v>
      </c>
      <c r="Z67" s="54">
        <v>0</v>
      </c>
      <c r="AA67" s="54">
        <v>0</v>
      </c>
      <c r="AB67" s="54">
        <v>0</v>
      </c>
      <c r="AC67" s="54">
        <v>0</v>
      </c>
    </row>
    <row r="68" spans="1:30" ht="93" customHeight="1" outlineLevel="1" x14ac:dyDescent="0.2">
      <c r="A68" s="49" t="s">
        <v>1152</v>
      </c>
      <c r="B68" s="67" t="s">
        <v>796</v>
      </c>
      <c r="C68" s="51">
        <f t="shared" si="27"/>
        <v>0</v>
      </c>
      <c r="D68" s="52">
        <f t="shared" si="27"/>
        <v>3573</v>
      </c>
      <c r="E68" s="53">
        <v>0</v>
      </c>
      <c r="F68" s="54">
        <f>G68+H68+I68</f>
        <v>1371</v>
      </c>
      <c r="G68" s="54">
        <v>0</v>
      </c>
      <c r="H68" s="54">
        <v>0</v>
      </c>
      <c r="I68" s="54">
        <v>1371</v>
      </c>
      <c r="J68" s="51">
        <v>0</v>
      </c>
      <c r="K68" s="52">
        <v>0</v>
      </c>
      <c r="L68" s="52">
        <v>0</v>
      </c>
      <c r="M68" s="54">
        <v>0</v>
      </c>
      <c r="N68" s="54">
        <v>0</v>
      </c>
      <c r="O68" s="53">
        <v>0</v>
      </c>
      <c r="P68" s="391">
        <f>Q68+R68+S68</f>
        <v>2202</v>
      </c>
      <c r="Q68" s="391">
        <v>0</v>
      </c>
      <c r="R68" s="391">
        <v>0</v>
      </c>
      <c r="S68" s="391">
        <v>2202</v>
      </c>
      <c r="T68" s="53">
        <v>0</v>
      </c>
      <c r="U68" s="54">
        <v>0</v>
      </c>
      <c r="V68" s="54">
        <v>0</v>
      </c>
      <c r="W68" s="54">
        <v>0</v>
      </c>
      <c r="X68" s="54">
        <v>0</v>
      </c>
      <c r="Y68" s="53">
        <v>0</v>
      </c>
      <c r="Z68" s="54">
        <v>0</v>
      </c>
      <c r="AA68" s="54">
        <v>0</v>
      </c>
      <c r="AB68" s="54">
        <v>0</v>
      </c>
      <c r="AC68" s="54">
        <v>0</v>
      </c>
    </row>
    <row r="69" spans="1:30" ht="27" customHeight="1" outlineLevel="1" x14ac:dyDescent="0.2">
      <c r="A69" s="396"/>
      <c r="B69" s="420" t="s">
        <v>587</v>
      </c>
      <c r="C69" s="421">
        <f>E69+J69+O69+T69+Y69</f>
        <v>0</v>
      </c>
      <c r="D69" s="390">
        <f>F69+K69+P69+U69+Z69</f>
        <v>1343</v>
      </c>
      <c r="E69" s="401">
        <v>0</v>
      </c>
      <c r="F69" s="391">
        <f>G69+H69+I69</f>
        <v>0</v>
      </c>
      <c r="G69" s="391">
        <v>0</v>
      </c>
      <c r="H69" s="391">
        <v>0</v>
      </c>
      <c r="I69" s="391">
        <v>0</v>
      </c>
      <c r="J69" s="421">
        <v>0</v>
      </c>
      <c r="K69" s="390">
        <f>L69+M69+N69</f>
        <v>0</v>
      </c>
      <c r="L69" s="390">
        <v>0</v>
      </c>
      <c r="M69" s="391">
        <f>35662-35662</f>
        <v>0</v>
      </c>
      <c r="N69" s="391">
        <v>0</v>
      </c>
      <c r="O69" s="401">
        <v>0</v>
      </c>
      <c r="P69" s="391">
        <f>Q69+R69+S69</f>
        <v>1343</v>
      </c>
      <c r="Q69" s="391">
        <v>0</v>
      </c>
      <c r="R69" s="391">
        <v>1265</v>
      </c>
      <c r="S69" s="391">
        <v>78</v>
      </c>
      <c r="T69" s="401">
        <v>0</v>
      </c>
      <c r="U69" s="391">
        <v>0</v>
      </c>
      <c r="V69" s="391">
        <v>0</v>
      </c>
      <c r="W69" s="391">
        <v>0</v>
      </c>
      <c r="X69" s="391">
        <v>0</v>
      </c>
      <c r="Y69" s="401">
        <v>0</v>
      </c>
      <c r="Z69" s="391">
        <v>0</v>
      </c>
      <c r="AA69" s="391">
        <v>0</v>
      </c>
      <c r="AB69" s="391">
        <v>0</v>
      </c>
      <c r="AC69" s="396">
        <v>0</v>
      </c>
    </row>
    <row r="70" spans="1:30" s="18" customFormat="1" ht="106.5" customHeight="1" outlineLevel="1" x14ac:dyDescent="0.2">
      <c r="A70" s="45" t="s">
        <v>1153</v>
      </c>
      <c r="B70" s="66" t="s">
        <v>845</v>
      </c>
      <c r="C70" s="47">
        <f>E70+J70+O70+T70+Y70</f>
        <v>0.99299999999999999</v>
      </c>
      <c r="D70" s="48">
        <f>F70+K70+P70+U70+Z70</f>
        <v>211876</v>
      </c>
      <c r="E70" s="59">
        <v>0</v>
      </c>
      <c r="F70" s="58">
        <f>G70+H70+I70</f>
        <v>0</v>
      </c>
      <c r="G70" s="58">
        <v>0</v>
      </c>
      <c r="H70" s="58">
        <v>0</v>
      </c>
      <c r="I70" s="58">
        <v>0</v>
      </c>
      <c r="J70" s="47">
        <f>0.45-0.42</f>
        <v>3.0000000000000027E-2</v>
      </c>
      <c r="K70" s="48">
        <f>L70+M70+N70</f>
        <v>2196</v>
      </c>
      <c r="L70" s="48">
        <v>0</v>
      </c>
      <c r="M70" s="58">
        <f>35662-35662</f>
        <v>0</v>
      </c>
      <c r="N70" s="58">
        <v>2196</v>
      </c>
      <c r="O70" s="59">
        <v>0.96299999999999997</v>
      </c>
      <c r="P70" s="399">
        <f>Q70+R70+S70</f>
        <v>209680</v>
      </c>
      <c r="Q70" s="399">
        <v>0</v>
      </c>
      <c r="R70" s="399">
        <f>0+196000</f>
        <v>196000</v>
      </c>
      <c r="S70" s="399">
        <f>8048+360+5272</f>
        <v>13680</v>
      </c>
      <c r="T70" s="59">
        <v>0</v>
      </c>
      <c r="U70" s="58">
        <v>0</v>
      </c>
      <c r="V70" s="58">
        <v>0</v>
      </c>
      <c r="W70" s="58">
        <v>0</v>
      </c>
      <c r="X70" s="58">
        <v>0</v>
      </c>
      <c r="Y70" s="59">
        <v>0</v>
      </c>
      <c r="Z70" s="58">
        <v>0</v>
      </c>
      <c r="AA70" s="58">
        <v>0</v>
      </c>
      <c r="AB70" s="58">
        <v>0</v>
      </c>
      <c r="AC70" s="58">
        <v>0</v>
      </c>
    </row>
    <row r="71" spans="1:30" s="71" customFormat="1" ht="42" customHeight="1" x14ac:dyDescent="0.2">
      <c r="A71" s="68"/>
      <c r="B71" s="69" t="s">
        <v>1154</v>
      </c>
      <c r="C71" s="62">
        <f t="shared" ref="C71:S71" si="28">C54+C58+C62+C66+C70</f>
        <v>2.9929999999999999</v>
      </c>
      <c r="D71" s="63">
        <f t="shared" si="28"/>
        <v>397411</v>
      </c>
      <c r="E71" s="62">
        <f t="shared" si="28"/>
        <v>1</v>
      </c>
      <c r="F71" s="63">
        <f t="shared" si="28"/>
        <v>66560</v>
      </c>
      <c r="G71" s="63">
        <f t="shared" si="28"/>
        <v>0</v>
      </c>
      <c r="H71" s="63">
        <f t="shared" si="28"/>
        <v>62060</v>
      </c>
      <c r="I71" s="63">
        <f t="shared" si="28"/>
        <v>4500</v>
      </c>
      <c r="J71" s="62">
        <f t="shared" si="28"/>
        <v>3.0000000000000027E-2</v>
      </c>
      <c r="K71" s="63">
        <f t="shared" si="28"/>
        <v>2196</v>
      </c>
      <c r="L71" s="63">
        <f t="shared" si="28"/>
        <v>0</v>
      </c>
      <c r="M71" s="63">
        <f t="shared" si="28"/>
        <v>0</v>
      </c>
      <c r="N71" s="63">
        <f t="shared" si="28"/>
        <v>2196</v>
      </c>
      <c r="O71" s="62">
        <f t="shared" si="28"/>
        <v>1.9630000000000001</v>
      </c>
      <c r="P71" s="392">
        <f t="shared" si="28"/>
        <v>328655</v>
      </c>
      <c r="Q71" s="392">
        <f t="shared" si="28"/>
        <v>0</v>
      </c>
      <c r="R71" s="392">
        <f t="shared" si="28"/>
        <v>306000</v>
      </c>
      <c r="S71" s="392">
        <f t="shared" si="28"/>
        <v>22655</v>
      </c>
      <c r="T71" s="62">
        <f>T54+Y58+Y62+T66+T70</f>
        <v>0</v>
      </c>
      <c r="U71" s="63">
        <f>U54+U58+U62+U66+U70</f>
        <v>0</v>
      </c>
      <c r="V71" s="63">
        <f>V54+AA58+AA62+V66+V70</f>
        <v>0</v>
      </c>
      <c r="W71" s="63">
        <f t="shared" ref="W71:AC71" si="29">W54+W58+W62+W66+W70</f>
        <v>0</v>
      </c>
      <c r="X71" s="63">
        <f t="shared" si="29"/>
        <v>0</v>
      </c>
      <c r="Y71" s="62">
        <f t="shared" si="29"/>
        <v>0</v>
      </c>
      <c r="Z71" s="63">
        <f t="shared" si="29"/>
        <v>0</v>
      </c>
      <c r="AA71" s="63">
        <f t="shared" si="29"/>
        <v>0</v>
      </c>
      <c r="AB71" s="63">
        <f t="shared" si="29"/>
        <v>0</v>
      </c>
      <c r="AC71" s="63">
        <f t="shared" si="29"/>
        <v>0</v>
      </c>
      <c r="AD71" s="70"/>
    </row>
    <row r="72" spans="1:30" s="73" customFormat="1" ht="29.45" customHeight="1" x14ac:dyDescent="0.2">
      <c r="A72" s="72" t="s">
        <v>408</v>
      </c>
      <c r="B72" s="482" t="s">
        <v>1155</v>
      </c>
      <c r="C72" s="483"/>
      <c r="D72" s="483"/>
      <c r="E72" s="483"/>
      <c r="F72" s="483"/>
      <c r="G72" s="483"/>
      <c r="H72" s="483"/>
      <c r="I72" s="483"/>
      <c r="J72" s="483"/>
      <c r="K72" s="483"/>
      <c r="L72" s="483"/>
      <c r="M72" s="483"/>
      <c r="N72" s="483"/>
      <c r="O72" s="483"/>
      <c r="P72" s="483"/>
      <c r="Q72" s="483"/>
      <c r="R72" s="483"/>
      <c r="S72" s="483"/>
      <c r="T72" s="483"/>
      <c r="U72" s="483"/>
      <c r="V72" s="483"/>
      <c r="W72" s="483"/>
      <c r="X72" s="483"/>
      <c r="Y72" s="483"/>
      <c r="Z72" s="483"/>
      <c r="AA72" s="483"/>
      <c r="AB72" s="483"/>
      <c r="AC72" s="484"/>
    </row>
    <row r="73" spans="1:30" s="73" customFormat="1" ht="163.5" customHeight="1" outlineLevel="1" x14ac:dyDescent="0.2">
      <c r="A73" s="74" t="s">
        <v>1156</v>
      </c>
      <c r="B73" s="75" t="s">
        <v>399</v>
      </c>
      <c r="C73" s="76">
        <v>0</v>
      </c>
      <c r="D73" s="77">
        <f t="shared" ref="D73:D80" si="30">F73+K73+P73+U73+Z73</f>
        <v>15947</v>
      </c>
      <c r="E73" s="51">
        <v>0</v>
      </c>
      <c r="F73" s="52">
        <f>I73</f>
        <v>5316</v>
      </c>
      <c r="G73" s="52">
        <v>0</v>
      </c>
      <c r="H73" s="52">
        <v>0</v>
      </c>
      <c r="I73" s="52">
        <f>5960-644</f>
        <v>5316</v>
      </c>
      <c r="J73" s="76">
        <v>0</v>
      </c>
      <c r="K73" s="77">
        <f t="shared" ref="K73:K78" si="31">L73+M73+N73</f>
        <v>5316</v>
      </c>
      <c r="L73" s="77">
        <v>0</v>
      </c>
      <c r="M73" s="78">
        <v>0</v>
      </c>
      <c r="N73" s="77">
        <v>5316</v>
      </c>
      <c r="O73" s="76">
        <v>0</v>
      </c>
      <c r="P73" s="77">
        <f>Q73+R73+S73</f>
        <v>5315</v>
      </c>
      <c r="Q73" s="77">
        <v>0</v>
      </c>
      <c r="R73" s="78">
        <v>0</v>
      </c>
      <c r="S73" s="77">
        <v>5315</v>
      </c>
      <c r="T73" s="79">
        <v>0</v>
      </c>
      <c r="U73" s="78">
        <v>0</v>
      </c>
      <c r="V73" s="78">
        <v>0</v>
      </c>
      <c r="W73" s="78">
        <v>0</v>
      </c>
      <c r="X73" s="78">
        <v>0</v>
      </c>
      <c r="Y73" s="79">
        <v>0</v>
      </c>
      <c r="Z73" s="78">
        <v>0</v>
      </c>
      <c r="AA73" s="78">
        <v>0</v>
      </c>
      <c r="AB73" s="78">
        <v>0</v>
      </c>
      <c r="AC73" s="78">
        <v>0</v>
      </c>
      <c r="AD73" s="80"/>
    </row>
    <row r="74" spans="1:30" s="73" customFormat="1" ht="133.5" customHeight="1" outlineLevel="1" x14ac:dyDescent="0.2">
      <c r="A74" s="74" t="s">
        <v>1157</v>
      </c>
      <c r="B74" s="75" t="s">
        <v>403</v>
      </c>
      <c r="C74" s="76">
        <v>0</v>
      </c>
      <c r="D74" s="77">
        <f t="shared" si="30"/>
        <v>9370</v>
      </c>
      <c r="E74" s="51">
        <v>0</v>
      </c>
      <c r="F74" s="52">
        <f>I74</f>
        <v>4685</v>
      </c>
      <c r="G74" s="52">
        <v>0</v>
      </c>
      <c r="H74" s="52">
        <v>0</v>
      </c>
      <c r="I74" s="52">
        <v>4685</v>
      </c>
      <c r="J74" s="76">
        <v>0</v>
      </c>
      <c r="K74" s="77">
        <f t="shared" si="31"/>
        <v>0</v>
      </c>
      <c r="L74" s="77">
        <v>0</v>
      </c>
      <c r="M74" s="78">
        <v>0</v>
      </c>
      <c r="N74" s="77">
        <v>0</v>
      </c>
      <c r="O74" s="76">
        <v>0</v>
      </c>
      <c r="P74" s="77">
        <f>Q74+R74+S74</f>
        <v>4685</v>
      </c>
      <c r="Q74" s="77">
        <v>0</v>
      </c>
      <c r="R74" s="78">
        <v>0</v>
      </c>
      <c r="S74" s="77">
        <v>4685</v>
      </c>
      <c r="T74" s="79">
        <v>0</v>
      </c>
      <c r="U74" s="78">
        <v>0</v>
      </c>
      <c r="V74" s="78">
        <v>0</v>
      </c>
      <c r="W74" s="78">
        <v>0</v>
      </c>
      <c r="X74" s="78">
        <v>0</v>
      </c>
      <c r="Y74" s="79">
        <v>0</v>
      </c>
      <c r="Z74" s="78">
        <v>0</v>
      </c>
      <c r="AA74" s="78">
        <v>0</v>
      </c>
      <c r="AB74" s="78">
        <v>0</v>
      </c>
      <c r="AC74" s="78">
        <v>0</v>
      </c>
      <c r="AD74" s="80"/>
    </row>
    <row r="75" spans="1:30" s="73" customFormat="1" ht="93" customHeight="1" outlineLevel="1" x14ac:dyDescent="0.2">
      <c r="A75" s="74" t="s">
        <v>1158</v>
      </c>
      <c r="B75" s="75" t="s">
        <v>1665</v>
      </c>
      <c r="C75" s="76">
        <f>1-1</f>
        <v>0</v>
      </c>
      <c r="D75" s="77">
        <f>F75+K75+P75+U75+Z75</f>
        <v>0</v>
      </c>
      <c r="E75" s="51">
        <f>1-1</f>
        <v>0</v>
      </c>
      <c r="F75" s="52">
        <f>I75</f>
        <v>0</v>
      </c>
      <c r="G75" s="52">
        <v>0</v>
      </c>
      <c r="H75" s="52">
        <v>0</v>
      </c>
      <c r="I75" s="52">
        <v>0</v>
      </c>
      <c r="J75" s="76">
        <v>0</v>
      </c>
      <c r="K75" s="77">
        <f t="shared" si="31"/>
        <v>0</v>
      </c>
      <c r="L75" s="77">
        <v>0</v>
      </c>
      <c r="M75" s="78">
        <v>0</v>
      </c>
      <c r="N75" s="77">
        <v>0</v>
      </c>
      <c r="O75" s="76">
        <v>0</v>
      </c>
      <c r="P75" s="346">
        <f>Q75+R75+S75</f>
        <v>0</v>
      </c>
      <c r="Q75" s="346">
        <v>0</v>
      </c>
      <c r="R75" s="398">
        <v>0</v>
      </c>
      <c r="S75" s="346">
        <f>324-324</f>
        <v>0</v>
      </c>
      <c r="T75" s="79">
        <v>0</v>
      </c>
      <c r="U75" s="78">
        <v>0</v>
      </c>
      <c r="V75" s="78">
        <v>0</v>
      </c>
      <c r="W75" s="78">
        <v>0</v>
      </c>
      <c r="X75" s="78">
        <v>0</v>
      </c>
      <c r="Y75" s="79">
        <v>0</v>
      </c>
      <c r="Z75" s="78">
        <v>0</v>
      </c>
      <c r="AA75" s="78">
        <v>0</v>
      </c>
      <c r="AB75" s="78">
        <v>0</v>
      </c>
      <c r="AC75" s="78">
        <v>0</v>
      </c>
      <c r="AD75" s="80"/>
    </row>
    <row r="76" spans="1:30" ht="121.5" customHeight="1" outlineLevel="1" x14ac:dyDescent="0.2">
      <c r="A76" s="74" t="s">
        <v>1159</v>
      </c>
      <c r="B76" s="67" t="s">
        <v>980</v>
      </c>
      <c r="C76" s="51">
        <f>E76+J76+O76++Y76+T76</f>
        <v>0</v>
      </c>
      <c r="D76" s="77">
        <f t="shared" si="30"/>
        <v>53</v>
      </c>
      <c r="E76" s="53">
        <v>0</v>
      </c>
      <c r="F76" s="54">
        <v>0</v>
      </c>
      <c r="G76" s="54">
        <v>0</v>
      </c>
      <c r="H76" s="54">
        <v>0</v>
      </c>
      <c r="I76" s="54">
        <v>0</v>
      </c>
      <c r="J76" s="51">
        <v>0</v>
      </c>
      <c r="K76" s="77">
        <f t="shared" si="31"/>
        <v>53</v>
      </c>
      <c r="L76" s="52">
        <v>0</v>
      </c>
      <c r="M76" s="54">
        <v>0</v>
      </c>
      <c r="N76" s="54">
        <v>53</v>
      </c>
      <c r="O76" s="53">
        <v>0</v>
      </c>
      <c r="P76" s="54">
        <f>S76</f>
        <v>0</v>
      </c>
      <c r="Q76" s="54">
        <v>0</v>
      </c>
      <c r="R76" s="54">
        <v>0</v>
      </c>
      <c r="S76" s="54">
        <v>0</v>
      </c>
      <c r="T76" s="53">
        <v>0</v>
      </c>
      <c r="U76" s="52">
        <v>0</v>
      </c>
      <c r="V76" s="52">
        <v>0</v>
      </c>
      <c r="W76" s="52">
        <v>0</v>
      </c>
      <c r="X76" s="52">
        <v>0</v>
      </c>
      <c r="Y76" s="53">
        <v>0</v>
      </c>
      <c r="Z76" s="54">
        <f t="shared" ref="Z76:Z97" si="32">AA76+AB76+AC76</f>
        <v>0</v>
      </c>
      <c r="AA76" s="54">
        <v>0</v>
      </c>
      <c r="AB76" s="54">
        <v>0</v>
      </c>
      <c r="AC76" s="54">
        <v>0</v>
      </c>
    </row>
    <row r="77" spans="1:30" s="73" customFormat="1" ht="85.15" customHeight="1" outlineLevel="1" x14ac:dyDescent="0.2">
      <c r="A77" s="74" t="s">
        <v>1160</v>
      </c>
      <c r="B77" s="81" t="s">
        <v>473</v>
      </c>
      <c r="C77" s="76">
        <v>0</v>
      </c>
      <c r="D77" s="77">
        <f t="shared" si="30"/>
        <v>5956</v>
      </c>
      <c r="E77" s="51">
        <v>0</v>
      </c>
      <c r="F77" s="52">
        <f>I77</f>
        <v>0</v>
      </c>
      <c r="G77" s="52">
        <v>0</v>
      </c>
      <c r="H77" s="52">
        <v>0</v>
      </c>
      <c r="I77" s="52">
        <v>0</v>
      </c>
      <c r="J77" s="76">
        <v>0</v>
      </c>
      <c r="K77" s="77">
        <f t="shared" si="31"/>
        <v>0</v>
      </c>
      <c r="L77" s="77">
        <v>0</v>
      </c>
      <c r="M77" s="78">
        <v>0</v>
      </c>
      <c r="N77" s="77">
        <v>0</v>
      </c>
      <c r="O77" s="76">
        <v>0</v>
      </c>
      <c r="P77" s="77">
        <f>S77</f>
        <v>0</v>
      </c>
      <c r="Q77" s="77">
        <v>0</v>
      </c>
      <c r="R77" s="78">
        <v>0</v>
      </c>
      <c r="S77" s="77">
        <f>4887-4887</f>
        <v>0</v>
      </c>
      <c r="T77" s="79">
        <v>0</v>
      </c>
      <c r="U77" s="78">
        <f>V77+W77+X77</f>
        <v>5956</v>
      </c>
      <c r="V77" s="78">
        <v>0</v>
      </c>
      <c r="W77" s="78">
        <v>0</v>
      </c>
      <c r="X77" s="78">
        <f>4887+1069</f>
        <v>5956</v>
      </c>
      <c r="Y77" s="79">
        <v>0</v>
      </c>
      <c r="Z77" s="78">
        <f t="shared" si="32"/>
        <v>0</v>
      </c>
      <c r="AA77" s="78">
        <v>0</v>
      </c>
      <c r="AB77" s="78">
        <v>0</v>
      </c>
      <c r="AC77" s="78">
        <v>0</v>
      </c>
      <c r="AD77" s="80"/>
    </row>
    <row r="78" spans="1:30" s="73" customFormat="1" ht="87" customHeight="1" outlineLevel="1" x14ac:dyDescent="0.2">
      <c r="A78" s="74" t="s">
        <v>1161</v>
      </c>
      <c r="B78" s="81" t="s">
        <v>474</v>
      </c>
      <c r="C78" s="76">
        <v>0</v>
      </c>
      <c r="D78" s="77">
        <f t="shared" si="30"/>
        <v>0</v>
      </c>
      <c r="E78" s="51">
        <v>0</v>
      </c>
      <c r="F78" s="52">
        <v>0</v>
      </c>
      <c r="G78" s="52">
        <v>0</v>
      </c>
      <c r="H78" s="52">
        <v>0</v>
      </c>
      <c r="I78" s="52">
        <v>0</v>
      </c>
      <c r="J78" s="76">
        <v>0</v>
      </c>
      <c r="K78" s="77">
        <f t="shared" si="31"/>
        <v>0</v>
      </c>
      <c r="L78" s="77">
        <v>0</v>
      </c>
      <c r="M78" s="78">
        <v>0</v>
      </c>
      <c r="N78" s="77">
        <v>0</v>
      </c>
      <c r="O78" s="76">
        <v>0</v>
      </c>
      <c r="P78" s="77">
        <v>0</v>
      </c>
      <c r="Q78" s="77">
        <v>0</v>
      </c>
      <c r="R78" s="78">
        <v>0</v>
      </c>
      <c r="S78" s="77">
        <v>0</v>
      </c>
      <c r="T78" s="79">
        <v>0</v>
      </c>
      <c r="U78" s="78">
        <v>0</v>
      </c>
      <c r="V78" s="78">
        <v>0</v>
      </c>
      <c r="W78" s="78">
        <v>0</v>
      </c>
      <c r="X78" s="78">
        <v>0</v>
      </c>
      <c r="Y78" s="79">
        <v>0</v>
      </c>
      <c r="Z78" s="78">
        <f t="shared" si="32"/>
        <v>0</v>
      </c>
      <c r="AA78" s="78">
        <v>0</v>
      </c>
      <c r="AB78" s="78">
        <v>0</v>
      </c>
      <c r="AC78" s="78">
        <v>0</v>
      </c>
      <c r="AD78" s="80"/>
    </row>
    <row r="79" spans="1:30" s="73" customFormat="1" ht="86.25" customHeight="1" outlineLevel="1" x14ac:dyDescent="0.2">
      <c r="A79" s="74" t="s">
        <v>1162</v>
      </c>
      <c r="B79" s="81" t="s">
        <v>475</v>
      </c>
      <c r="C79" s="76">
        <v>0</v>
      </c>
      <c r="D79" s="77">
        <f t="shared" si="30"/>
        <v>10221</v>
      </c>
      <c r="E79" s="51">
        <v>0</v>
      </c>
      <c r="F79" s="52">
        <f>I79</f>
        <v>0</v>
      </c>
      <c r="G79" s="52">
        <v>0</v>
      </c>
      <c r="H79" s="52">
        <v>0</v>
      </c>
      <c r="I79" s="52">
        <v>0</v>
      </c>
      <c r="J79" s="76">
        <v>0</v>
      </c>
      <c r="K79" s="77">
        <f t="shared" ref="K79:K86" si="33">L79+M79+N79</f>
        <v>0</v>
      </c>
      <c r="L79" s="77">
        <v>0</v>
      </c>
      <c r="M79" s="78">
        <v>0</v>
      </c>
      <c r="N79" s="77">
        <v>0</v>
      </c>
      <c r="O79" s="76">
        <v>0</v>
      </c>
      <c r="P79" s="77">
        <f>S79</f>
        <v>0</v>
      </c>
      <c r="Q79" s="77">
        <v>0</v>
      </c>
      <c r="R79" s="78">
        <v>0</v>
      </c>
      <c r="S79" s="77">
        <v>0</v>
      </c>
      <c r="T79" s="79">
        <v>0</v>
      </c>
      <c r="U79" s="78">
        <f t="shared" ref="U79:U97" si="34">V79+W79+X79</f>
        <v>10221</v>
      </c>
      <c r="V79" s="78">
        <v>0</v>
      </c>
      <c r="W79" s="78">
        <v>0</v>
      </c>
      <c r="X79" s="78">
        <f>0+10221</f>
        <v>10221</v>
      </c>
      <c r="Y79" s="79">
        <v>0</v>
      </c>
      <c r="Z79" s="78">
        <f t="shared" si="32"/>
        <v>0</v>
      </c>
      <c r="AA79" s="78">
        <v>0</v>
      </c>
      <c r="AB79" s="78">
        <v>0</v>
      </c>
      <c r="AC79" s="78">
        <v>0</v>
      </c>
      <c r="AD79" s="80"/>
    </row>
    <row r="80" spans="1:30" s="73" customFormat="1" ht="93" customHeight="1" outlineLevel="1" x14ac:dyDescent="0.2">
      <c r="A80" s="74" t="s">
        <v>1163</v>
      </c>
      <c r="B80" s="81" t="s">
        <v>476</v>
      </c>
      <c r="C80" s="76">
        <v>0</v>
      </c>
      <c r="D80" s="77">
        <f t="shared" si="30"/>
        <v>0</v>
      </c>
      <c r="E80" s="51">
        <v>0</v>
      </c>
      <c r="F80" s="52">
        <v>0</v>
      </c>
      <c r="G80" s="52">
        <v>0</v>
      </c>
      <c r="H80" s="52">
        <v>0</v>
      </c>
      <c r="I80" s="52">
        <v>0</v>
      </c>
      <c r="J80" s="76">
        <v>0</v>
      </c>
      <c r="K80" s="77">
        <f t="shared" si="33"/>
        <v>0</v>
      </c>
      <c r="L80" s="77">
        <v>0</v>
      </c>
      <c r="M80" s="78">
        <v>0</v>
      </c>
      <c r="N80" s="77">
        <v>0</v>
      </c>
      <c r="O80" s="76">
        <v>0</v>
      </c>
      <c r="P80" s="77">
        <f>S80</f>
        <v>0</v>
      </c>
      <c r="Q80" s="77">
        <v>0</v>
      </c>
      <c r="R80" s="78">
        <v>0</v>
      </c>
      <c r="S80" s="77">
        <v>0</v>
      </c>
      <c r="T80" s="79">
        <v>0</v>
      </c>
      <c r="U80" s="78">
        <f t="shared" si="34"/>
        <v>0</v>
      </c>
      <c r="V80" s="78">
        <v>0</v>
      </c>
      <c r="W80" s="78">
        <v>0</v>
      </c>
      <c r="X80" s="78">
        <v>0</v>
      </c>
      <c r="Y80" s="79">
        <v>0</v>
      </c>
      <c r="Z80" s="78">
        <f t="shared" si="32"/>
        <v>0</v>
      </c>
      <c r="AA80" s="78">
        <v>0</v>
      </c>
      <c r="AB80" s="78">
        <v>0</v>
      </c>
      <c r="AC80" s="78">
        <v>0</v>
      </c>
      <c r="AD80" s="80"/>
    </row>
    <row r="81" spans="1:30" s="73" customFormat="1" ht="145.5" customHeight="1" outlineLevel="1" x14ac:dyDescent="0.2">
      <c r="A81" s="74" t="s">
        <v>1164</v>
      </c>
      <c r="B81" s="81" t="s">
        <v>790</v>
      </c>
      <c r="C81" s="76">
        <v>0</v>
      </c>
      <c r="D81" s="77">
        <f t="shared" ref="D81:D99" si="35">F81+K81+P81+U81+Z81</f>
        <v>10340</v>
      </c>
      <c r="E81" s="51">
        <v>0</v>
      </c>
      <c r="F81" s="52">
        <f t="shared" ref="F81:F97" si="36">G81+H81+I81</f>
        <v>6871</v>
      </c>
      <c r="G81" s="52">
        <v>0</v>
      </c>
      <c r="H81" s="52">
        <v>0</v>
      </c>
      <c r="I81" s="52">
        <v>6871</v>
      </c>
      <c r="J81" s="76">
        <v>0</v>
      </c>
      <c r="K81" s="77">
        <f>L81+M81+N81</f>
        <v>3469</v>
      </c>
      <c r="L81" s="77">
        <v>0</v>
      </c>
      <c r="M81" s="78">
        <v>0</v>
      </c>
      <c r="N81" s="77">
        <f>3361+108</f>
        <v>3469</v>
      </c>
      <c r="O81" s="76">
        <v>0</v>
      </c>
      <c r="P81" s="77">
        <f t="shared" ref="P81:P99" si="37">Q81+R81+S81</f>
        <v>0</v>
      </c>
      <c r="Q81" s="77">
        <v>0</v>
      </c>
      <c r="R81" s="78">
        <v>0</v>
      </c>
      <c r="S81" s="77">
        <v>0</v>
      </c>
      <c r="T81" s="79">
        <v>0</v>
      </c>
      <c r="U81" s="78">
        <f t="shared" si="34"/>
        <v>0</v>
      </c>
      <c r="V81" s="78">
        <v>0</v>
      </c>
      <c r="W81" s="78">
        <v>0</v>
      </c>
      <c r="X81" s="78">
        <v>0</v>
      </c>
      <c r="Y81" s="79">
        <v>0</v>
      </c>
      <c r="Z81" s="78">
        <f t="shared" si="32"/>
        <v>0</v>
      </c>
      <c r="AA81" s="78">
        <v>0</v>
      </c>
      <c r="AB81" s="78">
        <v>0</v>
      </c>
      <c r="AC81" s="78">
        <v>0</v>
      </c>
      <c r="AD81" s="80"/>
    </row>
    <row r="82" spans="1:30" s="73" customFormat="1" ht="73.5" customHeight="1" outlineLevel="1" x14ac:dyDescent="0.2">
      <c r="A82" s="74" t="s">
        <v>1165</v>
      </c>
      <c r="B82" s="81" t="s">
        <v>582</v>
      </c>
      <c r="C82" s="76">
        <v>0</v>
      </c>
      <c r="D82" s="77">
        <f t="shared" si="35"/>
        <v>0</v>
      </c>
      <c r="E82" s="51">
        <v>0</v>
      </c>
      <c r="F82" s="52">
        <f t="shared" si="36"/>
        <v>0</v>
      </c>
      <c r="G82" s="52">
        <v>0</v>
      </c>
      <c r="H82" s="52">
        <v>0</v>
      </c>
      <c r="I82" s="52">
        <v>0</v>
      </c>
      <c r="J82" s="76">
        <v>0</v>
      </c>
      <c r="K82" s="77">
        <f t="shared" si="33"/>
        <v>0</v>
      </c>
      <c r="L82" s="77">
        <v>0</v>
      </c>
      <c r="M82" s="78">
        <v>0</v>
      </c>
      <c r="N82" s="77">
        <v>0</v>
      </c>
      <c r="O82" s="76">
        <v>0</v>
      </c>
      <c r="P82" s="77">
        <f t="shared" si="37"/>
        <v>0</v>
      </c>
      <c r="Q82" s="77">
        <v>0</v>
      </c>
      <c r="R82" s="78">
        <v>0</v>
      </c>
      <c r="S82" s="77">
        <v>0</v>
      </c>
      <c r="T82" s="79">
        <v>0</v>
      </c>
      <c r="U82" s="78">
        <f t="shared" si="34"/>
        <v>0</v>
      </c>
      <c r="V82" s="78">
        <v>0</v>
      </c>
      <c r="W82" s="78">
        <v>0</v>
      </c>
      <c r="X82" s="78">
        <v>0</v>
      </c>
      <c r="Y82" s="79">
        <v>0</v>
      </c>
      <c r="Z82" s="78">
        <f t="shared" si="32"/>
        <v>0</v>
      </c>
      <c r="AA82" s="78">
        <v>0</v>
      </c>
      <c r="AB82" s="78">
        <v>0</v>
      </c>
      <c r="AC82" s="78">
        <v>0</v>
      </c>
      <c r="AD82" s="80"/>
    </row>
    <row r="83" spans="1:30" s="73" customFormat="1" ht="165.75" customHeight="1" outlineLevel="1" x14ac:dyDescent="0.2">
      <c r="A83" s="74" t="s">
        <v>1166</v>
      </c>
      <c r="B83" s="81" t="s">
        <v>583</v>
      </c>
      <c r="C83" s="76">
        <v>0</v>
      </c>
      <c r="D83" s="77">
        <f t="shared" si="35"/>
        <v>3016</v>
      </c>
      <c r="E83" s="51">
        <v>0</v>
      </c>
      <c r="F83" s="52">
        <f t="shared" si="36"/>
        <v>1512</v>
      </c>
      <c r="G83" s="52">
        <v>0</v>
      </c>
      <c r="H83" s="52">
        <v>0</v>
      </c>
      <c r="I83" s="52">
        <v>1512</v>
      </c>
      <c r="J83" s="76">
        <v>0</v>
      </c>
      <c r="K83" s="77">
        <f t="shared" si="33"/>
        <v>1504</v>
      </c>
      <c r="L83" s="77">
        <v>0</v>
      </c>
      <c r="M83" s="78">
        <v>0</v>
      </c>
      <c r="N83" s="77">
        <v>1504</v>
      </c>
      <c r="O83" s="76">
        <v>0</v>
      </c>
      <c r="P83" s="77">
        <f t="shared" si="37"/>
        <v>0</v>
      </c>
      <c r="Q83" s="77">
        <v>0</v>
      </c>
      <c r="R83" s="78">
        <v>0</v>
      </c>
      <c r="S83" s="77">
        <v>0</v>
      </c>
      <c r="T83" s="79">
        <v>0</v>
      </c>
      <c r="U83" s="78">
        <f t="shared" si="34"/>
        <v>0</v>
      </c>
      <c r="V83" s="78">
        <v>0</v>
      </c>
      <c r="W83" s="78">
        <v>0</v>
      </c>
      <c r="X83" s="78">
        <v>0</v>
      </c>
      <c r="Y83" s="79">
        <v>0</v>
      </c>
      <c r="Z83" s="78">
        <f t="shared" si="32"/>
        <v>0</v>
      </c>
      <c r="AA83" s="78">
        <v>0</v>
      </c>
      <c r="AB83" s="78">
        <v>0</v>
      </c>
      <c r="AC83" s="78">
        <v>0</v>
      </c>
      <c r="AD83" s="80"/>
    </row>
    <row r="84" spans="1:30" s="73" customFormat="1" ht="75" customHeight="1" outlineLevel="1" x14ac:dyDescent="0.2">
      <c r="A84" s="74" t="s">
        <v>1167</v>
      </c>
      <c r="B84" s="81" t="s">
        <v>584</v>
      </c>
      <c r="C84" s="76">
        <v>0</v>
      </c>
      <c r="D84" s="77">
        <f t="shared" si="35"/>
        <v>1100</v>
      </c>
      <c r="E84" s="51">
        <v>0</v>
      </c>
      <c r="F84" s="52">
        <f t="shared" si="36"/>
        <v>1100</v>
      </c>
      <c r="G84" s="52">
        <v>0</v>
      </c>
      <c r="H84" s="52">
        <v>0</v>
      </c>
      <c r="I84" s="52">
        <v>1100</v>
      </c>
      <c r="J84" s="76">
        <v>0</v>
      </c>
      <c r="K84" s="77">
        <f t="shared" si="33"/>
        <v>0</v>
      </c>
      <c r="L84" s="77">
        <v>0</v>
      </c>
      <c r="M84" s="78">
        <v>0</v>
      </c>
      <c r="N84" s="77">
        <v>0</v>
      </c>
      <c r="O84" s="76">
        <v>0</v>
      </c>
      <c r="P84" s="77">
        <f t="shared" si="37"/>
        <v>0</v>
      </c>
      <c r="Q84" s="77">
        <v>0</v>
      </c>
      <c r="R84" s="78">
        <v>0</v>
      </c>
      <c r="S84" s="77">
        <v>0</v>
      </c>
      <c r="T84" s="79">
        <v>0</v>
      </c>
      <c r="U84" s="78">
        <f t="shared" si="34"/>
        <v>0</v>
      </c>
      <c r="V84" s="78">
        <v>0</v>
      </c>
      <c r="W84" s="78">
        <v>0</v>
      </c>
      <c r="X84" s="78">
        <v>0</v>
      </c>
      <c r="Y84" s="79">
        <v>0</v>
      </c>
      <c r="Z84" s="78">
        <f t="shared" si="32"/>
        <v>0</v>
      </c>
      <c r="AA84" s="78">
        <v>0</v>
      </c>
      <c r="AB84" s="78">
        <v>0</v>
      </c>
      <c r="AC84" s="78">
        <v>0</v>
      </c>
      <c r="AD84" s="80"/>
    </row>
    <row r="85" spans="1:30" s="73" customFormat="1" ht="110.45" customHeight="1" outlineLevel="1" x14ac:dyDescent="0.2">
      <c r="A85" s="74" t="s">
        <v>1168</v>
      </c>
      <c r="B85" s="81" t="s">
        <v>611</v>
      </c>
      <c r="C85" s="76">
        <v>0</v>
      </c>
      <c r="D85" s="77">
        <f t="shared" si="35"/>
        <v>13280</v>
      </c>
      <c r="E85" s="51">
        <v>0</v>
      </c>
      <c r="F85" s="52">
        <f t="shared" si="36"/>
        <v>6923</v>
      </c>
      <c r="G85" s="52">
        <v>0</v>
      </c>
      <c r="H85" s="52">
        <v>6590</v>
      </c>
      <c r="I85" s="52">
        <v>333</v>
      </c>
      <c r="J85" s="76">
        <v>0</v>
      </c>
      <c r="K85" s="77">
        <f t="shared" si="33"/>
        <v>6357</v>
      </c>
      <c r="L85" s="77">
        <v>0</v>
      </c>
      <c r="M85" s="78">
        <v>0</v>
      </c>
      <c r="N85" s="77">
        <v>6357</v>
      </c>
      <c r="O85" s="76">
        <v>0</v>
      </c>
      <c r="P85" s="77">
        <f t="shared" si="37"/>
        <v>0</v>
      </c>
      <c r="Q85" s="77">
        <v>0</v>
      </c>
      <c r="R85" s="78">
        <v>0</v>
      </c>
      <c r="S85" s="77">
        <v>0</v>
      </c>
      <c r="T85" s="79">
        <v>0</v>
      </c>
      <c r="U85" s="78">
        <f t="shared" si="34"/>
        <v>0</v>
      </c>
      <c r="V85" s="78">
        <v>0</v>
      </c>
      <c r="W85" s="78">
        <v>0</v>
      </c>
      <c r="X85" s="78">
        <v>0</v>
      </c>
      <c r="Y85" s="79">
        <v>0</v>
      </c>
      <c r="Z85" s="78">
        <f t="shared" si="32"/>
        <v>0</v>
      </c>
      <c r="AA85" s="78">
        <v>0</v>
      </c>
      <c r="AB85" s="78">
        <v>0</v>
      </c>
      <c r="AC85" s="78">
        <v>0</v>
      </c>
      <c r="AD85" s="80"/>
    </row>
    <row r="86" spans="1:30" s="73" customFormat="1" ht="236.45" customHeight="1" outlineLevel="1" x14ac:dyDescent="0.2">
      <c r="A86" s="74" t="s">
        <v>1169</v>
      </c>
      <c r="B86" s="81" t="s">
        <v>612</v>
      </c>
      <c r="C86" s="76">
        <v>0</v>
      </c>
      <c r="D86" s="77">
        <f t="shared" si="35"/>
        <v>778</v>
      </c>
      <c r="E86" s="51">
        <v>0</v>
      </c>
      <c r="F86" s="52">
        <f t="shared" si="36"/>
        <v>778</v>
      </c>
      <c r="G86" s="52">
        <v>0</v>
      </c>
      <c r="H86" s="52">
        <v>0</v>
      </c>
      <c r="I86" s="52">
        <v>778</v>
      </c>
      <c r="J86" s="76">
        <v>0</v>
      </c>
      <c r="K86" s="77">
        <f t="shared" si="33"/>
        <v>0</v>
      </c>
      <c r="L86" s="77">
        <v>0</v>
      </c>
      <c r="M86" s="78">
        <v>0</v>
      </c>
      <c r="N86" s="77">
        <v>0</v>
      </c>
      <c r="O86" s="76">
        <v>0</v>
      </c>
      <c r="P86" s="77">
        <f t="shared" si="37"/>
        <v>0</v>
      </c>
      <c r="Q86" s="77">
        <v>0</v>
      </c>
      <c r="R86" s="78">
        <v>0</v>
      </c>
      <c r="S86" s="77">
        <v>0</v>
      </c>
      <c r="T86" s="79">
        <v>0</v>
      </c>
      <c r="U86" s="78">
        <f t="shared" si="34"/>
        <v>0</v>
      </c>
      <c r="V86" s="78">
        <v>0</v>
      </c>
      <c r="W86" s="78">
        <v>0</v>
      </c>
      <c r="X86" s="78">
        <v>0</v>
      </c>
      <c r="Y86" s="79">
        <v>0</v>
      </c>
      <c r="Z86" s="78">
        <f t="shared" si="32"/>
        <v>0</v>
      </c>
      <c r="AA86" s="78">
        <v>0</v>
      </c>
      <c r="AB86" s="78">
        <v>0</v>
      </c>
      <c r="AC86" s="78">
        <v>0</v>
      </c>
      <c r="AD86" s="80"/>
    </row>
    <row r="87" spans="1:30" s="73" customFormat="1" ht="116.25" customHeight="1" outlineLevel="1" x14ac:dyDescent="0.2">
      <c r="A87" s="74" t="s">
        <v>1170</v>
      </c>
      <c r="B87" s="81" t="s">
        <v>673</v>
      </c>
      <c r="C87" s="76">
        <v>0</v>
      </c>
      <c r="D87" s="77">
        <f t="shared" si="35"/>
        <v>4370</v>
      </c>
      <c r="E87" s="51">
        <v>0</v>
      </c>
      <c r="F87" s="52">
        <f t="shared" si="36"/>
        <v>4370</v>
      </c>
      <c r="G87" s="52">
        <v>0</v>
      </c>
      <c r="H87" s="52">
        <v>4160</v>
      </c>
      <c r="I87" s="52">
        <v>210</v>
      </c>
      <c r="J87" s="76">
        <v>0</v>
      </c>
      <c r="K87" s="77">
        <f t="shared" ref="K87:K92" si="38">L87+M87+N87</f>
        <v>0</v>
      </c>
      <c r="L87" s="77">
        <v>0</v>
      </c>
      <c r="M87" s="78">
        <v>0</v>
      </c>
      <c r="N87" s="77">
        <v>0</v>
      </c>
      <c r="O87" s="76">
        <v>0</v>
      </c>
      <c r="P87" s="77">
        <f t="shared" si="37"/>
        <v>0</v>
      </c>
      <c r="Q87" s="77">
        <v>0</v>
      </c>
      <c r="R87" s="78">
        <v>0</v>
      </c>
      <c r="S87" s="77">
        <v>0</v>
      </c>
      <c r="T87" s="79">
        <v>0</v>
      </c>
      <c r="U87" s="78">
        <f t="shared" si="34"/>
        <v>0</v>
      </c>
      <c r="V87" s="78">
        <v>0</v>
      </c>
      <c r="W87" s="78">
        <v>0</v>
      </c>
      <c r="X87" s="78">
        <v>0</v>
      </c>
      <c r="Y87" s="79">
        <v>0</v>
      </c>
      <c r="Z87" s="78">
        <f t="shared" si="32"/>
        <v>0</v>
      </c>
      <c r="AA87" s="78">
        <v>0</v>
      </c>
      <c r="AB87" s="78">
        <v>0</v>
      </c>
      <c r="AC87" s="78">
        <v>0</v>
      </c>
      <c r="AD87" s="80"/>
    </row>
    <row r="88" spans="1:30" s="73" customFormat="1" ht="109.5" customHeight="1" outlineLevel="1" x14ac:dyDescent="0.2">
      <c r="A88" s="74" t="s">
        <v>1171</v>
      </c>
      <c r="B88" s="81" t="s">
        <v>674</v>
      </c>
      <c r="C88" s="76">
        <v>0</v>
      </c>
      <c r="D88" s="77">
        <f t="shared" si="35"/>
        <v>4081</v>
      </c>
      <c r="E88" s="51">
        <v>0</v>
      </c>
      <c r="F88" s="52">
        <f t="shared" si="36"/>
        <v>4081</v>
      </c>
      <c r="G88" s="52">
        <v>0</v>
      </c>
      <c r="H88" s="52">
        <v>3885</v>
      </c>
      <c r="I88" s="52">
        <v>196</v>
      </c>
      <c r="J88" s="76">
        <v>0</v>
      </c>
      <c r="K88" s="77">
        <f t="shared" si="38"/>
        <v>0</v>
      </c>
      <c r="L88" s="77">
        <v>0</v>
      </c>
      <c r="M88" s="78">
        <v>0</v>
      </c>
      <c r="N88" s="77">
        <v>0</v>
      </c>
      <c r="O88" s="76">
        <v>0</v>
      </c>
      <c r="P88" s="77">
        <f t="shared" si="37"/>
        <v>0</v>
      </c>
      <c r="Q88" s="77">
        <v>0</v>
      </c>
      <c r="R88" s="78">
        <v>0</v>
      </c>
      <c r="S88" s="77">
        <v>0</v>
      </c>
      <c r="T88" s="79">
        <v>0</v>
      </c>
      <c r="U88" s="78">
        <f t="shared" si="34"/>
        <v>0</v>
      </c>
      <c r="V88" s="78">
        <v>0</v>
      </c>
      <c r="W88" s="78">
        <v>0</v>
      </c>
      <c r="X88" s="78">
        <v>0</v>
      </c>
      <c r="Y88" s="79">
        <v>0</v>
      </c>
      <c r="Z88" s="78">
        <f t="shared" si="32"/>
        <v>0</v>
      </c>
      <c r="AA88" s="78">
        <v>0</v>
      </c>
      <c r="AB88" s="78">
        <v>0</v>
      </c>
      <c r="AC88" s="78">
        <v>0</v>
      </c>
      <c r="AD88" s="80"/>
    </row>
    <row r="89" spans="1:30" s="73" customFormat="1" ht="95.25" customHeight="1" outlineLevel="1" x14ac:dyDescent="0.2">
      <c r="A89" s="74" t="s">
        <v>1172</v>
      </c>
      <c r="B89" s="81" t="s">
        <v>675</v>
      </c>
      <c r="C89" s="76">
        <v>0</v>
      </c>
      <c r="D89" s="77">
        <f t="shared" si="35"/>
        <v>1786</v>
      </c>
      <c r="E89" s="51">
        <v>0</v>
      </c>
      <c r="F89" s="52">
        <f t="shared" si="36"/>
        <v>1786</v>
      </c>
      <c r="G89" s="52">
        <v>0</v>
      </c>
      <c r="H89" s="52">
        <v>1700</v>
      </c>
      <c r="I89" s="52">
        <v>86</v>
      </c>
      <c r="J89" s="76">
        <v>0</v>
      </c>
      <c r="K89" s="77">
        <f t="shared" si="38"/>
        <v>0</v>
      </c>
      <c r="L89" s="77">
        <v>0</v>
      </c>
      <c r="M89" s="78">
        <v>0</v>
      </c>
      <c r="N89" s="77">
        <v>0</v>
      </c>
      <c r="O89" s="76">
        <v>0</v>
      </c>
      <c r="P89" s="77">
        <f t="shared" si="37"/>
        <v>0</v>
      </c>
      <c r="Q89" s="77">
        <v>0</v>
      </c>
      <c r="R89" s="78">
        <v>0</v>
      </c>
      <c r="S89" s="77">
        <v>0</v>
      </c>
      <c r="T89" s="79">
        <v>0</v>
      </c>
      <c r="U89" s="78">
        <f t="shared" si="34"/>
        <v>0</v>
      </c>
      <c r="V89" s="78">
        <v>0</v>
      </c>
      <c r="W89" s="78">
        <v>0</v>
      </c>
      <c r="X89" s="78">
        <v>0</v>
      </c>
      <c r="Y89" s="79">
        <v>0</v>
      </c>
      <c r="Z89" s="78">
        <f t="shared" si="32"/>
        <v>0</v>
      </c>
      <c r="AA89" s="78">
        <v>0</v>
      </c>
      <c r="AB89" s="78">
        <v>0</v>
      </c>
      <c r="AC89" s="78">
        <v>0</v>
      </c>
      <c r="AD89" s="80"/>
    </row>
    <row r="90" spans="1:30" s="73" customFormat="1" ht="105.6" customHeight="1" outlineLevel="1" x14ac:dyDescent="0.2">
      <c r="A90" s="74" t="s">
        <v>1173</v>
      </c>
      <c r="B90" s="81" t="s">
        <v>826</v>
      </c>
      <c r="C90" s="76">
        <v>0</v>
      </c>
      <c r="D90" s="77">
        <f t="shared" si="35"/>
        <v>3041</v>
      </c>
      <c r="E90" s="51">
        <v>0</v>
      </c>
      <c r="F90" s="52">
        <f t="shared" si="36"/>
        <v>3041</v>
      </c>
      <c r="G90" s="52">
        <v>0</v>
      </c>
      <c r="H90" s="52">
        <v>0</v>
      </c>
      <c r="I90" s="52">
        <v>3041</v>
      </c>
      <c r="J90" s="76">
        <v>0</v>
      </c>
      <c r="K90" s="77">
        <f t="shared" si="38"/>
        <v>0</v>
      </c>
      <c r="L90" s="77">
        <v>0</v>
      </c>
      <c r="M90" s="78">
        <v>0</v>
      </c>
      <c r="N90" s="77">
        <v>0</v>
      </c>
      <c r="O90" s="76">
        <v>0</v>
      </c>
      <c r="P90" s="77">
        <f t="shared" si="37"/>
        <v>0</v>
      </c>
      <c r="Q90" s="77">
        <v>0</v>
      </c>
      <c r="R90" s="78">
        <v>0</v>
      </c>
      <c r="S90" s="77">
        <v>0</v>
      </c>
      <c r="T90" s="79">
        <v>0</v>
      </c>
      <c r="U90" s="78">
        <f t="shared" si="34"/>
        <v>0</v>
      </c>
      <c r="V90" s="78">
        <v>0</v>
      </c>
      <c r="W90" s="78">
        <v>0</v>
      </c>
      <c r="X90" s="78">
        <v>0</v>
      </c>
      <c r="Y90" s="79">
        <v>0</v>
      </c>
      <c r="Z90" s="78">
        <f t="shared" si="32"/>
        <v>0</v>
      </c>
      <c r="AA90" s="78">
        <v>0</v>
      </c>
      <c r="AB90" s="78">
        <v>0</v>
      </c>
      <c r="AC90" s="78">
        <v>0</v>
      </c>
      <c r="AD90" s="80"/>
    </row>
    <row r="91" spans="1:30" s="73" customFormat="1" ht="93.75" customHeight="1" outlineLevel="1" x14ac:dyDescent="0.2">
      <c r="A91" s="74" t="s">
        <v>1174</v>
      </c>
      <c r="B91" s="81" t="s">
        <v>827</v>
      </c>
      <c r="C91" s="76">
        <v>0</v>
      </c>
      <c r="D91" s="77">
        <f t="shared" si="35"/>
        <v>3893</v>
      </c>
      <c r="E91" s="51">
        <v>0</v>
      </c>
      <c r="F91" s="52">
        <f t="shared" si="36"/>
        <v>3893</v>
      </c>
      <c r="G91" s="52">
        <v>0</v>
      </c>
      <c r="H91" s="52">
        <v>0</v>
      </c>
      <c r="I91" s="52">
        <f>3893</f>
        <v>3893</v>
      </c>
      <c r="J91" s="76">
        <v>0</v>
      </c>
      <c r="K91" s="77">
        <f t="shared" si="38"/>
        <v>0</v>
      </c>
      <c r="L91" s="77">
        <v>0</v>
      </c>
      <c r="M91" s="78">
        <v>0</v>
      </c>
      <c r="N91" s="77">
        <v>0</v>
      </c>
      <c r="O91" s="76">
        <v>0</v>
      </c>
      <c r="P91" s="77">
        <f t="shared" si="37"/>
        <v>0</v>
      </c>
      <c r="Q91" s="77">
        <v>0</v>
      </c>
      <c r="R91" s="78">
        <v>0</v>
      </c>
      <c r="S91" s="77">
        <v>0</v>
      </c>
      <c r="T91" s="79">
        <v>0</v>
      </c>
      <c r="U91" s="78">
        <f t="shared" si="34"/>
        <v>0</v>
      </c>
      <c r="V91" s="78">
        <v>0</v>
      </c>
      <c r="W91" s="78">
        <v>0</v>
      </c>
      <c r="X91" s="78">
        <v>0</v>
      </c>
      <c r="Y91" s="79">
        <v>0</v>
      </c>
      <c r="Z91" s="78">
        <f t="shared" si="32"/>
        <v>0</v>
      </c>
      <c r="AA91" s="78">
        <v>0</v>
      </c>
      <c r="AB91" s="78">
        <v>0</v>
      </c>
      <c r="AC91" s="78">
        <v>0</v>
      </c>
      <c r="AD91" s="80"/>
    </row>
    <row r="92" spans="1:30" s="73" customFormat="1" ht="72" customHeight="1" outlineLevel="1" x14ac:dyDescent="0.2">
      <c r="A92" s="74" t="s">
        <v>1175</v>
      </c>
      <c r="B92" s="81" t="s">
        <v>854</v>
      </c>
      <c r="C92" s="76">
        <v>0</v>
      </c>
      <c r="D92" s="77">
        <f t="shared" si="35"/>
        <v>263</v>
      </c>
      <c r="E92" s="51">
        <v>0</v>
      </c>
      <c r="F92" s="52">
        <f t="shared" si="36"/>
        <v>0</v>
      </c>
      <c r="G92" s="52">
        <v>0</v>
      </c>
      <c r="H92" s="52">
        <v>0</v>
      </c>
      <c r="I92" s="52">
        <v>0</v>
      </c>
      <c r="J92" s="76">
        <v>0</v>
      </c>
      <c r="K92" s="77">
        <f t="shared" si="38"/>
        <v>263</v>
      </c>
      <c r="L92" s="77">
        <v>0</v>
      </c>
      <c r="M92" s="78">
        <v>0</v>
      </c>
      <c r="N92" s="77">
        <v>263</v>
      </c>
      <c r="O92" s="76">
        <v>0</v>
      </c>
      <c r="P92" s="77">
        <f t="shared" si="37"/>
        <v>0</v>
      </c>
      <c r="Q92" s="77">
        <v>0</v>
      </c>
      <c r="R92" s="78">
        <v>0</v>
      </c>
      <c r="S92" s="77">
        <v>0</v>
      </c>
      <c r="T92" s="79">
        <v>0</v>
      </c>
      <c r="U92" s="78">
        <f t="shared" si="34"/>
        <v>0</v>
      </c>
      <c r="V92" s="78">
        <v>0</v>
      </c>
      <c r="W92" s="78">
        <v>0</v>
      </c>
      <c r="X92" s="78">
        <v>0</v>
      </c>
      <c r="Y92" s="79">
        <v>0</v>
      </c>
      <c r="Z92" s="78">
        <f t="shared" si="32"/>
        <v>0</v>
      </c>
      <c r="AA92" s="78">
        <v>0</v>
      </c>
      <c r="AB92" s="78">
        <v>0</v>
      </c>
      <c r="AC92" s="78">
        <v>0</v>
      </c>
      <c r="AD92" s="80"/>
    </row>
    <row r="93" spans="1:30" s="73" customFormat="1" ht="69.75" customHeight="1" outlineLevel="1" x14ac:dyDescent="0.2">
      <c r="A93" s="74" t="s">
        <v>1176</v>
      </c>
      <c r="B93" s="81" t="s">
        <v>858</v>
      </c>
      <c r="C93" s="76">
        <v>0</v>
      </c>
      <c r="D93" s="77">
        <f t="shared" si="35"/>
        <v>0</v>
      </c>
      <c r="E93" s="51">
        <v>0</v>
      </c>
      <c r="F93" s="52">
        <f t="shared" si="36"/>
        <v>0</v>
      </c>
      <c r="G93" s="52">
        <v>0</v>
      </c>
      <c r="H93" s="52">
        <v>0</v>
      </c>
      <c r="I93" s="52">
        <v>0</v>
      </c>
      <c r="J93" s="76">
        <v>0</v>
      </c>
      <c r="K93" s="77">
        <f>SUM(L93:N93)</f>
        <v>0</v>
      </c>
      <c r="L93" s="77">
        <v>0</v>
      </c>
      <c r="M93" s="78">
        <v>0</v>
      </c>
      <c r="N93" s="77">
        <f>2016-1236-780</f>
        <v>0</v>
      </c>
      <c r="O93" s="76">
        <v>0</v>
      </c>
      <c r="P93" s="346">
        <f t="shared" si="37"/>
        <v>0</v>
      </c>
      <c r="Q93" s="346">
        <v>0</v>
      </c>
      <c r="R93" s="398">
        <v>0</v>
      </c>
      <c r="S93" s="346">
        <f>1366-1366</f>
        <v>0</v>
      </c>
      <c r="T93" s="79">
        <v>0</v>
      </c>
      <c r="U93" s="78">
        <f t="shared" si="34"/>
        <v>0</v>
      </c>
      <c r="V93" s="78">
        <v>0</v>
      </c>
      <c r="W93" s="78">
        <v>0</v>
      </c>
      <c r="X93" s="78">
        <v>0</v>
      </c>
      <c r="Y93" s="79">
        <v>0</v>
      </c>
      <c r="Z93" s="78">
        <f t="shared" si="32"/>
        <v>0</v>
      </c>
      <c r="AA93" s="78">
        <v>0</v>
      </c>
      <c r="AB93" s="78">
        <v>0</v>
      </c>
      <c r="AC93" s="78">
        <v>0</v>
      </c>
      <c r="AD93" s="80"/>
    </row>
    <row r="94" spans="1:30" s="73" customFormat="1" ht="64.5" customHeight="1" outlineLevel="1" x14ac:dyDescent="0.2">
      <c r="A94" s="74" t="s">
        <v>1177</v>
      </c>
      <c r="B94" s="81" t="s">
        <v>859</v>
      </c>
      <c r="C94" s="76">
        <v>0</v>
      </c>
      <c r="D94" s="77">
        <f t="shared" si="35"/>
        <v>0</v>
      </c>
      <c r="E94" s="51">
        <v>0</v>
      </c>
      <c r="F94" s="52">
        <f t="shared" si="36"/>
        <v>0</v>
      </c>
      <c r="G94" s="52">
        <v>0</v>
      </c>
      <c r="H94" s="52">
        <v>0</v>
      </c>
      <c r="I94" s="52">
        <v>0</v>
      </c>
      <c r="J94" s="76">
        <v>0</v>
      </c>
      <c r="K94" s="77">
        <f>SUM(L94:N94)</f>
        <v>0</v>
      </c>
      <c r="L94" s="77">
        <v>0</v>
      </c>
      <c r="M94" s="78">
        <v>0</v>
      </c>
      <c r="N94" s="77">
        <f>476-476</f>
        <v>0</v>
      </c>
      <c r="O94" s="76">
        <v>0</v>
      </c>
      <c r="P94" s="77">
        <f t="shared" si="37"/>
        <v>0</v>
      </c>
      <c r="Q94" s="77">
        <v>0</v>
      </c>
      <c r="R94" s="78">
        <v>0</v>
      </c>
      <c r="S94" s="77">
        <v>0</v>
      </c>
      <c r="T94" s="79">
        <v>0</v>
      </c>
      <c r="U94" s="78">
        <f t="shared" si="34"/>
        <v>0</v>
      </c>
      <c r="V94" s="78">
        <v>0</v>
      </c>
      <c r="W94" s="78">
        <v>0</v>
      </c>
      <c r="X94" s="78">
        <v>0</v>
      </c>
      <c r="Y94" s="79">
        <v>0</v>
      </c>
      <c r="Z94" s="78">
        <f t="shared" si="32"/>
        <v>0</v>
      </c>
      <c r="AA94" s="78">
        <v>0</v>
      </c>
      <c r="AB94" s="78">
        <v>0</v>
      </c>
      <c r="AC94" s="78">
        <v>0</v>
      </c>
      <c r="AD94" s="80"/>
    </row>
    <row r="95" spans="1:30" s="73" customFormat="1" ht="86.25" customHeight="1" outlineLevel="1" x14ac:dyDescent="0.2">
      <c r="A95" s="74" t="s">
        <v>1178</v>
      </c>
      <c r="B95" s="81" t="s">
        <v>1666</v>
      </c>
      <c r="C95" s="76">
        <v>0</v>
      </c>
      <c r="D95" s="77">
        <f t="shared" si="35"/>
        <v>0</v>
      </c>
      <c r="E95" s="51">
        <v>0</v>
      </c>
      <c r="F95" s="52">
        <f t="shared" si="36"/>
        <v>0</v>
      </c>
      <c r="G95" s="52">
        <v>0</v>
      </c>
      <c r="H95" s="52">
        <v>0</v>
      </c>
      <c r="I95" s="52">
        <v>0</v>
      </c>
      <c r="J95" s="76">
        <v>0</v>
      </c>
      <c r="K95" s="77">
        <f>SUM(L95:N95)</f>
        <v>0</v>
      </c>
      <c r="L95" s="77">
        <v>0</v>
      </c>
      <c r="M95" s="78">
        <v>0</v>
      </c>
      <c r="N95" s="77">
        <f>476-476</f>
        <v>0</v>
      </c>
      <c r="O95" s="76">
        <v>0</v>
      </c>
      <c r="P95" s="346">
        <f t="shared" si="37"/>
        <v>0</v>
      </c>
      <c r="Q95" s="346">
        <v>0</v>
      </c>
      <c r="R95" s="398">
        <v>0</v>
      </c>
      <c r="S95" s="346">
        <f>1752-836-916</f>
        <v>0</v>
      </c>
      <c r="T95" s="79">
        <v>0</v>
      </c>
      <c r="U95" s="78">
        <f t="shared" si="34"/>
        <v>0</v>
      </c>
      <c r="V95" s="78">
        <v>0</v>
      </c>
      <c r="W95" s="78">
        <v>0</v>
      </c>
      <c r="X95" s="78">
        <v>0</v>
      </c>
      <c r="Y95" s="79">
        <v>0</v>
      </c>
      <c r="Z95" s="78">
        <f t="shared" si="32"/>
        <v>0</v>
      </c>
      <c r="AA95" s="78">
        <v>0</v>
      </c>
      <c r="AB95" s="78">
        <v>0</v>
      </c>
      <c r="AC95" s="78">
        <v>0</v>
      </c>
      <c r="AD95" s="80"/>
    </row>
    <row r="96" spans="1:30" s="73" customFormat="1" ht="108" customHeight="1" outlineLevel="1" x14ac:dyDescent="0.2">
      <c r="A96" s="74" t="s">
        <v>1179</v>
      </c>
      <c r="B96" s="81" t="s">
        <v>1667</v>
      </c>
      <c r="C96" s="76">
        <v>0</v>
      </c>
      <c r="D96" s="77">
        <f t="shared" si="35"/>
        <v>295</v>
      </c>
      <c r="E96" s="51">
        <v>0</v>
      </c>
      <c r="F96" s="52">
        <f t="shared" si="36"/>
        <v>0</v>
      </c>
      <c r="G96" s="52">
        <f>H96+I96+J96</f>
        <v>0</v>
      </c>
      <c r="H96" s="52">
        <f>I96+J96+K96</f>
        <v>0</v>
      </c>
      <c r="I96" s="52">
        <f>J96+K96+L96</f>
        <v>0</v>
      </c>
      <c r="J96" s="76">
        <v>0</v>
      </c>
      <c r="K96" s="77">
        <f>SUM(L96:N96)</f>
        <v>0</v>
      </c>
      <c r="L96" s="77">
        <f>SUM(M96:O96)</f>
        <v>0</v>
      </c>
      <c r="M96" s="77">
        <f>SUM(N96:P96)</f>
        <v>0</v>
      </c>
      <c r="N96" s="77">
        <f>SUM(O96:Q96)</f>
        <v>0</v>
      </c>
      <c r="O96" s="76">
        <v>0</v>
      </c>
      <c r="P96" s="77">
        <f t="shared" si="37"/>
        <v>0</v>
      </c>
      <c r="Q96" s="77">
        <v>0</v>
      </c>
      <c r="R96" s="78">
        <v>0</v>
      </c>
      <c r="S96" s="77">
        <v>0</v>
      </c>
      <c r="T96" s="79">
        <v>0</v>
      </c>
      <c r="U96" s="398">
        <f t="shared" si="34"/>
        <v>295</v>
      </c>
      <c r="V96" s="78">
        <v>0</v>
      </c>
      <c r="W96" s="78">
        <v>0</v>
      </c>
      <c r="X96" s="78">
        <v>295</v>
      </c>
      <c r="Y96" s="79">
        <v>0</v>
      </c>
      <c r="Z96" s="78">
        <f t="shared" si="32"/>
        <v>0</v>
      </c>
      <c r="AA96" s="78">
        <v>0</v>
      </c>
      <c r="AB96" s="78">
        <v>0</v>
      </c>
      <c r="AC96" s="78">
        <v>0</v>
      </c>
      <c r="AD96" s="80"/>
    </row>
    <row r="97" spans="1:31" s="73" customFormat="1" ht="94.5" customHeight="1" outlineLevel="1" x14ac:dyDescent="0.2">
      <c r="A97" s="74" t="s">
        <v>1619</v>
      </c>
      <c r="B97" s="81" t="s">
        <v>1738</v>
      </c>
      <c r="C97" s="76">
        <v>0</v>
      </c>
      <c r="D97" s="77">
        <f t="shared" si="35"/>
        <v>3391</v>
      </c>
      <c r="E97" s="51">
        <v>0</v>
      </c>
      <c r="F97" s="52">
        <f t="shared" si="36"/>
        <v>0</v>
      </c>
      <c r="G97" s="52">
        <v>0</v>
      </c>
      <c r="H97" s="52">
        <v>0</v>
      </c>
      <c r="I97" s="52">
        <v>0</v>
      </c>
      <c r="J97" s="76">
        <v>0</v>
      </c>
      <c r="K97" s="77">
        <v>0</v>
      </c>
      <c r="L97" s="77">
        <v>0</v>
      </c>
      <c r="M97" s="77">
        <v>0</v>
      </c>
      <c r="N97" s="77">
        <v>0</v>
      </c>
      <c r="O97" s="76">
        <v>0</v>
      </c>
      <c r="P97" s="77">
        <f t="shared" si="37"/>
        <v>0</v>
      </c>
      <c r="Q97" s="77">
        <v>0</v>
      </c>
      <c r="R97" s="77">
        <v>0</v>
      </c>
      <c r="S97" s="77">
        <v>0</v>
      </c>
      <c r="T97" s="79">
        <v>0</v>
      </c>
      <c r="U97" s="78">
        <f t="shared" si="34"/>
        <v>3391</v>
      </c>
      <c r="V97" s="78">
        <v>0</v>
      </c>
      <c r="W97" s="78">
        <v>0</v>
      </c>
      <c r="X97" s="78">
        <v>3391</v>
      </c>
      <c r="Y97" s="79">
        <v>0</v>
      </c>
      <c r="Z97" s="78">
        <f t="shared" si="32"/>
        <v>0</v>
      </c>
      <c r="AA97" s="78">
        <v>0</v>
      </c>
      <c r="AB97" s="78">
        <v>0</v>
      </c>
      <c r="AC97" s="78">
        <v>0</v>
      </c>
      <c r="AD97" s="80"/>
    </row>
    <row r="98" spans="1:31" s="73" customFormat="1" ht="96" customHeight="1" outlineLevel="1" x14ac:dyDescent="0.2">
      <c r="A98" s="74" t="s">
        <v>1737</v>
      </c>
      <c r="B98" s="75" t="s">
        <v>1692</v>
      </c>
      <c r="C98" s="76">
        <f>E98+J98+O98+T98+Y98</f>
        <v>0</v>
      </c>
      <c r="D98" s="52">
        <f t="shared" si="35"/>
        <v>1049</v>
      </c>
      <c r="E98" s="51">
        <v>0</v>
      </c>
      <c r="F98" s="52">
        <v>0</v>
      </c>
      <c r="G98" s="52">
        <v>0</v>
      </c>
      <c r="H98" s="52">
        <v>0</v>
      </c>
      <c r="I98" s="52">
        <v>0</v>
      </c>
      <c r="J98" s="76">
        <v>0</v>
      </c>
      <c r="K98" s="77">
        <f>L98+M98+N98</f>
        <v>0</v>
      </c>
      <c r="L98" s="77">
        <v>0</v>
      </c>
      <c r="M98" s="77">
        <v>0</v>
      </c>
      <c r="N98" s="77">
        <v>0</v>
      </c>
      <c r="O98" s="76">
        <v>0</v>
      </c>
      <c r="P98" s="346">
        <f t="shared" si="37"/>
        <v>1049</v>
      </c>
      <c r="Q98" s="346">
        <v>0</v>
      </c>
      <c r="R98" s="346">
        <v>0</v>
      </c>
      <c r="S98" s="346">
        <f>592+235+222</f>
        <v>1049</v>
      </c>
      <c r="T98" s="79">
        <v>0</v>
      </c>
      <c r="U98" s="78">
        <v>0</v>
      </c>
      <c r="V98" s="78">
        <v>0</v>
      </c>
      <c r="W98" s="78">
        <v>0</v>
      </c>
      <c r="X98" s="78">
        <v>0</v>
      </c>
      <c r="Y98" s="76">
        <v>0</v>
      </c>
      <c r="Z98" s="77">
        <f>AA98+AC98</f>
        <v>0</v>
      </c>
      <c r="AA98" s="77">
        <v>0</v>
      </c>
      <c r="AB98" s="77">
        <v>0</v>
      </c>
      <c r="AC98" s="77">
        <v>0</v>
      </c>
      <c r="AD98" s="80"/>
    </row>
    <row r="99" spans="1:31" s="73" customFormat="1" ht="31.5" customHeight="1" outlineLevel="1" x14ac:dyDescent="0.2">
      <c r="A99" s="74" t="s">
        <v>1747</v>
      </c>
      <c r="B99" s="81" t="s">
        <v>1669</v>
      </c>
      <c r="C99" s="76">
        <v>0</v>
      </c>
      <c r="D99" s="77">
        <f t="shared" si="35"/>
        <v>2572</v>
      </c>
      <c r="E99" s="51">
        <v>0</v>
      </c>
      <c r="F99" s="52">
        <f>G99+H99+I99</f>
        <v>988</v>
      </c>
      <c r="G99" s="52">
        <v>0</v>
      </c>
      <c r="H99" s="52">
        <v>0</v>
      </c>
      <c r="I99" s="52">
        <v>988</v>
      </c>
      <c r="J99" s="76">
        <v>0</v>
      </c>
      <c r="K99" s="77">
        <f>L99+M99+N99</f>
        <v>1584</v>
      </c>
      <c r="L99" s="77">
        <v>0</v>
      </c>
      <c r="M99" s="78">
        <v>0</v>
      </c>
      <c r="N99" s="77">
        <v>1584</v>
      </c>
      <c r="O99" s="76">
        <v>0</v>
      </c>
      <c r="P99" s="77">
        <f t="shared" si="37"/>
        <v>0</v>
      </c>
      <c r="Q99" s="77">
        <v>0</v>
      </c>
      <c r="R99" s="78">
        <v>0</v>
      </c>
      <c r="S99" s="77">
        <v>0</v>
      </c>
      <c r="T99" s="79">
        <v>0</v>
      </c>
      <c r="U99" s="78">
        <f>V99+W99+X99</f>
        <v>0</v>
      </c>
      <c r="V99" s="78">
        <v>0</v>
      </c>
      <c r="W99" s="78">
        <v>0</v>
      </c>
      <c r="X99" s="78">
        <v>0</v>
      </c>
      <c r="Y99" s="79">
        <v>0</v>
      </c>
      <c r="Z99" s="78">
        <f>AA99+AB99+AC99</f>
        <v>0</v>
      </c>
      <c r="AA99" s="78">
        <v>0</v>
      </c>
      <c r="AB99" s="78">
        <v>0</v>
      </c>
      <c r="AC99" s="78">
        <v>0</v>
      </c>
      <c r="AD99" s="80"/>
    </row>
    <row r="100" spans="1:31" s="73" customFormat="1" ht="91.15" customHeight="1" x14ac:dyDescent="0.2">
      <c r="A100" s="82"/>
      <c r="B100" s="83" t="s">
        <v>1180</v>
      </c>
      <c r="C100" s="84">
        <f>SUM(C73:C94)</f>
        <v>0</v>
      </c>
      <c r="D100" s="85">
        <f>SUM(D73:D98)</f>
        <v>92230</v>
      </c>
      <c r="E100" s="84">
        <f t="shared" ref="E100:O100" si="39">SUM(E73:E97)</f>
        <v>0</v>
      </c>
      <c r="F100" s="85">
        <f t="shared" si="39"/>
        <v>44356</v>
      </c>
      <c r="G100" s="85">
        <f t="shared" si="39"/>
        <v>0</v>
      </c>
      <c r="H100" s="85">
        <f t="shared" si="39"/>
        <v>16335</v>
      </c>
      <c r="I100" s="85">
        <f t="shared" si="39"/>
        <v>28021</v>
      </c>
      <c r="J100" s="84">
        <f t="shared" si="39"/>
        <v>0</v>
      </c>
      <c r="K100" s="85">
        <f t="shared" si="39"/>
        <v>16962</v>
      </c>
      <c r="L100" s="85">
        <f t="shared" si="39"/>
        <v>0</v>
      </c>
      <c r="M100" s="85">
        <f t="shared" si="39"/>
        <v>0</v>
      </c>
      <c r="N100" s="85">
        <f t="shared" si="39"/>
        <v>16962</v>
      </c>
      <c r="O100" s="84">
        <f t="shared" si="39"/>
        <v>0</v>
      </c>
      <c r="P100" s="85">
        <f>SUM(P73:P98)</f>
        <v>11049</v>
      </c>
      <c r="Q100" s="85">
        <f>SUM(Q73:Q97)</f>
        <v>0</v>
      </c>
      <c r="R100" s="85">
        <f>SUM(R73:R97)</f>
        <v>0</v>
      </c>
      <c r="S100" s="85">
        <f>SUM(S73:S98)</f>
        <v>11049</v>
      </c>
      <c r="T100" s="84">
        <f t="shared" ref="T100:AC100" si="40">SUM(T73:T97)</f>
        <v>0</v>
      </c>
      <c r="U100" s="85">
        <f t="shared" si="40"/>
        <v>19863</v>
      </c>
      <c r="V100" s="85">
        <f t="shared" si="40"/>
        <v>0</v>
      </c>
      <c r="W100" s="85">
        <f t="shared" si="40"/>
        <v>0</v>
      </c>
      <c r="X100" s="85">
        <f t="shared" si="40"/>
        <v>19863</v>
      </c>
      <c r="Y100" s="84">
        <f t="shared" si="40"/>
        <v>0</v>
      </c>
      <c r="Z100" s="85">
        <f t="shared" si="40"/>
        <v>0</v>
      </c>
      <c r="AA100" s="85">
        <f t="shared" si="40"/>
        <v>0</v>
      </c>
      <c r="AB100" s="85">
        <f t="shared" si="40"/>
        <v>0</v>
      </c>
      <c r="AC100" s="85">
        <f t="shared" si="40"/>
        <v>0</v>
      </c>
      <c r="AD100" s="80"/>
      <c r="AE100" s="80"/>
    </row>
    <row r="101" spans="1:31" s="73" customFormat="1" ht="30" customHeight="1" x14ac:dyDescent="0.2">
      <c r="A101" s="82"/>
      <c r="B101" s="86" t="s">
        <v>951</v>
      </c>
      <c r="C101" s="87">
        <v>0</v>
      </c>
      <c r="D101" s="88">
        <f>F101+K101+P101+U101+Z101</f>
        <v>2572</v>
      </c>
      <c r="E101" s="87">
        <v>0</v>
      </c>
      <c r="F101" s="88">
        <f>G101+H101+I101</f>
        <v>988</v>
      </c>
      <c r="G101" s="88">
        <v>0</v>
      </c>
      <c r="H101" s="88">
        <v>0</v>
      </c>
      <c r="I101" s="88">
        <v>988</v>
      </c>
      <c r="J101" s="87">
        <v>0</v>
      </c>
      <c r="K101" s="88">
        <f>L101+M101+N101</f>
        <v>1584</v>
      </c>
      <c r="L101" s="88">
        <v>0</v>
      </c>
      <c r="M101" s="88">
        <v>0</v>
      </c>
      <c r="N101" s="88">
        <f>N99</f>
        <v>1584</v>
      </c>
      <c r="O101" s="87">
        <v>0</v>
      </c>
      <c r="P101" s="88">
        <f>Q101+R101+S101</f>
        <v>0</v>
      </c>
      <c r="Q101" s="88">
        <v>0</v>
      </c>
      <c r="R101" s="88">
        <v>0</v>
      </c>
      <c r="S101" s="88">
        <v>0</v>
      </c>
      <c r="T101" s="87">
        <v>0</v>
      </c>
      <c r="U101" s="88">
        <f>V101+W101+X101</f>
        <v>0</v>
      </c>
      <c r="V101" s="88">
        <v>0</v>
      </c>
      <c r="W101" s="88">
        <v>0</v>
      </c>
      <c r="X101" s="88">
        <v>0</v>
      </c>
      <c r="Y101" s="87">
        <v>0</v>
      </c>
      <c r="Z101" s="88">
        <f>AA101+AB101+AC101</f>
        <v>0</v>
      </c>
      <c r="AA101" s="88">
        <v>0</v>
      </c>
      <c r="AB101" s="88">
        <v>0</v>
      </c>
      <c r="AC101" s="88">
        <v>0</v>
      </c>
      <c r="AD101" s="80"/>
      <c r="AE101" s="80"/>
    </row>
    <row r="102" spans="1:31" s="73" customFormat="1" ht="25.5" customHeight="1" x14ac:dyDescent="0.2">
      <c r="A102" s="72" t="s">
        <v>1058</v>
      </c>
      <c r="B102" s="482" t="s">
        <v>1181</v>
      </c>
      <c r="C102" s="483"/>
      <c r="D102" s="483"/>
      <c r="E102" s="483"/>
      <c r="F102" s="483"/>
      <c r="G102" s="483"/>
      <c r="H102" s="483"/>
      <c r="I102" s="483"/>
      <c r="J102" s="483"/>
      <c r="K102" s="483"/>
      <c r="L102" s="483"/>
      <c r="M102" s="483"/>
      <c r="N102" s="483"/>
      <c r="O102" s="483"/>
      <c r="P102" s="483"/>
      <c r="Q102" s="483"/>
      <c r="R102" s="483"/>
      <c r="S102" s="483"/>
      <c r="T102" s="483"/>
      <c r="U102" s="483"/>
      <c r="V102" s="483"/>
      <c r="W102" s="483"/>
      <c r="X102" s="483"/>
      <c r="Y102" s="483"/>
      <c r="Z102" s="483"/>
      <c r="AA102" s="483"/>
      <c r="AB102" s="483"/>
      <c r="AC102" s="484"/>
      <c r="AD102" s="80"/>
    </row>
    <row r="103" spans="1:31" s="73" customFormat="1" ht="95.25" customHeight="1" outlineLevel="1" x14ac:dyDescent="0.2">
      <c r="A103" s="49" t="s">
        <v>1182</v>
      </c>
      <c r="B103" s="75" t="s">
        <v>7</v>
      </c>
      <c r="C103" s="76">
        <f>E103+J103+O103+Y103+T103</f>
        <v>0</v>
      </c>
      <c r="D103" s="52">
        <f>F103+K103+P103+Z103+U103</f>
        <v>0</v>
      </c>
      <c r="E103" s="51">
        <v>0</v>
      </c>
      <c r="F103" s="52">
        <v>0</v>
      </c>
      <c r="G103" s="52">
        <v>0</v>
      </c>
      <c r="H103" s="52">
        <v>0</v>
      </c>
      <c r="I103" s="52">
        <v>0</v>
      </c>
      <c r="J103" s="76">
        <v>0</v>
      </c>
      <c r="K103" s="89">
        <f>SUM(L103:N103)</f>
        <v>0</v>
      </c>
      <c r="L103" s="77">
        <v>0</v>
      </c>
      <c r="M103" s="77">
        <v>0</v>
      </c>
      <c r="N103" s="77">
        <v>0</v>
      </c>
      <c r="O103" s="76">
        <v>0</v>
      </c>
      <c r="P103" s="77">
        <f>SUM(Q103:S103)</f>
        <v>0</v>
      </c>
      <c r="Q103" s="77">
        <v>0</v>
      </c>
      <c r="R103" s="77">
        <v>0</v>
      </c>
      <c r="S103" s="77">
        <v>0</v>
      </c>
      <c r="T103" s="76">
        <v>0</v>
      </c>
      <c r="U103" s="77">
        <f>SUM(V103:X103)</f>
        <v>0</v>
      </c>
      <c r="V103" s="77">
        <v>0</v>
      </c>
      <c r="W103" s="77">
        <v>0</v>
      </c>
      <c r="X103" s="77">
        <v>0</v>
      </c>
      <c r="Y103" s="79">
        <v>0</v>
      </c>
      <c r="Z103" s="78">
        <f t="shared" ref="Z103:Z108" si="41">AA103+AB103+AC103</f>
        <v>0</v>
      </c>
      <c r="AA103" s="78">
        <v>0</v>
      </c>
      <c r="AB103" s="78">
        <v>0</v>
      </c>
      <c r="AC103" s="78">
        <v>0</v>
      </c>
    </row>
    <row r="104" spans="1:31" s="73" customFormat="1" ht="65.45" customHeight="1" outlineLevel="1" x14ac:dyDescent="0.2">
      <c r="A104" s="49" t="s">
        <v>1183</v>
      </c>
      <c r="B104" s="75" t="s">
        <v>75</v>
      </c>
      <c r="C104" s="76">
        <f>E104+J104+O104+Y104+T104</f>
        <v>0</v>
      </c>
      <c r="D104" s="52">
        <f t="shared" ref="D104:D113" si="42">F104+K104+P104+Z104+U104</f>
        <v>0</v>
      </c>
      <c r="E104" s="51">
        <v>0</v>
      </c>
      <c r="F104" s="52">
        <v>0</v>
      </c>
      <c r="G104" s="52">
        <v>0</v>
      </c>
      <c r="H104" s="52">
        <v>0</v>
      </c>
      <c r="I104" s="52">
        <v>0</v>
      </c>
      <c r="J104" s="76">
        <v>0</v>
      </c>
      <c r="K104" s="89">
        <f t="shared" ref="K104:K109" si="43">SUM(L104:N104)</f>
        <v>0</v>
      </c>
      <c r="L104" s="77">
        <v>0</v>
      </c>
      <c r="M104" s="77">
        <v>0</v>
      </c>
      <c r="N104" s="77">
        <v>0</v>
      </c>
      <c r="O104" s="76">
        <v>0</v>
      </c>
      <c r="P104" s="77">
        <v>0</v>
      </c>
      <c r="Q104" s="77">
        <v>0</v>
      </c>
      <c r="R104" s="77">
        <v>0</v>
      </c>
      <c r="S104" s="77">
        <v>0</v>
      </c>
      <c r="T104" s="76">
        <v>0</v>
      </c>
      <c r="U104" s="77">
        <f t="shared" ref="U104:U115" si="44">SUM(V104:X104)</f>
        <v>0</v>
      </c>
      <c r="V104" s="77">
        <v>0</v>
      </c>
      <c r="W104" s="77">
        <v>0</v>
      </c>
      <c r="X104" s="77">
        <v>0</v>
      </c>
      <c r="Y104" s="79">
        <v>0</v>
      </c>
      <c r="Z104" s="78">
        <f t="shared" si="41"/>
        <v>0</v>
      </c>
      <c r="AA104" s="78">
        <v>0</v>
      </c>
      <c r="AB104" s="78">
        <v>0</v>
      </c>
      <c r="AC104" s="78">
        <v>0</v>
      </c>
    </row>
    <row r="105" spans="1:31" s="73" customFormat="1" ht="90.6" customHeight="1" outlineLevel="1" x14ac:dyDescent="0.2">
      <c r="A105" s="49" t="s">
        <v>1184</v>
      </c>
      <c r="B105" s="75" t="s">
        <v>76</v>
      </c>
      <c r="C105" s="76">
        <f>E105+J105+O105+Y105+T105</f>
        <v>0</v>
      </c>
      <c r="D105" s="52">
        <f t="shared" si="42"/>
        <v>0</v>
      </c>
      <c r="E105" s="51">
        <v>0</v>
      </c>
      <c r="F105" s="52">
        <v>0</v>
      </c>
      <c r="G105" s="52">
        <v>0</v>
      </c>
      <c r="H105" s="52">
        <v>0</v>
      </c>
      <c r="I105" s="52">
        <v>0</v>
      </c>
      <c r="J105" s="76">
        <v>0</v>
      </c>
      <c r="K105" s="89">
        <v>0</v>
      </c>
      <c r="L105" s="77">
        <v>0</v>
      </c>
      <c r="M105" s="77">
        <v>0</v>
      </c>
      <c r="N105" s="77">
        <v>0</v>
      </c>
      <c r="O105" s="76">
        <v>0</v>
      </c>
      <c r="P105" s="77">
        <v>0</v>
      </c>
      <c r="Q105" s="77">
        <v>0</v>
      </c>
      <c r="R105" s="77">
        <v>0</v>
      </c>
      <c r="S105" s="77">
        <v>0</v>
      </c>
      <c r="T105" s="76">
        <v>0</v>
      </c>
      <c r="U105" s="77">
        <f t="shared" si="44"/>
        <v>0</v>
      </c>
      <c r="V105" s="77">
        <v>0</v>
      </c>
      <c r="W105" s="77">
        <v>0</v>
      </c>
      <c r="X105" s="77">
        <v>0</v>
      </c>
      <c r="Y105" s="79">
        <v>0</v>
      </c>
      <c r="Z105" s="78">
        <f t="shared" si="41"/>
        <v>0</v>
      </c>
      <c r="AA105" s="78">
        <v>0</v>
      </c>
      <c r="AB105" s="78">
        <v>0</v>
      </c>
      <c r="AC105" s="78">
        <v>0</v>
      </c>
    </row>
    <row r="106" spans="1:31" s="73" customFormat="1" ht="60" customHeight="1" outlineLevel="1" x14ac:dyDescent="0.2">
      <c r="A106" s="49" t="s">
        <v>1185</v>
      </c>
      <c r="B106" s="75" t="s">
        <v>477</v>
      </c>
      <c r="C106" s="76">
        <f t="shared" ref="C106:C121" si="45">E106+J106+O106+T106+Y106</f>
        <v>0</v>
      </c>
      <c r="D106" s="52">
        <f t="shared" si="42"/>
        <v>0</v>
      </c>
      <c r="E106" s="51">
        <v>0</v>
      </c>
      <c r="F106" s="52">
        <v>0</v>
      </c>
      <c r="G106" s="52">
        <v>0</v>
      </c>
      <c r="H106" s="52">
        <v>0</v>
      </c>
      <c r="I106" s="52">
        <v>0</v>
      </c>
      <c r="J106" s="76">
        <v>0</v>
      </c>
      <c r="K106" s="89">
        <v>0</v>
      </c>
      <c r="L106" s="77">
        <v>0</v>
      </c>
      <c r="M106" s="77">
        <v>0</v>
      </c>
      <c r="N106" s="77">
        <v>0</v>
      </c>
      <c r="O106" s="76">
        <v>0</v>
      </c>
      <c r="P106" s="77">
        <v>0</v>
      </c>
      <c r="Q106" s="77">
        <v>0</v>
      </c>
      <c r="R106" s="77">
        <v>0</v>
      </c>
      <c r="S106" s="77">
        <v>0</v>
      </c>
      <c r="T106" s="79">
        <v>0</v>
      </c>
      <c r="U106" s="77">
        <f t="shared" si="44"/>
        <v>0</v>
      </c>
      <c r="V106" s="78">
        <v>0</v>
      </c>
      <c r="W106" s="78">
        <v>0</v>
      </c>
      <c r="X106" s="78">
        <v>0</v>
      </c>
      <c r="Y106" s="79">
        <v>0</v>
      </c>
      <c r="Z106" s="78">
        <f t="shared" si="41"/>
        <v>0</v>
      </c>
      <c r="AA106" s="78">
        <v>0</v>
      </c>
      <c r="AB106" s="77">
        <v>0</v>
      </c>
      <c r="AC106" s="78">
        <v>0</v>
      </c>
    </row>
    <row r="107" spans="1:31" s="73" customFormat="1" ht="98.45" customHeight="1" outlineLevel="1" x14ac:dyDescent="0.2">
      <c r="A107" s="49" t="s">
        <v>1186</v>
      </c>
      <c r="B107" s="75" t="s">
        <v>478</v>
      </c>
      <c r="C107" s="76">
        <f t="shared" si="45"/>
        <v>0</v>
      </c>
      <c r="D107" s="52">
        <f t="shared" si="42"/>
        <v>0</v>
      </c>
      <c r="E107" s="51">
        <v>0</v>
      </c>
      <c r="F107" s="52">
        <v>0</v>
      </c>
      <c r="G107" s="52">
        <v>0</v>
      </c>
      <c r="H107" s="52">
        <v>0</v>
      </c>
      <c r="I107" s="52">
        <v>0</v>
      </c>
      <c r="J107" s="76">
        <v>0</v>
      </c>
      <c r="K107" s="89">
        <f t="shared" si="43"/>
        <v>0</v>
      </c>
      <c r="L107" s="77">
        <v>0</v>
      </c>
      <c r="M107" s="77">
        <v>0</v>
      </c>
      <c r="N107" s="77">
        <v>0</v>
      </c>
      <c r="O107" s="76">
        <v>0</v>
      </c>
      <c r="P107" s="77">
        <v>0</v>
      </c>
      <c r="Q107" s="77">
        <v>0</v>
      </c>
      <c r="R107" s="77">
        <v>0</v>
      </c>
      <c r="S107" s="77">
        <v>0</v>
      </c>
      <c r="T107" s="79">
        <v>0</v>
      </c>
      <c r="U107" s="77">
        <f t="shared" si="44"/>
        <v>0</v>
      </c>
      <c r="V107" s="78">
        <v>0</v>
      </c>
      <c r="W107" s="78">
        <v>0</v>
      </c>
      <c r="X107" s="78">
        <v>0</v>
      </c>
      <c r="Y107" s="79">
        <v>0</v>
      </c>
      <c r="Z107" s="78">
        <f t="shared" si="41"/>
        <v>0</v>
      </c>
      <c r="AA107" s="78">
        <v>0</v>
      </c>
      <c r="AB107" s="77">
        <v>0</v>
      </c>
      <c r="AC107" s="78">
        <v>0</v>
      </c>
    </row>
    <row r="108" spans="1:31" s="73" customFormat="1" ht="60" customHeight="1" outlineLevel="1" x14ac:dyDescent="0.2">
      <c r="A108" s="49" t="s">
        <v>1187</v>
      </c>
      <c r="B108" s="75" t="s">
        <v>479</v>
      </c>
      <c r="C108" s="76">
        <f t="shared" si="45"/>
        <v>0</v>
      </c>
      <c r="D108" s="52">
        <f t="shared" si="42"/>
        <v>0</v>
      </c>
      <c r="E108" s="51">
        <v>0</v>
      </c>
      <c r="F108" s="52">
        <v>0</v>
      </c>
      <c r="G108" s="52">
        <v>0</v>
      </c>
      <c r="H108" s="52">
        <v>0</v>
      </c>
      <c r="I108" s="52">
        <v>0</v>
      </c>
      <c r="J108" s="76">
        <v>0</v>
      </c>
      <c r="K108" s="89">
        <f t="shared" si="43"/>
        <v>0</v>
      </c>
      <c r="L108" s="77">
        <v>0</v>
      </c>
      <c r="M108" s="77">
        <v>0</v>
      </c>
      <c r="N108" s="77">
        <v>0</v>
      </c>
      <c r="O108" s="76">
        <v>0</v>
      </c>
      <c r="P108" s="77">
        <v>0</v>
      </c>
      <c r="Q108" s="77">
        <v>0</v>
      </c>
      <c r="R108" s="77">
        <v>0</v>
      </c>
      <c r="S108" s="77">
        <v>0</v>
      </c>
      <c r="T108" s="79">
        <v>0</v>
      </c>
      <c r="U108" s="77">
        <f t="shared" si="44"/>
        <v>0</v>
      </c>
      <c r="V108" s="78">
        <v>0</v>
      </c>
      <c r="W108" s="78">
        <v>0</v>
      </c>
      <c r="X108" s="78">
        <v>0</v>
      </c>
      <c r="Y108" s="79">
        <v>0</v>
      </c>
      <c r="Z108" s="78">
        <f t="shared" si="41"/>
        <v>0</v>
      </c>
      <c r="AA108" s="78">
        <v>0</v>
      </c>
      <c r="AB108" s="77">
        <v>0</v>
      </c>
      <c r="AC108" s="78">
        <v>0</v>
      </c>
    </row>
    <row r="109" spans="1:31" s="73" customFormat="1" ht="82.9" customHeight="1" outlineLevel="1" x14ac:dyDescent="0.2">
      <c r="A109" s="49" t="s">
        <v>1188</v>
      </c>
      <c r="B109" s="75" t="s">
        <v>400</v>
      </c>
      <c r="C109" s="76">
        <f t="shared" si="45"/>
        <v>0</v>
      </c>
      <c r="D109" s="52">
        <f t="shared" si="42"/>
        <v>0</v>
      </c>
      <c r="E109" s="51">
        <v>0</v>
      </c>
      <c r="F109" s="52">
        <v>0</v>
      </c>
      <c r="G109" s="52">
        <v>0</v>
      </c>
      <c r="H109" s="52">
        <v>0</v>
      </c>
      <c r="I109" s="52">
        <v>0</v>
      </c>
      <c r="J109" s="76">
        <v>0</v>
      </c>
      <c r="K109" s="89">
        <f t="shared" si="43"/>
        <v>0</v>
      </c>
      <c r="L109" s="77">
        <v>0</v>
      </c>
      <c r="M109" s="77">
        <v>0</v>
      </c>
      <c r="N109" s="77">
        <v>0</v>
      </c>
      <c r="O109" s="76">
        <v>0</v>
      </c>
      <c r="P109" s="77">
        <v>0</v>
      </c>
      <c r="Q109" s="77">
        <v>0</v>
      </c>
      <c r="R109" s="77">
        <v>0</v>
      </c>
      <c r="S109" s="77">
        <v>0</v>
      </c>
      <c r="T109" s="79">
        <v>0</v>
      </c>
      <c r="U109" s="77">
        <f t="shared" si="44"/>
        <v>0</v>
      </c>
      <c r="V109" s="78">
        <v>0</v>
      </c>
      <c r="W109" s="78">
        <v>0</v>
      </c>
      <c r="X109" s="78">
        <v>0</v>
      </c>
      <c r="Y109" s="79">
        <v>0</v>
      </c>
      <c r="Z109" s="78">
        <v>0</v>
      </c>
      <c r="AA109" s="78">
        <v>0</v>
      </c>
      <c r="AB109" s="77">
        <v>0</v>
      </c>
      <c r="AC109" s="78">
        <v>0</v>
      </c>
    </row>
    <row r="110" spans="1:31" s="73" customFormat="1" ht="122.25" customHeight="1" outlineLevel="1" x14ac:dyDescent="0.2">
      <c r="A110" s="49" t="s">
        <v>1189</v>
      </c>
      <c r="B110" s="75" t="s">
        <v>593</v>
      </c>
      <c r="C110" s="76">
        <f t="shared" si="45"/>
        <v>11.08</v>
      </c>
      <c r="D110" s="52">
        <f>F110+K110+P110+Z110+U110</f>
        <v>54661</v>
      </c>
      <c r="E110" s="51">
        <v>5.54</v>
      </c>
      <c r="F110" s="52">
        <f>H110+I110</f>
        <v>41382</v>
      </c>
      <c r="G110" s="52">
        <v>0</v>
      </c>
      <c r="H110" s="52">
        <f>39396</f>
        <v>39396</v>
      </c>
      <c r="I110" s="52">
        <f>1986</f>
        <v>1986</v>
      </c>
      <c r="J110" s="76">
        <v>5.54</v>
      </c>
      <c r="K110" s="89">
        <f>SUM(L110:N110)</f>
        <v>13279</v>
      </c>
      <c r="L110" s="77">
        <v>0</v>
      </c>
      <c r="M110" s="77">
        <v>12509</v>
      </c>
      <c r="N110" s="77">
        <v>770</v>
      </c>
      <c r="O110" s="76">
        <v>0</v>
      </c>
      <c r="P110" s="77">
        <v>0</v>
      </c>
      <c r="Q110" s="77">
        <v>0</v>
      </c>
      <c r="R110" s="77">
        <v>0</v>
      </c>
      <c r="S110" s="77">
        <v>0</v>
      </c>
      <c r="T110" s="79">
        <v>0</v>
      </c>
      <c r="U110" s="77">
        <f>SUM(V110:X110)</f>
        <v>0</v>
      </c>
      <c r="V110" s="78">
        <v>0</v>
      </c>
      <c r="W110" s="78">
        <v>0</v>
      </c>
      <c r="X110" s="78">
        <v>0</v>
      </c>
      <c r="Y110" s="79">
        <v>0</v>
      </c>
      <c r="Z110" s="78">
        <v>0</v>
      </c>
      <c r="AA110" s="78">
        <v>0</v>
      </c>
      <c r="AB110" s="77">
        <v>0</v>
      </c>
      <c r="AC110" s="78">
        <v>0</v>
      </c>
    </row>
    <row r="111" spans="1:31" s="73" customFormat="1" ht="144.6" customHeight="1" outlineLevel="1" x14ac:dyDescent="0.2">
      <c r="A111" s="49" t="s">
        <v>1190</v>
      </c>
      <c r="B111" s="75" t="s">
        <v>712</v>
      </c>
      <c r="C111" s="76">
        <f t="shared" si="45"/>
        <v>0</v>
      </c>
      <c r="D111" s="52">
        <f t="shared" si="42"/>
        <v>90</v>
      </c>
      <c r="E111" s="51">
        <v>0</v>
      </c>
      <c r="F111" s="52">
        <f>G111+H111+I111</f>
        <v>90</v>
      </c>
      <c r="G111" s="52">
        <v>0</v>
      </c>
      <c r="H111" s="52">
        <v>0</v>
      </c>
      <c r="I111" s="52">
        <v>90</v>
      </c>
      <c r="J111" s="76">
        <v>0</v>
      </c>
      <c r="K111" s="77">
        <f>SUM(L111:N111)</f>
        <v>0</v>
      </c>
      <c r="L111" s="77">
        <v>0</v>
      </c>
      <c r="M111" s="77">
        <v>0</v>
      </c>
      <c r="N111" s="77">
        <v>0</v>
      </c>
      <c r="O111" s="76">
        <v>0</v>
      </c>
      <c r="P111" s="77">
        <v>0</v>
      </c>
      <c r="Q111" s="77">
        <v>0</v>
      </c>
      <c r="R111" s="77">
        <v>0</v>
      </c>
      <c r="S111" s="77">
        <v>0</v>
      </c>
      <c r="T111" s="79">
        <v>0</v>
      </c>
      <c r="U111" s="77">
        <f t="shared" si="44"/>
        <v>0</v>
      </c>
      <c r="V111" s="78">
        <v>0</v>
      </c>
      <c r="W111" s="78">
        <v>0</v>
      </c>
      <c r="X111" s="78">
        <v>0</v>
      </c>
      <c r="Y111" s="79">
        <v>0</v>
      </c>
      <c r="Z111" s="78">
        <v>0</v>
      </c>
      <c r="AA111" s="78">
        <v>0</v>
      </c>
      <c r="AB111" s="78">
        <v>0</v>
      </c>
      <c r="AC111" s="78">
        <v>0</v>
      </c>
    </row>
    <row r="112" spans="1:31" s="73" customFormat="1" ht="174.75" customHeight="1" outlineLevel="1" x14ac:dyDescent="0.2">
      <c r="A112" s="49" t="s">
        <v>1191</v>
      </c>
      <c r="B112" s="75" t="s">
        <v>799</v>
      </c>
      <c r="C112" s="76">
        <f t="shared" si="45"/>
        <v>0</v>
      </c>
      <c r="D112" s="52">
        <f t="shared" si="42"/>
        <v>469</v>
      </c>
      <c r="E112" s="51">
        <v>0</v>
      </c>
      <c r="F112" s="52">
        <f>G112+H112+I112</f>
        <v>426</v>
      </c>
      <c r="G112" s="52">
        <v>0</v>
      </c>
      <c r="H112" s="52">
        <v>0</v>
      </c>
      <c r="I112" s="52">
        <v>426</v>
      </c>
      <c r="J112" s="76">
        <v>0</v>
      </c>
      <c r="K112" s="77">
        <f>SUM(L112:N112)</f>
        <v>43</v>
      </c>
      <c r="L112" s="77">
        <v>0</v>
      </c>
      <c r="M112" s="77">
        <v>0</v>
      </c>
      <c r="N112" s="77">
        <v>43</v>
      </c>
      <c r="O112" s="76">
        <v>0</v>
      </c>
      <c r="P112" s="77">
        <v>0</v>
      </c>
      <c r="Q112" s="77">
        <v>0</v>
      </c>
      <c r="R112" s="77">
        <v>0</v>
      </c>
      <c r="S112" s="77">
        <v>0</v>
      </c>
      <c r="T112" s="79">
        <v>0</v>
      </c>
      <c r="U112" s="77">
        <f t="shared" si="44"/>
        <v>0</v>
      </c>
      <c r="V112" s="78">
        <v>0</v>
      </c>
      <c r="W112" s="78">
        <v>0</v>
      </c>
      <c r="X112" s="78">
        <v>0</v>
      </c>
      <c r="Y112" s="79">
        <v>0</v>
      </c>
      <c r="Z112" s="78">
        <v>0</v>
      </c>
      <c r="AA112" s="78">
        <v>0</v>
      </c>
      <c r="AB112" s="78">
        <v>0</v>
      </c>
      <c r="AC112" s="78">
        <v>0</v>
      </c>
    </row>
    <row r="113" spans="1:29" s="73" customFormat="1" ht="101.25" customHeight="1" outlineLevel="1" x14ac:dyDescent="0.2">
      <c r="A113" s="49" t="s">
        <v>1192</v>
      </c>
      <c r="B113" s="75" t="s">
        <v>57</v>
      </c>
      <c r="C113" s="76">
        <f t="shared" si="45"/>
        <v>0</v>
      </c>
      <c r="D113" s="52">
        <f t="shared" si="42"/>
        <v>0</v>
      </c>
      <c r="E113" s="51">
        <v>0</v>
      </c>
      <c r="F113" s="52">
        <v>0</v>
      </c>
      <c r="G113" s="52">
        <v>0</v>
      </c>
      <c r="H113" s="52">
        <v>0</v>
      </c>
      <c r="I113" s="52">
        <v>0</v>
      </c>
      <c r="J113" s="76">
        <v>0</v>
      </c>
      <c r="K113" s="89">
        <f>SUM(L113:N113)</f>
        <v>0</v>
      </c>
      <c r="L113" s="77">
        <v>0</v>
      </c>
      <c r="M113" s="77">
        <v>0</v>
      </c>
      <c r="N113" s="77">
        <v>0</v>
      </c>
      <c r="O113" s="76">
        <v>0</v>
      </c>
      <c r="P113" s="77">
        <f>SUM(Q113:S113)</f>
        <v>0</v>
      </c>
      <c r="Q113" s="77">
        <v>0</v>
      </c>
      <c r="R113" s="77">
        <v>0</v>
      </c>
      <c r="S113" s="77">
        <v>0</v>
      </c>
      <c r="T113" s="79">
        <v>0</v>
      </c>
      <c r="U113" s="77">
        <f t="shared" si="44"/>
        <v>0</v>
      </c>
      <c r="V113" s="78">
        <v>0</v>
      </c>
      <c r="W113" s="78">
        <v>0</v>
      </c>
      <c r="X113" s="78">
        <v>0</v>
      </c>
      <c r="Y113" s="79">
        <v>0</v>
      </c>
      <c r="Z113" s="78">
        <f>AA113+AB113+AC113</f>
        <v>0</v>
      </c>
      <c r="AA113" s="78">
        <v>0</v>
      </c>
      <c r="AB113" s="78">
        <v>0</v>
      </c>
      <c r="AC113" s="78">
        <v>0</v>
      </c>
    </row>
    <row r="114" spans="1:29" s="73" customFormat="1" ht="117.6" customHeight="1" outlineLevel="1" x14ac:dyDescent="0.2">
      <c r="A114" s="49" t="s">
        <v>1193</v>
      </c>
      <c r="B114" s="75" t="s">
        <v>54</v>
      </c>
      <c r="C114" s="76">
        <f t="shared" si="45"/>
        <v>0</v>
      </c>
      <c r="D114" s="52">
        <f>F114+K114+P114+U114+Z114</f>
        <v>300</v>
      </c>
      <c r="E114" s="51">
        <v>0</v>
      </c>
      <c r="F114" s="52">
        <f>G114+H114+I114</f>
        <v>0</v>
      </c>
      <c r="G114" s="52">
        <v>0</v>
      </c>
      <c r="H114" s="52">
        <v>0</v>
      </c>
      <c r="I114" s="52">
        <v>0</v>
      </c>
      <c r="J114" s="76">
        <v>0</v>
      </c>
      <c r="K114" s="89">
        <f>L114+M114+N114</f>
        <v>300</v>
      </c>
      <c r="L114" s="89">
        <v>0</v>
      </c>
      <c r="M114" s="89">
        <v>0</v>
      </c>
      <c r="N114" s="89">
        <f>4993-4129-51-281-232</f>
        <v>300</v>
      </c>
      <c r="O114" s="89">
        <f t="shared" ref="O114:T115" si="46">SUM(P114:R114)</f>
        <v>0</v>
      </c>
      <c r="P114" s="89">
        <f t="shared" si="46"/>
        <v>0</v>
      </c>
      <c r="Q114" s="89">
        <f t="shared" si="46"/>
        <v>0</v>
      </c>
      <c r="R114" s="89">
        <f t="shared" si="46"/>
        <v>0</v>
      </c>
      <c r="S114" s="89">
        <f t="shared" si="46"/>
        <v>0</v>
      </c>
      <c r="T114" s="89">
        <f t="shared" si="46"/>
        <v>0</v>
      </c>
      <c r="U114" s="89">
        <f t="shared" si="44"/>
        <v>0</v>
      </c>
      <c r="V114" s="89">
        <f t="shared" ref="V114:AC114" si="47">SUM(W114:Y114)</f>
        <v>0</v>
      </c>
      <c r="W114" s="89">
        <f t="shared" si="47"/>
        <v>0</v>
      </c>
      <c r="X114" s="89">
        <f t="shared" si="47"/>
        <v>0</v>
      </c>
      <c r="Y114" s="89">
        <f t="shared" si="47"/>
        <v>0</v>
      </c>
      <c r="Z114" s="89">
        <f t="shared" si="47"/>
        <v>0</v>
      </c>
      <c r="AA114" s="89">
        <f t="shared" si="47"/>
        <v>0</v>
      </c>
      <c r="AB114" s="89">
        <f t="shared" si="47"/>
        <v>0</v>
      </c>
      <c r="AC114" s="89">
        <f t="shared" si="47"/>
        <v>0</v>
      </c>
    </row>
    <row r="115" spans="1:29" s="73" customFormat="1" ht="117.6" customHeight="1" outlineLevel="1" x14ac:dyDescent="0.2">
      <c r="A115" s="49" t="s">
        <v>1194</v>
      </c>
      <c r="B115" s="75" t="s">
        <v>46</v>
      </c>
      <c r="C115" s="76">
        <f t="shared" si="45"/>
        <v>0</v>
      </c>
      <c r="D115" s="52">
        <f>F115+Z115+P115+K115+U115</f>
        <v>0</v>
      </c>
      <c r="E115" s="76">
        <f>G115+L115+Q115+V115+AA115</f>
        <v>0</v>
      </c>
      <c r="F115" s="52">
        <f>G115+H115+I115</f>
        <v>0</v>
      </c>
      <c r="G115" s="52">
        <v>0</v>
      </c>
      <c r="H115" s="52">
        <v>0</v>
      </c>
      <c r="I115" s="52">
        <v>0</v>
      </c>
      <c r="J115" s="76">
        <v>0</v>
      </c>
      <c r="K115" s="89">
        <f>SUM(L115:N115)</f>
        <v>0</v>
      </c>
      <c r="L115" s="77">
        <v>0</v>
      </c>
      <c r="M115" s="77">
        <v>0</v>
      </c>
      <c r="N115" s="77">
        <v>0</v>
      </c>
      <c r="O115" s="76">
        <v>0</v>
      </c>
      <c r="P115" s="89">
        <f t="shared" si="46"/>
        <v>0</v>
      </c>
      <c r="Q115" s="77">
        <v>0</v>
      </c>
      <c r="R115" s="77">
        <v>0</v>
      </c>
      <c r="S115" s="77">
        <v>0</v>
      </c>
      <c r="T115" s="79">
        <v>0</v>
      </c>
      <c r="U115" s="89">
        <f t="shared" si="44"/>
        <v>0</v>
      </c>
      <c r="V115" s="78">
        <v>0</v>
      </c>
      <c r="W115" s="78">
        <v>0</v>
      </c>
      <c r="X115" s="78">
        <v>0</v>
      </c>
      <c r="Y115" s="76">
        <v>0</v>
      </c>
      <c r="Z115" s="78">
        <f>AA115+AB115+AC115</f>
        <v>0</v>
      </c>
      <c r="AA115" s="78">
        <v>0</v>
      </c>
      <c r="AB115" s="77">
        <v>0</v>
      </c>
      <c r="AC115" s="90">
        <v>0</v>
      </c>
    </row>
    <row r="116" spans="1:29" s="80" customFormat="1" ht="114.75" customHeight="1" outlineLevel="1" x14ac:dyDescent="0.2">
      <c r="A116" s="74" t="s">
        <v>1195</v>
      </c>
      <c r="B116" s="91" t="s">
        <v>671</v>
      </c>
      <c r="C116" s="38">
        <f t="shared" si="45"/>
        <v>0</v>
      </c>
      <c r="D116" s="55">
        <f t="shared" ref="D116:D120" si="48">F116+K116+P116+U116+Z116</f>
        <v>34322</v>
      </c>
      <c r="E116" s="51">
        <v>0</v>
      </c>
      <c r="F116" s="89">
        <f>G116+H116+I116</f>
        <v>21761</v>
      </c>
      <c r="G116" s="89">
        <v>0</v>
      </c>
      <c r="H116" s="52">
        <v>20716</v>
      </c>
      <c r="I116" s="52">
        <v>1045</v>
      </c>
      <c r="J116" s="38">
        <v>0</v>
      </c>
      <c r="K116" s="77">
        <f t="shared" ref="K116:K121" si="49">L116+M116+N116</f>
        <v>12561</v>
      </c>
      <c r="L116" s="77">
        <v>0</v>
      </c>
      <c r="M116" s="77">
        <v>0</v>
      </c>
      <c r="N116" s="77">
        <v>12561</v>
      </c>
      <c r="O116" s="76">
        <v>0</v>
      </c>
      <c r="P116" s="77">
        <f>S116</f>
        <v>0</v>
      </c>
      <c r="Q116" s="77">
        <v>0</v>
      </c>
      <c r="R116" s="77">
        <v>0</v>
      </c>
      <c r="S116" s="77">
        <v>0</v>
      </c>
      <c r="T116" s="76">
        <v>0</v>
      </c>
      <c r="U116" s="77">
        <v>0</v>
      </c>
      <c r="V116" s="77">
        <v>0</v>
      </c>
      <c r="W116" s="77">
        <v>0</v>
      </c>
      <c r="X116" s="77">
        <v>0</v>
      </c>
      <c r="Y116" s="76">
        <v>0</v>
      </c>
      <c r="Z116" s="77">
        <v>0</v>
      </c>
      <c r="AA116" s="77">
        <v>0</v>
      </c>
      <c r="AB116" s="77">
        <v>0</v>
      </c>
      <c r="AC116" s="77">
        <v>0</v>
      </c>
    </row>
    <row r="117" spans="1:29" s="80" customFormat="1" ht="114.75" customHeight="1" outlineLevel="1" x14ac:dyDescent="0.2">
      <c r="A117" s="74" t="s">
        <v>1196</v>
      </c>
      <c r="B117" s="91" t="s">
        <v>797</v>
      </c>
      <c r="C117" s="38">
        <f t="shared" si="45"/>
        <v>0</v>
      </c>
      <c r="D117" s="55">
        <f t="shared" si="48"/>
        <v>932</v>
      </c>
      <c r="E117" s="51">
        <v>0</v>
      </c>
      <c r="F117" s="89">
        <f>G117+H117+I117</f>
        <v>466</v>
      </c>
      <c r="G117" s="89">
        <v>0</v>
      </c>
      <c r="H117" s="52">
        <v>0</v>
      </c>
      <c r="I117" s="52">
        <v>466</v>
      </c>
      <c r="J117" s="38">
        <v>0</v>
      </c>
      <c r="K117" s="77">
        <f t="shared" si="49"/>
        <v>466</v>
      </c>
      <c r="L117" s="77">
        <v>0</v>
      </c>
      <c r="M117" s="77">
        <v>0</v>
      </c>
      <c r="N117" s="77">
        <v>466</v>
      </c>
      <c r="O117" s="76">
        <v>0</v>
      </c>
      <c r="P117" s="77">
        <f>S117</f>
        <v>0</v>
      </c>
      <c r="Q117" s="77">
        <v>0</v>
      </c>
      <c r="R117" s="77">
        <v>0</v>
      </c>
      <c r="S117" s="77">
        <v>0</v>
      </c>
      <c r="T117" s="76">
        <v>0</v>
      </c>
      <c r="U117" s="77">
        <v>0</v>
      </c>
      <c r="V117" s="77">
        <v>0</v>
      </c>
      <c r="W117" s="77">
        <v>0</v>
      </c>
      <c r="X117" s="77">
        <v>0</v>
      </c>
      <c r="Y117" s="76">
        <v>0</v>
      </c>
      <c r="Z117" s="77">
        <v>0</v>
      </c>
      <c r="AA117" s="77">
        <v>0</v>
      </c>
      <c r="AB117" s="77">
        <v>0</v>
      </c>
      <c r="AC117" s="77">
        <v>0</v>
      </c>
    </row>
    <row r="118" spans="1:29" s="73" customFormat="1" ht="71.45" customHeight="1" outlineLevel="1" x14ac:dyDescent="0.2">
      <c r="A118" s="49" t="s">
        <v>1197</v>
      </c>
      <c r="B118" s="75" t="s">
        <v>55</v>
      </c>
      <c r="C118" s="76">
        <f t="shared" si="45"/>
        <v>81.88</v>
      </c>
      <c r="D118" s="52">
        <f t="shared" si="48"/>
        <v>323937</v>
      </c>
      <c r="E118" s="51">
        <v>0</v>
      </c>
      <c r="F118" s="52">
        <v>0</v>
      </c>
      <c r="G118" s="52">
        <v>0</v>
      </c>
      <c r="H118" s="52">
        <v>0</v>
      </c>
      <c r="I118" s="52">
        <v>0</v>
      </c>
      <c r="J118" s="76">
        <v>40.94</v>
      </c>
      <c r="K118" s="77">
        <f t="shared" si="49"/>
        <v>214595</v>
      </c>
      <c r="L118" s="77">
        <v>0</v>
      </c>
      <c r="M118" s="77">
        <v>202149</v>
      </c>
      <c r="N118" s="77">
        <v>12446</v>
      </c>
      <c r="O118" s="76">
        <v>40.94</v>
      </c>
      <c r="P118" s="77">
        <f>Q118+R118+S118</f>
        <v>109342</v>
      </c>
      <c r="Q118" s="77">
        <v>0</v>
      </c>
      <c r="R118" s="77">
        <v>103000</v>
      </c>
      <c r="S118" s="77">
        <v>6342</v>
      </c>
      <c r="T118" s="79">
        <v>0</v>
      </c>
      <c r="U118" s="78">
        <v>0</v>
      </c>
      <c r="V118" s="78">
        <v>0</v>
      </c>
      <c r="W118" s="78">
        <v>0</v>
      </c>
      <c r="X118" s="78">
        <v>0</v>
      </c>
      <c r="Y118" s="76">
        <v>0</v>
      </c>
      <c r="Z118" s="77">
        <f>AA118+AC118</f>
        <v>0</v>
      </c>
      <c r="AA118" s="77">
        <v>0</v>
      </c>
      <c r="AB118" s="77">
        <v>0</v>
      </c>
      <c r="AC118" s="77">
        <v>0</v>
      </c>
    </row>
    <row r="119" spans="1:29" s="73" customFormat="1" ht="71.45" customHeight="1" outlineLevel="1" x14ac:dyDescent="0.2">
      <c r="A119" s="49" t="s">
        <v>1198</v>
      </c>
      <c r="B119" s="75" t="s">
        <v>1620</v>
      </c>
      <c r="C119" s="76">
        <f t="shared" si="45"/>
        <v>0</v>
      </c>
      <c r="D119" s="52">
        <f t="shared" si="48"/>
        <v>74310</v>
      </c>
      <c r="E119" s="51">
        <f>G119+L119+Q119+V119+AA119</f>
        <v>0</v>
      </c>
      <c r="F119" s="52">
        <f>G119+H119+I119</f>
        <v>0</v>
      </c>
      <c r="G119" s="52">
        <v>0</v>
      </c>
      <c r="H119" s="52">
        <v>0</v>
      </c>
      <c r="I119" s="52">
        <v>0</v>
      </c>
      <c r="J119" s="76">
        <v>0</v>
      </c>
      <c r="K119" s="77">
        <f t="shared" si="49"/>
        <v>0</v>
      </c>
      <c r="L119" s="77">
        <v>0</v>
      </c>
      <c r="M119" s="77">
        <v>0</v>
      </c>
      <c r="N119" s="77">
        <v>0</v>
      </c>
      <c r="O119" s="76">
        <v>0</v>
      </c>
      <c r="P119" s="77">
        <f>Q119+R119+S119</f>
        <v>74310</v>
      </c>
      <c r="Q119" s="77">
        <v>0</v>
      </c>
      <c r="R119" s="77">
        <v>70000</v>
      </c>
      <c r="S119" s="77">
        <v>4310</v>
      </c>
      <c r="T119" s="79">
        <v>0</v>
      </c>
      <c r="U119" s="78">
        <v>0</v>
      </c>
      <c r="V119" s="78">
        <v>0</v>
      </c>
      <c r="W119" s="78">
        <v>0</v>
      </c>
      <c r="X119" s="78">
        <v>0</v>
      </c>
      <c r="Y119" s="76">
        <v>0</v>
      </c>
      <c r="Z119" s="77">
        <f>AA119+AB119+AC119</f>
        <v>0</v>
      </c>
      <c r="AA119" s="77">
        <v>0</v>
      </c>
      <c r="AB119" s="77">
        <v>0</v>
      </c>
      <c r="AC119" s="77">
        <v>0</v>
      </c>
    </row>
    <row r="120" spans="1:29" s="73" customFormat="1" ht="71.45" customHeight="1" outlineLevel="1" x14ac:dyDescent="0.2">
      <c r="A120" s="49" t="s">
        <v>1199</v>
      </c>
      <c r="B120" s="75" t="s">
        <v>1621</v>
      </c>
      <c r="C120" s="76">
        <f t="shared" si="45"/>
        <v>0</v>
      </c>
      <c r="D120" s="52">
        <f t="shared" si="48"/>
        <v>997</v>
      </c>
      <c r="E120" s="51">
        <f>G120+L120+Q120+V120+AA120</f>
        <v>0</v>
      </c>
      <c r="F120" s="52">
        <f>G120+H120+I120</f>
        <v>0</v>
      </c>
      <c r="G120" s="52">
        <v>0</v>
      </c>
      <c r="H120" s="52">
        <v>0</v>
      </c>
      <c r="I120" s="52">
        <v>0</v>
      </c>
      <c r="J120" s="76">
        <v>0</v>
      </c>
      <c r="K120" s="77">
        <f t="shared" si="49"/>
        <v>0</v>
      </c>
      <c r="L120" s="77">
        <v>0</v>
      </c>
      <c r="M120" s="77">
        <v>0</v>
      </c>
      <c r="N120" s="77">
        <v>0</v>
      </c>
      <c r="O120" s="76">
        <v>0</v>
      </c>
      <c r="P120" s="346">
        <f>Q120+R120+S120</f>
        <v>997</v>
      </c>
      <c r="Q120" s="346">
        <v>0</v>
      </c>
      <c r="R120" s="346">
        <v>0</v>
      </c>
      <c r="S120" s="346">
        <f>1650-169+30-514</f>
        <v>997</v>
      </c>
      <c r="T120" s="79">
        <v>0</v>
      </c>
      <c r="U120" s="78">
        <v>0</v>
      </c>
      <c r="V120" s="78">
        <v>0</v>
      </c>
      <c r="W120" s="78">
        <v>0</v>
      </c>
      <c r="X120" s="78">
        <v>0</v>
      </c>
      <c r="Y120" s="76">
        <v>0</v>
      </c>
      <c r="Z120" s="77">
        <f>AA120+AB120+AC120</f>
        <v>0</v>
      </c>
      <c r="AA120" s="77">
        <v>0</v>
      </c>
      <c r="AB120" s="77">
        <v>0</v>
      </c>
      <c r="AC120" s="77">
        <v>0</v>
      </c>
    </row>
    <row r="121" spans="1:29" s="73" customFormat="1" ht="25.15" customHeight="1" outlineLevel="1" x14ac:dyDescent="0.2">
      <c r="A121" s="49"/>
      <c r="B121" s="75" t="s">
        <v>587</v>
      </c>
      <c r="C121" s="76">
        <f t="shared" si="45"/>
        <v>0</v>
      </c>
      <c r="D121" s="52">
        <f>F121+K121+P121+U121+Z121</f>
        <v>17242</v>
      </c>
      <c r="E121" s="51">
        <v>0</v>
      </c>
      <c r="F121" s="52">
        <v>0</v>
      </c>
      <c r="G121" s="52">
        <v>0</v>
      </c>
      <c r="H121" s="52">
        <v>0</v>
      </c>
      <c r="I121" s="52">
        <v>0</v>
      </c>
      <c r="J121" s="76">
        <v>0</v>
      </c>
      <c r="K121" s="77">
        <f t="shared" si="49"/>
        <v>730</v>
      </c>
      <c r="L121" s="77">
        <v>0</v>
      </c>
      <c r="M121" s="77">
        <f>11835-11834</f>
        <v>1</v>
      </c>
      <c r="N121" s="77">
        <v>729</v>
      </c>
      <c r="O121" s="76">
        <v>0</v>
      </c>
      <c r="P121" s="77">
        <f>Q121+R121+S121</f>
        <v>0</v>
      </c>
      <c r="Q121" s="77">
        <v>0</v>
      </c>
      <c r="R121" s="77">
        <v>0</v>
      </c>
      <c r="S121" s="77">
        <v>0</v>
      </c>
      <c r="T121" s="79">
        <v>0</v>
      </c>
      <c r="U121" s="398">
        <f>X121+W121+V121</f>
        <v>8256</v>
      </c>
      <c r="V121" s="398">
        <v>0</v>
      </c>
      <c r="W121" s="398">
        <v>0</v>
      </c>
      <c r="X121" s="398">
        <v>8256</v>
      </c>
      <c r="Y121" s="587">
        <v>0</v>
      </c>
      <c r="Z121" s="398">
        <f>AA121+AB121+AC121+AD121</f>
        <v>8256</v>
      </c>
      <c r="AA121" s="398">
        <v>0</v>
      </c>
      <c r="AB121" s="398">
        <v>0</v>
      </c>
      <c r="AC121" s="398">
        <v>8256</v>
      </c>
    </row>
    <row r="122" spans="1:29" s="73" customFormat="1" ht="15.75" outlineLevel="1" x14ac:dyDescent="0.2">
      <c r="A122" s="488" t="s">
        <v>849</v>
      </c>
      <c r="B122" s="488"/>
      <c r="C122" s="488"/>
      <c r="D122" s="488"/>
      <c r="E122" s="488"/>
      <c r="F122" s="488"/>
      <c r="G122" s="488"/>
      <c r="H122" s="488"/>
      <c r="I122" s="488"/>
      <c r="J122" s="488"/>
      <c r="K122" s="488"/>
      <c r="L122" s="488"/>
      <c r="M122" s="488"/>
      <c r="N122" s="488"/>
      <c r="O122" s="488"/>
      <c r="P122" s="488"/>
      <c r="Q122" s="488"/>
      <c r="R122" s="488"/>
      <c r="S122" s="488"/>
      <c r="T122" s="488"/>
      <c r="U122" s="488"/>
      <c r="V122" s="488"/>
      <c r="W122" s="488"/>
      <c r="X122" s="488"/>
      <c r="Y122" s="488"/>
      <c r="Z122" s="488"/>
      <c r="AA122" s="488"/>
      <c r="AB122" s="488"/>
      <c r="AC122" s="488"/>
    </row>
    <row r="123" spans="1:29" s="73" customFormat="1" ht="85.9" customHeight="1" outlineLevel="1" x14ac:dyDescent="0.2">
      <c r="A123" s="49" t="s">
        <v>1200</v>
      </c>
      <c r="B123" s="75" t="s">
        <v>45</v>
      </c>
      <c r="C123" s="76">
        <f>E123+T123+O123+J123+Y123</f>
        <v>0</v>
      </c>
      <c r="D123" s="52">
        <f>F123+Z123+P123+K123+U123</f>
        <v>0</v>
      </c>
      <c r="E123" s="51">
        <v>0</v>
      </c>
      <c r="F123" s="52">
        <v>0</v>
      </c>
      <c r="G123" s="52">
        <v>0</v>
      </c>
      <c r="H123" s="52">
        <v>0</v>
      </c>
      <c r="I123" s="52">
        <v>0</v>
      </c>
      <c r="J123" s="92">
        <v>0</v>
      </c>
      <c r="K123" s="89">
        <f>SUM(L123:N123)</f>
        <v>0</v>
      </c>
      <c r="L123" s="89">
        <v>0</v>
      </c>
      <c r="M123" s="89">
        <v>0</v>
      </c>
      <c r="N123" s="89">
        <f>4021-4021</f>
        <v>0</v>
      </c>
      <c r="O123" s="76">
        <v>0</v>
      </c>
      <c r="P123" s="77">
        <f>Q123+R123+S123</f>
        <v>0</v>
      </c>
      <c r="Q123" s="77">
        <v>0</v>
      </c>
      <c r="R123" s="77">
        <v>0</v>
      </c>
      <c r="S123" s="77">
        <v>0</v>
      </c>
      <c r="T123" s="79">
        <v>0</v>
      </c>
      <c r="U123" s="78">
        <v>0</v>
      </c>
      <c r="V123" s="78">
        <v>0</v>
      </c>
      <c r="W123" s="78">
        <v>0</v>
      </c>
      <c r="X123" s="78">
        <v>0</v>
      </c>
      <c r="Y123" s="76">
        <v>0</v>
      </c>
      <c r="Z123" s="89">
        <f>SUM(AA123:AC123)</f>
        <v>0</v>
      </c>
      <c r="AA123" s="77">
        <v>0</v>
      </c>
      <c r="AB123" s="77">
        <v>0</v>
      </c>
      <c r="AC123" s="77">
        <v>0</v>
      </c>
    </row>
    <row r="124" spans="1:29" s="73" customFormat="1" ht="66" customHeight="1" outlineLevel="1" x14ac:dyDescent="0.2">
      <c r="A124" s="49" t="s">
        <v>1629</v>
      </c>
      <c r="B124" s="75" t="s">
        <v>56</v>
      </c>
      <c r="C124" s="76">
        <f>E124+J124+O124+T124+Y124</f>
        <v>0</v>
      </c>
      <c r="D124" s="52">
        <f>F124+Z124+P124+K124+U124</f>
        <v>0</v>
      </c>
      <c r="E124" s="51">
        <v>0</v>
      </c>
      <c r="F124" s="52">
        <v>0</v>
      </c>
      <c r="G124" s="52">
        <v>0</v>
      </c>
      <c r="H124" s="52">
        <v>0</v>
      </c>
      <c r="I124" s="52">
        <v>0</v>
      </c>
      <c r="J124" s="76">
        <v>0</v>
      </c>
      <c r="K124" s="89">
        <f>SUM(L124:N124)</f>
        <v>0</v>
      </c>
      <c r="L124" s="77">
        <v>0</v>
      </c>
      <c r="M124" s="77">
        <v>0</v>
      </c>
      <c r="N124" s="77">
        <v>0</v>
      </c>
      <c r="O124" s="76">
        <v>0</v>
      </c>
      <c r="P124" s="77">
        <f>Q124+R124+S124</f>
        <v>0</v>
      </c>
      <c r="Q124" s="77">
        <v>0</v>
      </c>
      <c r="R124" s="77">
        <v>0</v>
      </c>
      <c r="S124" s="77">
        <v>0</v>
      </c>
      <c r="T124" s="79">
        <v>0</v>
      </c>
      <c r="U124" s="78">
        <v>0</v>
      </c>
      <c r="V124" s="78">
        <v>0</v>
      </c>
      <c r="W124" s="78">
        <v>0</v>
      </c>
      <c r="X124" s="78">
        <v>0</v>
      </c>
      <c r="Y124" s="79">
        <v>0</v>
      </c>
      <c r="Z124" s="78">
        <f>AA124+AB124+AC124</f>
        <v>0</v>
      </c>
      <c r="AA124" s="78">
        <v>0</v>
      </c>
      <c r="AB124" s="78">
        <v>0</v>
      </c>
      <c r="AC124" s="78">
        <v>0</v>
      </c>
    </row>
    <row r="125" spans="1:29" s="73" customFormat="1" ht="63" customHeight="1" outlineLevel="1" x14ac:dyDescent="0.2">
      <c r="A125" s="49" t="s">
        <v>1630</v>
      </c>
      <c r="B125" s="75" t="s">
        <v>4</v>
      </c>
      <c r="C125" s="76">
        <f>E125+J125+O125+T125+Y125</f>
        <v>0</v>
      </c>
      <c r="D125" s="52">
        <f>F125+Z125+P125+K125+U125</f>
        <v>0</v>
      </c>
      <c r="E125" s="51">
        <v>0</v>
      </c>
      <c r="F125" s="52">
        <v>0</v>
      </c>
      <c r="G125" s="52">
        <v>0</v>
      </c>
      <c r="H125" s="52">
        <v>0</v>
      </c>
      <c r="I125" s="52">
        <v>0</v>
      </c>
      <c r="J125" s="76">
        <v>0</v>
      </c>
      <c r="K125" s="89">
        <f>SUM(L125:N125)</f>
        <v>0</v>
      </c>
      <c r="L125" s="77">
        <v>0</v>
      </c>
      <c r="M125" s="77">
        <v>0</v>
      </c>
      <c r="N125" s="77">
        <v>0</v>
      </c>
      <c r="O125" s="76">
        <v>0</v>
      </c>
      <c r="P125" s="77">
        <v>0</v>
      </c>
      <c r="Q125" s="77">
        <v>0</v>
      </c>
      <c r="R125" s="77">
        <v>0</v>
      </c>
      <c r="S125" s="77">
        <v>0</v>
      </c>
      <c r="T125" s="79">
        <v>0</v>
      </c>
      <c r="U125" s="78">
        <v>0</v>
      </c>
      <c r="V125" s="78">
        <v>0</v>
      </c>
      <c r="W125" s="78">
        <v>0</v>
      </c>
      <c r="X125" s="78">
        <v>0</v>
      </c>
      <c r="Y125" s="79">
        <v>0</v>
      </c>
      <c r="Z125" s="78">
        <f>AA125+AB125+AC125</f>
        <v>0</v>
      </c>
      <c r="AA125" s="78">
        <v>0</v>
      </c>
      <c r="AB125" s="78">
        <v>0</v>
      </c>
      <c r="AC125" s="78">
        <v>0</v>
      </c>
    </row>
    <row r="126" spans="1:29" s="94" customFormat="1" ht="46.9" customHeight="1" x14ac:dyDescent="0.2">
      <c r="A126" s="93"/>
      <c r="B126" s="86" t="s">
        <v>1201</v>
      </c>
      <c r="C126" s="87">
        <f t="shared" ref="C126:AC126" si="50">SUM(C103:C125)</f>
        <v>92.96</v>
      </c>
      <c r="D126" s="88">
        <f t="shared" si="50"/>
        <v>507260</v>
      </c>
      <c r="E126" s="87">
        <f t="shared" si="50"/>
        <v>5.54</v>
      </c>
      <c r="F126" s="88">
        <f t="shared" si="50"/>
        <v>64125</v>
      </c>
      <c r="G126" s="88">
        <f t="shared" si="50"/>
        <v>0</v>
      </c>
      <c r="H126" s="88">
        <f t="shared" si="50"/>
        <v>60112</v>
      </c>
      <c r="I126" s="88">
        <f t="shared" si="50"/>
        <v>4013</v>
      </c>
      <c r="J126" s="87">
        <f t="shared" si="50"/>
        <v>46.48</v>
      </c>
      <c r="K126" s="88">
        <f t="shared" si="50"/>
        <v>241974</v>
      </c>
      <c r="L126" s="88">
        <f t="shared" si="50"/>
        <v>0</v>
      </c>
      <c r="M126" s="88">
        <f t="shared" si="50"/>
        <v>214659</v>
      </c>
      <c r="N126" s="88">
        <f t="shared" si="50"/>
        <v>27315</v>
      </c>
      <c r="O126" s="87">
        <f t="shared" si="50"/>
        <v>40.94</v>
      </c>
      <c r="P126" s="88">
        <f t="shared" si="50"/>
        <v>184649</v>
      </c>
      <c r="Q126" s="88">
        <f t="shared" si="50"/>
        <v>0</v>
      </c>
      <c r="R126" s="88">
        <f t="shared" si="50"/>
        <v>173000</v>
      </c>
      <c r="S126" s="88">
        <f t="shared" si="50"/>
        <v>11649</v>
      </c>
      <c r="T126" s="87">
        <f t="shared" si="50"/>
        <v>0</v>
      </c>
      <c r="U126" s="88">
        <f t="shared" si="50"/>
        <v>8256</v>
      </c>
      <c r="V126" s="88">
        <f t="shared" si="50"/>
        <v>0</v>
      </c>
      <c r="W126" s="88">
        <f t="shared" si="50"/>
        <v>0</v>
      </c>
      <c r="X126" s="88">
        <f t="shared" si="50"/>
        <v>8256</v>
      </c>
      <c r="Y126" s="87">
        <f t="shared" si="50"/>
        <v>0</v>
      </c>
      <c r="Z126" s="88">
        <f t="shared" si="50"/>
        <v>8256</v>
      </c>
      <c r="AA126" s="88">
        <f t="shared" si="50"/>
        <v>0</v>
      </c>
      <c r="AB126" s="88">
        <f t="shared" si="50"/>
        <v>0</v>
      </c>
      <c r="AC126" s="88">
        <f t="shared" si="50"/>
        <v>8256</v>
      </c>
    </row>
    <row r="127" spans="1:29" s="73" customFormat="1" ht="30" customHeight="1" x14ac:dyDescent="0.2">
      <c r="A127" s="72" t="s">
        <v>1059</v>
      </c>
      <c r="B127" s="482" t="s">
        <v>1202</v>
      </c>
      <c r="C127" s="483"/>
      <c r="D127" s="483"/>
      <c r="E127" s="483"/>
      <c r="F127" s="483"/>
      <c r="G127" s="483"/>
      <c r="H127" s="483"/>
      <c r="I127" s="483"/>
      <c r="J127" s="483"/>
      <c r="K127" s="483"/>
      <c r="L127" s="483"/>
      <c r="M127" s="483"/>
      <c r="N127" s="483"/>
      <c r="O127" s="483"/>
      <c r="P127" s="483"/>
      <c r="Q127" s="483"/>
      <c r="R127" s="483"/>
      <c r="S127" s="483"/>
      <c r="T127" s="483"/>
      <c r="U127" s="483"/>
      <c r="V127" s="483"/>
      <c r="W127" s="483"/>
      <c r="X127" s="483"/>
      <c r="Y127" s="483"/>
      <c r="Z127" s="483"/>
      <c r="AA127" s="483"/>
      <c r="AB127" s="483"/>
      <c r="AC127" s="484"/>
    </row>
    <row r="128" spans="1:29" s="73" customFormat="1" ht="41.45" customHeight="1" outlineLevel="1" x14ac:dyDescent="0.2">
      <c r="A128" s="38" t="s">
        <v>1203</v>
      </c>
      <c r="B128" s="95" t="s">
        <v>47</v>
      </c>
      <c r="C128" s="38">
        <f>E128+J128+O128+T128+Y128</f>
        <v>1.98</v>
      </c>
      <c r="D128" s="55">
        <f t="shared" ref="D128:D161" si="51">F128+K128+P128+U128+Z128</f>
        <v>0</v>
      </c>
      <c r="E128" s="96">
        <v>1.98</v>
      </c>
      <c r="F128" s="89">
        <f t="shared" ref="F128:F169" si="52">G128+H128+I128</f>
        <v>0</v>
      </c>
      <c r="G128" s="89">
        <v>0</v>
      </c>
      <c r="H128" s="52">
        <v>0</v>
      </c>
      <c r="I128" s="52">
        <v>0</v>
      </c>
      <c r="J128" s="38">
        <v>0</v>
      </c>
      <c r="K128" s="77">
        <f t="shared" ref="K128:K165" si="53">SUM(L128:N128)</f>
        <v>0</v>
      </c>
      <c r="L128" s="77">
        <v>0</v>
      </c>
      <c r="M128" s="77">
        <v>0</v>
      </c>
      <c r="N128" s="77">
        <v>0</v>
      </c>
      <c r="O128" s="76">
        <v>0</v>
      </c>
      <c r="P128" s="77">
        <f t="shared" ref="P128:P165" si="54">Q128+R128+S128</f>
        <v>0</v>
      </c>
      <c r="Q128" s="77">
        <v>0</v>
      </c>
      <c r="R128" s="77">
        <v>0</v>
      </c>
      <c r="S128" s="77">
        <v>0</v>
      </c>
      <c r="T128" s="76">
        <v>0</v>
      </c>
      <c r="U128" s="77">
        <f t="shared" ref="U128:U168" si="55">V128+W128+X128</f>
        <v>0</v>
      </c>
      <c r="V128" s="77">
        <v>0</v>
      </c>
      <c r="W128" s="77">
        <v>0</v>
      </c>
      <c r="X128" s="77">
        <v>0</v>
      </c>
      <c r="Y128" s="76">
        <v>0</v>
      </c>
      <c r="Z128" s="77">
        <f t="shared" ref="Z128:Z169" si="56">AA128+AB128+AC128</f>
        <v>0</v>
      </c>
      <c r="AA128" s="77">
        <v>0</v>
      </c>
      <c r="AB128" s="77">
        <v>0</v>
      </c>
      <c r="AC128" s="77">
        <v>0</v>
      </c>
    </row>
    <row r="129" spans="1:29" s="73" customFormat="1" ht="42.6" customHeight="1" outlineLevel="1" x14ac:dyDescent="0.2">
      <c r="A129" s="97" t="s">
        <v>1204</v>
      </c>
      <c r="B129" s="95" t="s">
        <v>44</v>
      </c>
      <c r="C129" s="38">
        <f>E129+J129+O129+T129+Y129</f>
        <v>15.5</v>
      </c>
      <c r="D129" s="55">
        <f t="shared" si="51"/>
        <v>0</v>
      </c>
      <c r="E129" s="96">
        <v>15.5</v>
      </c>
      <c r="F129" s="89">
        <f t="shared" si="52"/>
        <v>0</v>
      </c>
      <c r="G129" s="89">
        <v>0</v>
      </c>
      <c r="H129" s="52">
        <v>0</v>
      </c>
      <c r="I129" s="52">
        <v>0</v>
      </c>
      <c r="J129" s="38">
        <v>0</v>
      </c>
      <c r="K129" s="77">
        <f t="shared" si="53"/>
        <v>0</v>
      </c>
      <c r="L129" s="77">
        <v>0</v>
      </c>
      <c r="M129" s="77">
        <v>0</v>
      </c>
      <c r="N129" s="77">
        <v>0</v>
      </c>
      <c r="O129" s="76">
        <v>0</v>
      </c>
      <c r="P129" s="77">
        <f t="shared" si="54"/>
        <v>0</v>
      </c>
      <c r="Q129" s="77">
        <v>0</v>
      </c>
      <c r="R129" s="77">
        <v>0</v>
      </c>
      <c r="S129" s="77">
        <v>0</v>
      </c>
      <c r="T129" s="76">
        <v>0</v>
      </c>
      <c r="U129" s="77">
        <f t="shared" si="55"/>
        <v>0</v>
      </c>
      <c r="V129" s="77">
        <v>0</v>
      </c>
      <c r="W129" s="77">
        <v>0</v>
      </c>
      <c r="X129" s="77">
        <v>0</v>
      </c>
      <c r="Y129" s="76">
        <v>0</v>
      </c>
      <c r="Z129" s="77">
        <f t="shared" si="56"/>
        <v>0</v>
      </c>
      <c r="AA129" s="77">
        <v>0</v>
      </c>
      <c r="AB129" s="77">
        <v>0</v>
      </c>
      <c r="AC129" s="77">
        <v>0</v>
      </c>
    </row>
    <row r="130" spans="1:29" s="73" customFormat="1" ht="39.6" customHeight="1" outlineLevel="1" x14ac:dyDescent="0.2">
      <c r="A130" s="97" t="s">
        <v>1205</v>
      </c>
      <c r="B130" s="95" t="s">
        <v>49</v>
      </c>
      <c r="C130" s="38">
        <f>E130+J130+O130+Y130+T130</f>
        <v>0</v>
      </c>
      <c r="D130" s="55">
        <f>F130+K130+P130+Z130+U130</f>
        <v>0</v>
      </c>
      <c r="E130" s="96">
        <v>0</v>
      </c>
      <c r="F130" s="89">
        <f t="shared" si="52"/>
        <v>0</v>
      </c>
      <c r="G130" s="89">
        <v>0</v>
      </c>
      <c r="H130" s="89">
        <v>0</v>
      </c>
      <c r="I130" s="89">
        <v>0</v>
      </c>
      <c r="J130" s="38">
        <v>0</v>
      </c>
      <c r="K130" s="77">
        <v>0</v>
      </c>
      <c r="L130" s="77">
        <v>0</v>
      </c>
      <c r="M130" s="77">
        <v>0</v>
      </c>
      <c r="N130" s="77">
        <v>0</v>
      </c>
      <c r="O130" s="76">
        <v>0</v>
      </c>
      <c r="P130" s="77">
        <f t="shared" si="54"/>
        <v>0</v>
      </c>
      <c r="Q130" s="77">
        <v>0</v>
      </c>
      <c r="R130" s="77">
        <v>0</v>
      </c>
      <c r="S130" s="77">
        <v>0</v>
      </c>
      <c r="T130" s="76">
        <v>0</v>
      </c>
      <c r="U130" s="77">
        <f t="shared" si="55"/>
        <v>0</v>
      </c>
      <c r="V130" s="77">
        <v>0</v>
      </c>
      <c r="W130" s="77">
        <v>0</v>
      </c>
      <c r="X130" s="77">
        <v>0</v>
      </c>
      <c r="Y130" s="76">
        <v>0</v>
      </c>
      <c r="Z130" s="77">
        <v>0</v>
      </c>
      <c r="AA130" s="77">
        <v>0</v>
      </c>
      <c r="AB130" s="77">
        <v>0</v>
      </c>
      <c r="AC130" s="77">
        <v>0</v>
      </c>
    </row>
    <row r="131" spans="1:29" s="73" customFormat="1" ht="41.45" customHeight="1" outlineLevel="1" x14ac:dyDescent="0.2">
      <c r="A131" s="97" t="s">
        <v>1206</v>
      </c>
      <c r="B131" s="95" t="s">
        <v>48</v>
      </c>
      <c r="C131" s="38">
        <f t="shared" ref="C131:C136" si="57">E131+J131+O131+Y131+T131</f>
        <v>0</v>
      </c>
      <c r="D131" s="55">
        <f>F131+K131+P131+Z131+U131</f>
        <v>0</v>
      </c>
      <c r="E131" s="96">
        <v>0</v>
      </c>
      <c r="F131" s="89">
        <f t="shared" si="52"/>
        <v>0</v>
      </c>
      <c r="G131" s="89">
        <v>0</v>
      </c>
      <c r="H131" s="89">
        <v>0</v>
      </c>
      <c r="I131" s="89">
        <v>0</v>
      </c>
      <c r="J131" s="38">
        <v>0</v>
      </c>
      <c r="K131" s="77">
        <v>0</v>
      </c>
      <c r="L131" s="77">
        <v>0</v>
      </c>
      <c r="M131" s="77">
        <v>0</v>
      </c>
      <c r="N131" s="77">
        <v>0</v>
      </c>
      <c r="O131" s="76">
        <v>0</v>
      </c>
      <c r="P131" s="77">
        <f t="shared" si="54"/>
        <v>0</v>
      </c>
      <c r="Q131" s="77">
        <v>0</v>
      </c>
      <c r="R131" s="77">
        <v>0</v>
      </c>
      <c r="S131" s="77">
        <v>0</v>
      </c>
      <c r="T131" s="76">
        <v>0</v>
      </c>
      <c r="U131" s="77">
        <f t="shared" si="55"/>
        <v>0</v>
      </c>
      <c r="V131" s="77">
        <v>0</v>
      </c>
      <c r="W131" s="77">
        <v>0</v>
      </c>
      <c r="X131" s="77">
        <v>0</v>
      </c>
      <c r="Y131" s="76">
        <v>0</v>
      </c>
      <c r="Z131" s="77">
        <v>0</v>
      </c>
      <c r="AA131" s="77">
        <v>0</v>
      </c>
      <c r="AB131" s="77">
        <v>0</v>
      </c>
      <c r="AC131" s="77">
        <v>0</v>
      </c>
    </row>
    <row r="132" spans="1:29" s="73" customFormat="1" ht="40.15" customHeight="1" outlineLevel="1" x14ac:dyDescent="0.2">
      <c r="A132" s="97" t="s">
        <v>1207</v>
      </c>
      <c r="B132" s="95" t="s">
        <v>50</v>
      </c>
      <c r="C132" s="38">
        <f t="shared" si="57"/>
        <v>0</v>
      </c>
      <c r="D132" s="55">
        <f>F132+K132+P132+Z132+U132</f>
        <v>0</v>
      </c>
      <c r="E132" s="96">
        <v>0</v>
      </c>
      <c r="F132" s="89">
        <f t="shared" si="52"/>
        <v>0</v>
      </c>
      <c r="G132" s="89">
        <v>0</v>
      </c>
      <c r="H132" s="89">
        <v>0</v>
      </c>
      <c r="I132" s="89">
        <v>0</v>
      </c>
      <c r="J132" s="38">
        <v>0</v>
      </c>
      <c r="K132" s="77">
        <v>0</v>
      </c>
      <c r="L132" s="77">
        <v>0</v>
      </c>
      <c r="M132" s="77">
        <v>0</v>
      </c>
      <c r="N132" s="77">
        <v>0</v>
      </c>
      <c r="O132" s="76">
        <v>0</v>
      </c>
      <c r="P132" s="77">
        <f t="shared" si="54"/>
        <v>0</v>
      </c>
      <c r="Q132" s="77">
        <v>0</v>
      </c>
      <c r="R132" s="77">
        <v>0</v>
      </c>
      <c r="S132" s="77">
        <v>0</v>
      </c>
      <c r="T132" s="76">
        <v>0</v>
      </c>
      <c r="U132" s="77">
        <f t="shared" si="55"/>
        <v>0</v>
      </c>
      <c r="V132" s="77">
        <v>0</v>
      </c>
      <c r="W132" s="77">
        <v>0</v>
      </c>
      <c r="X132" s="77">
        <v>0</v>
      </c>
      <c r="Y132" s="76">
        <v>0</v>
      </c>
      <c r="Z132" s="77">
        <v>0</v>
      </c>
      <c r="AA132" s="77">
        <v>0</v>
      </c>
      <c r="AB132" s="77">
        <v>0</v>
      </c>
      <c r="AC132" s="77">
        <v>0</v>
      </c>
    </row>
    <row r="133" spans="1:29" s="73" customFormat="1" ht="40.5" customHeight="1" outlineLevel="1" x14ac:dyDescent="0.2">
      <c r="A133" s="97" t="s">
        <v>1208</v>
      </c>
      <c r="B133" s="95" t="s">
        <v>51</v>
      </c>
      <c r="C133" s="38">
        <f t="shared" si="57"/>
        <v>0</v>
      </c>
      <c r="D133" s="55">
        <f>F133+K133+P133+Z133+U133</f>
        <v>0</v>
      </c>
      <c r="E133" s="96">
        <v>0</v>
      </c>
      <c r="F133" s="89">
        <f t="shared" si="52"/>
        <v>0</v>
      </c>
      <c r="G133" s="89">
        <v>0</v>
      </c>
      <c r="H133" s="89">
        <v>0</v>
      </c>
      <c r="I133" s="89">
        <v>0</v>
      </c>
      <c r="J133" s="38">
        <v>0</v>
      </c>
      <c r="K133" s="77">
        <v>0</v>
      </c>
      <c r="L133" s="77">
        <v>0</v>
      </c>
      <c r="M133" s="77">
        <v>0</v>
      </c>
      <c r="N133" s="77">
        <v>0</v>
      </c>
      <c r="O133" s="76">
        <v>0</v>
      </c>
      <c r="P133" s="77">
        <f t="shared" si="54"/>
        <v>0</v>
      </c>
      <c r="Q133" s="77">
        <v>0</v>
      </c>
      <c r="R133" s="77">
        <v>0</v>
      </c>
      <c r="S133" s="77">
        <v>0</v>
      </c>
      <c r="T133" s="76">
        <v>0</v>
      </c>
      <c r="U133" s="77">
        <f t="shared" si="55"/>
        <v>0</v>
      </c>
      <c r="V133" s="77">
        <v>0</v>
      </c>
      <c r="W133" s="77">
        <v>0</v>
      </c>
      <c r="X133" s="77">
        <v>0</v>
      </c>
      <c r="Y133" s="76">
        <v>0</v>
      </c>
      <c r="Z133" s="77">
        <v>0</v>
      </c>
      <c r="AA133" s="77">
        <v>0</v>
      </c>
      <c r="AB133" s="77">
        <v>0</v>
      </c>
      <c r="AC133" s="77">
        <v>0</v>
      </c>
    </row>
    <row r="134" spans="1:29" s="73" customFormat="1" ht="52.9" customHeight="1" outlineLevel="1" x14ac:dyDescent="0.2">
      <c r="A134" s="97" t="s">
        <v>1209</v>
      </c>
      <c r="B134" s="95" t="s">
        <v>52</v>
      </c>
      <c r="C134" s="38">
        <f t="shared" si="57"/>
        <v>0</v>
      </c>
      <c r="D134" s="55">
        <f>F134+K134+P134+Z134+U134</f>
        <v>0</v>
      </c>
      <c r="E134" s="96">
        <v>0</v>
      </c>
      <c r="F134" s="89">
        <f t="shared" si="52"/>
        <v>0</v>
      </c>
      <c r="G134" s="89">
        <v>0</v>
      </c>
      <c r="H134" s="89">
        <v>0</v>
      </c>
      <c r="I134" s="89">
        <v>0</v>
      </c>
      <c r="J134" s="38">
        <v>0</v>
      </c>
      <c r="K134" s="77">
        <v>0</v>
      </c>
      <c r="L134" s="77">
        <v>0</v>
      </c>
      <c r="M134" s="77">
        <v>0</v>
      </c>
      <c r="N134" s="77">
        <v>0</v>
      </c>
      <c r="O134" s="76">
        <v>0</v>
      </c>
      <c r="P134" s="77">
        <f t="shared" si="54"/>
        <v>0</v>
      </c>
      <c r="Q134" s="77">
        <v>0</v>
      </c>
      <c r="R134" s="77">
        <v>0</v>
      </c>
      <c r="S134" s="77">
        <v>0</v>
      </c>
      <c r="T134" s="76">
        <v>0</v>
      </c>
      <c r="U134" s="77">
        <f t="shared" si="55"/>
        <v>0</v>
      </c>
      <c r="V134" s="77">
        <v>0</v>
      </c>
      <c r="W134" s="77">
        <v>0</v>
      </c>
      <c r="X134" s="77">
        <v>0</v>
      </c>
      <c r="Y134" s="76">
        <v>0</v>
      </c>
      <c r="Z134" s="77">
        <v>0</v>
      </c>
      <c r="AA134" s="77">
        <v>0</v>
      </c>
      <c r="AB134" s="77">
        <v>0</v>
      </c>
      <c r="AC134" s="77">
        <v>0</v>
      </c>
    </row>
    <row r="135" spans="1:29" s="73" customFormat="1" ht="52.15" customHeight="1" outlineLevel="1" x14ac:dyDescent="0.2">
      <c r="A135" s="97" t="s">
        <v>1210</v>
      </c>
      <c r="B135" s="95" t="s">
        <v>53</v>
      </c>
      <c r="C135" s="38">
        <f t="shared" si="57"/>
        <v>0</v>
      </c>
      <c r="D135" s="55">
        <f>F135+K135+P135+Z135+U135</f>
        <v>0</v>
      </c>
      <c r="E135" s="96">
        <v>0</v>
      </c>
      <c r="F135" s="89">
        <f t="shared" si="52"/>
        <v>0</v>
      </c>
      <c r="G135" s="89">
        <v>0</v>
      </c>
      <c r="H135" s="55">
        <v>0</v>
      </c>
      <c r="I135" s="89">
        <v>0</v>
      </c>
      <c r="J135" s="38">
        <v>0</v>
      </c>
      <c r="K135" s="77">
        <v>0</v>
      </c>
      <c r="L135" s="77">
        <v>0</v>
      </c>
      <c r="M135" s="77">
        <v>0</v>
      </c>
      <c r="N135" s="77">
        <v>0</v>
      </c>
      <c r="O135" s="76">
        <v>0</v>
      </c>
      <c r="P135" s="77">
        <v>0</v>
      </c>
      <c r="Q135" s="77">
        <v>0</v>
      </c>
      <c r="R135" s="77">
        <f>P135*0.952</f>
        <v>0</v>
      </c>
      <c r="S135" s="77">
        <f>P135*0.048</f>
        <v>0</v>
      </c>
      <c r="T135" s="76">
        <v>0</v>
      </c>
      <c r="U135" s="77">
        <f t="shared" si="55"/>
        <v>0</v>
      </c>
      <c r="V135" s="77">
        <v>0</v>
      </c>
      <c r="W135" s="77">
        <v>0</v>
      </c>
      <c r="X135" s="77">
        <v>0</v>
      </c>
      <c r="Y135" s="76">
        <v>0</v>
      </c>
      <c r="Z135" s="77">
        <v>0</v>
      </c>
      <c r="AA135" s="77">
        <v>0</v>
      </c>
      <c r="AB135" s="77">
        <v>0</v>
      </c>
      <c r="AC135" s="77">
        <v>0</v>
      </c>
    </row>
    <row r="136" spans="1:29" s="73" customFormat="1" ht="48" customHeight="1" outlineLevel="1" x14ac:dyDescent="0.2">
      <c r="A136" s="97" t="s">
        <v>1211</v>
      </c>
      <c r="B136" s="95" t="s">
        <v>417</v>
      </c>
      <c r="C136" s="38">
        <f t="shared" si="57"/>
        <v>0</v>
      </c>
      <c r="D136" s="55">
        <f t="shared" si="51"/>
        <v>0</v>
      </c>
      <c r="E136" s="96">
        <v>0</v>
      </c>
      <c r="F136" s="89">
        <f t="shared" si="52"/>
        <v>0</v>
      </c>
      <c r="G136" s="89">
        <v>0</v>
      </c>
      <c r="H136" s="55">
        <v>0</v>
      </c>
      <c r="I136" s="89">
        <v>0</v>
      </c>
      <c r="J136" s="38">
        <v>0</v>
      </c>
      <c r="K136" s="77">
        <f t="shared" si="53"/>
        <v>0</v>
      </c>
      <c r="L136" s="77">
        <v>0</v>
      </c>
      <c r="M136" s="77">
        <v>0</v>
      </c>
      <c r="N136" s="77">
        <v>0</v>
      </c>
      <c r="O136" s="76">
        <v>0</v>
      </c>
      <c r="P136" s="77">
        <f t="shared" si="54"/>
        <v>0</v>
      </c>
      <c r="Q136" s="77">
        <v>0</v>
      </c>
      <c r="R136" s="77">
        <v>0</v>
      </c>
      <c r="S136" s="77">
        <v>0</v>
      </c>
      <c r="T136" s="76">
        <v>0</v>
      </c>
      <c r="U136" s="77">
        <f t="shared" si="55"/>
        <v>0</v>
      </c>
      <c r="V136" s="77">
        <v>0</v>
      </c>
      <c r="W136" s="77">
        <v>0</v>
      </c>
      <c r="X136" s="77">
        <v>0</v>
      </c>
      <c r="Y136" s="76">
        <v>0</v>
      </c>
      <c r="Z136" s="77">
        <v>0</v>
      </c>
      <c r="AA136" s="77">
        <v>0</v>
      </c>
      <c r="AB136" s="77">
        <v>0</v>
      </c>
      <c r="AC136" s="77">
        <v>0</v>
      </c>
    </row>
    <row r="137" spans="1:29" s="73" customFormat="1" ht="43.9" customHeight="1" outlineLevel="1" x14ac:dyDescent="0.2">
      <c r="A137" s="97" t="s">
        <v>1212</v>
      </c>
      <c r="B137" s="95" t="s">
        <v>480</v>
      </c>
      <c r="C137" s="38">
        <f t="shared" ref="C137:C146" si="58">E137+J137+O137+T137+Y137</f>
        <v>0</v>
      </c>
      <c r="D137" s="55">
        <f t="shared" si="51"/>
        <v>0</v>
      </c>
      <c r="E137" s="96">
        <v>0</v>
      </c>
      <c r="F137" s="89">
        <f t="shared" si="52"/>
        <v>0</v>
      </c>
      <c r="G137" s="89">
        <v>0</v>
      </c>
      <c r="H137" s="55">
        <v>0</v>
      </c>
      <c r="I137" s="89">
        <v>0</v>
      </c>
      <c r="J137" s="38">
        <v>0</v>
      </c>
      <c r="K137" s="77">
        <f t="shared" si="53"/>
        <v>0</v>
      </c>
      <c r="L137" s="77">
        <v>0</v>
      </c>
      <c r="M137" s="77">
        <v>0</v>
      </c>
      <c r="N137" s="77">
        <v>0</v>
      </c>
      <c r="O137" s="76">
        <v>0</v>
      </c>
      <c r="P137" s="77">
        <f t="shared" si="54"/>
        <v>0</v>
      </c>
      <c r="Q137" s="77">
        <v>0</v>
      </c>
      <c r="R137" s="77">
        <v>0</v>
      </c>
      <c r="S137" s="77">
        <v>0</v>
      </c>
      <c r="T137" s="76">
        <v>0</v>
      </c>
      <c r="U137" s="77">
        <f t="shared" si="55"/>
        <v>0</v>
      </c>
      <c r="V137" s="77">
        <v>0</v>
      </c>
      <c r="W137" s="77">
        <v>0</v>
      </c>
      <c r="X137" s="77">
        <v>0</v>
      </c>
      <c r="Y137" s="76">
        <v>0</v>
      </c>
      <c r="Z137" s="77">
        <f t="shared" si="56"/>
        <v>0</v>
      </c>
      <c r="AA137" s="77">
        <v>0</v>
      </c>
      <c r="AB137" s="77">
        <v>0</v>
      </c>
      <c r="AC137" s="77">
        <v>0</v>
      </c>
    </row>
    <row r="138" spans="1:29" s="73" customFormat="1" ht="50.45" customHeight="1" outlineLevel="1" x14ac:dyDescent="0.2">
      <c r="A138" s="97" t="s">
        <v>1213</v>
      </c>
      <c r="B138" s="95" t="s">
        <v>58</v>
      </c>
      <c r="C138" s="38">
        <f t="shared" si="58"/>
        <v>0</v>
      </c>
      <c r="D138" s="55">
        <f t="shared" si="51"/>
        <v>0</v>
      </c>
      <c r="E138" s="96">
        <v>0</v>
      </c>
      <c r="F138" s="89">
        <f t="shared" si="52"/>
        <v>0</v>
      </c>
      <c r="G138" s="89">
        <v>0</v>
      </c>
      <c r="H138" s="55">
        <v>0</v>
      </c>
      <c r="I138" s="89">
        <v>0</v>
      </c>
      <c r="J138" s="38">
        <v>0</v>
      </c>
      <c r="K138" s="77">
        <f t="shared" si="53"/>
        <v>0</v>
      </c>
      <c r="L138" s="77">
        <v>0</v>
      </c>
      <c r="M138" s="77">
        <v>0</v>
      </c>
      <c r="N138" s="77">
        <v>0</v>
      </c>
      <c r="O138" s="76">
        <v>0</v>
      </c>
      <c r="P138" s="77">
        <f t="shared" si="54"/>
        <v>0</v>
      </c>
      <c r="Q138" s="77">
        <v>0</v>
      </c>
      <c r="R138" s="77">
        <v>0</v>
      </c>
      <c r="S138" s="77">
        <v>0</v>
      </c>
      <c r="T138" s="76">
        <v>0</v>
      </c>
      <c r="U138" s="77">
        <f t="shared" si="55"/>
        <v>0</v>
      </c>
      <c r="V138" s="77">
        <v>0</v>
      </c>
      <c r="W138" s="77">
        <v>0</v>
      </c>
      <c r="X138" s="77">
        <v>0</v>
      </c>
      <c r="Y138" s="76">
        <v>0</v>
      </c>
      <c r="Z138" s="77">
        <f t="shared" si="56"/>
        <v>0</v>
      </c>
      <c r="AA138" s="77">
        <v>0</v>
      </c>
      <c r="AB138" s="77">
        <v>0</v>
      </c>
      <c r="AC138" s="77">
        <v>0</v>
      </c>
    </row>
    <row r="139" spans="1:29" s="73" customFormat="1" ht="51.75" customHeight="1" outlineLevel="1" x14ac:dyDescent="0.2">
      <c r="A139" s="97" t="s">
        <v>1214</v>
      </c>
      <c r="B139" s="95" t="s">
        <v>59</v>
      </c>
      <c r="C139" s="38">
        <f t="shared" si="58"/>
        <v>0</v>
      </c>
      <c r="D139" s="55">
        <f t="shared" si="51"/>
        <v>0</v>
      </c>
      <c r="E139" s="96">
        <v>0</v>
      </c>
      <c r="F139" s="89">
        <f t="shared" si="52"/>
        <v>0</v>
      </c>
      <c r="G139" s="89">
        <v>0</v>
      </c>
      <c r="H139" s="55">
        <v>0</v>
      </c>
      <c r="I139" s="89">
        <v>0</v>
      </c>
      <c r="J139" s="38">
        <v>0</v>
      </c>
      <c r="K139" s="77">
        <f t="shared" si="53"/>
        <v>0</v>
      </c>
      <c r="L139" s="77">
        <v>0</v>
      </c>
      <c r="M139" s="77">
        <v>0</v>
      </c>
      <c r="N139" s="77">
        <v>0</v>
      </c>
      <c r="O139" s="76">
        <v>0</v>
      </c>
      <c r="P139" s="77">
        <f t="shared" si="54"/>
        <v>0</v>
      </c>
      <c r="Q139" s="77">
        <v>0</v>
      </c>
      <c r="R139" s="77">
        <v>0</v>
      </c>
      <c r="S139" s="77">
        <v>0</v>
      </c>
      <c r="T139" s="76">
        <v>0</v>
      </c>
      <c r="U139" s="77">
        <f t="shared" si="55"/>
        <v>0</v>
      </c>
      <c r="V139" s="77">
        <v>0</v>
      </c>
      <c r="W139" s="77">
        <v>0</v>
      </c>
      <c r="X139" s="77">
        <v>0</v>
      </c>
      <c r="Y139" s="76">
        <v>0</v>
      </c>
      <c r="Z139" s="77">
        <f t="shared" si="56"/>
        <v>0</v>
      </c>
      <c r="AA139" s="77">
        <v>0</v>
      </c>
      <c r="AB139" s="77">
        <v>0</v>
      </c>
      <c r="AC139" s="77">
        <v>0</v>
      </c>
    </row>
    <row r="140" spans="1:29" s="73" customFormat="1" ht="37.9" customHeight="1" outlineLevel="1" x14ac:dyDescent="0.2">
      <c r="A140" s="97" t="s">
        <v>1215</v>
      </c>
      <c r="B140" s="95" t="s">
        <v>60</v>
      </c>
      <c r="C140" s="38">
        <f t="shared" si="58"/>
        <v>0</v>
      </c>
      <c r="D140" s="55">
        <f t="shared" si="51"/>
        <v>0</v>
      </c>
      <c r="E140" s="96">
        <v>0</v>
      </c>
      <c r="F140" s="89">
        <f t="shared" si="52"/>
        <v>0</v>
      </c>
      <c r="G140" s="89">
        <v>0</v>
      </c>
      <c r="H140" s="55">
        <v>0</v>
      </c>
      <c r="I140" s="89">
        <v>0</v>
      </c>
      <c r="J140" s="38">
        <v>0</v>
      </c>
      <c r="K140" s="77">
        <f t="shared" si="53"/>
        <v>0</v>
      </c>
      <c r="L140" s="77">
        <v>0</v>
      </c>
      <c r="M140" s="77">
        <v>0</v>
      </c>
      <c r="N140" s="77">
        <v>0</v>
      </c>
      <c r="O140" s="76">
        <v>0</v>
      </c>
      <c r="P140" s="77">
        <f t="shared" si="54"/>
        <v>0</v>
      </c>
      <c r="Q140" s="77">
        <v>0</v>
      </c>
      <c r="R140" s="77">
        <v>0</v>
      </c>
      <c r="S140" s="77">
        <v>0</v>
      </c>
      <c r="T140" s="76">
        <v>0</v>
      </c>
      <c r="U140" s="77">
        <f t="shared" si="55"/>
        <v>0</v>
      </c>
      <c r="V140" s="77">
        <v>0</v>
      </c>
      <c r="W140" s="77">
        <v>0</v>
      </c>
      <c r="X140" s="77">
        <v>0</v>
      </c>
      <c r="Y140" s="76">
        <v>0</v>
      </c>
      <c r="Z140" s="77">
        <f t="shared" si="56"/>
        <v>0</v>
      </c>
      <c r="AA140" s="77">
        <v>0</v>
      </c>
      <c r="AB140" s="77">
        <v>0</v>
      </c>
      <c r="AC140" s="77">
        <v>0</v>
      </c>
    </row>
    <row r="141" spans="1:29" s="73" customFormat="1" ht="51.6" customHeight="1" outlineLevel="1" x14ac:dyDescent="0.2">
      <c r="A141" s="97" t="s">
        <v>1216</v>
      </c>
      <c r="B141" s="95" t="s">
        <v>61</v>
      </c>
      <c r="C141" s="38">
        <f t="shared" si="58"/>
        <v>0</v>
      </c>
      <c r="D141" s="55">
        <f t="shared" si="51"/>
        <v>0</v>
      </c>
      <c r="E141" s="96">
        <v>0</v>
      </c>
      <c r="F141" s="89">
        <f t="shared" si="52"/>
        <v>0</v>
      </c>
      <c r="G141" s="89">
        <v>0</v>
      </c>
      <c r="H141" s="55">
        <v>0</v>
      </c>
      <c r="I141" s="89">
        <v>0</v>
      </c>
      <c r="J141" s="38">
        <v>0</v>
      </c>
      <c r="K141" s="77">
        <f t="shared" si="53"/>
        <v>0</v>
      </c>
      <c r="L141" s="77">
        <v>0</v>
      </c>
      <c r="M141" s="77">
        <v>0</v>
      </c>
      <c r="N141" s="77">
        <v>0</v>
      </c>
      <c r="O141" s="76">
        <v>0</v>
      </c>
      <c r="P141" s="77">
        <f t="shared" si="54"/>
        <v>0</v>
      </c>
      <c r="Q141" s="77">
        <v>0</v>
      </c>
      <c r="R141" s="77">
        <v>0</v>
      </c>
      <c r="S141" s="77">
        <v>0</v>
      </c>
      <c r="T141" s="76">
        <v>0</v>
      </c>
      <c r="U141" s="77">
        <f t="shared" si="55"/>
        <v>0</v>
      </c>
      <c r="V141" s="77">
        <v>0</v>
      </c>
      <c r="W141" s="77">
        <v>0</v>
      </c>
      <c r="X141" s="77">
        <v>0</v>
      </c>
      <c r="Y141" s="76">
        <v>0</v>
      </c>
      <c r="Z141" s="77">
        <f t="shared" si="56"/>
        <v>0</v>
      </c>
      <c r="AA141" s="77">
        <v>0</v>
      </c>
      <c r="AB141" s="77">
        <v>0</v>
      </c>
      <c r="AC141" s="77">
        <v>0</v>
      </c>
    </row>
    <row r="142" spans="1:29" s="73" customFormat="1" ht="46.15" customHeight="1" outlineLevel="1" x14ac:dyDescent="0.2">
      <c r="A142" s="97" t="s">
        <v>1217</v>
      </c>
      <c r="B142" s="95" t="s">
        <v>481</v>
      </c>
      <c r="C142" s="38">
        <f t="shared" si="58"/>
        <v>0</v>
      </c>
      <c r="D142" s="55">
        <f t="shared" si="51"/>
        <v>0</v>
      </c>
      <c r="E142" s="96">
        <v>0</v>
      </c>
      <c r="F142" s="89">
        <f t="shared" si="52"/>
        <v>0</v>
      </c>
      <c r="G142" s="89">
        <v>0</v>
      </c>
      <c r="H142" s="55">
        <v>0</v>
      </c>
      <c r="I142" s="89">
        <v>0</v>
      </c>
      <c r="J142" s="38">
        <v>0</v>
      </c>
      <c r="K142" s="77">
        <f t="shared" si="53"/>
        <v>0</v>
      </c>
      <c r="L142" s="77">
        <v>0</v>
      </c>
      <c r="M142" s="77">
        <v>0</v>
      </c>
      <c r="N142" s="77">
        <v>0</v>
      </c>
      <c r="O142" s="76">
        <v>0</v>
      </c>
      <c r="P142" s="77">
        <f t="shared" si="54"/>
        <v>0</v>
      </c>
      <c r="Q142" s="77">
        <v>0</v>
      </c>
      <c r="R142" s="77">
        <v>0</v>
      </c>
      <c r="S142" s="77">
        <v>0</v>
      </c>
      <c r="T142" s="76">
        <v>0</v>
      </c>
      <c r="U142" s="77">
        <f t="shared" si="55"/>
        <v>0</v>
      </c>
      <c r="V142" s="77">
        <v>0</v>
      </c>
      <c r="W142" s="77">
        <v>0</v>
      </c>
      <c r="X142" s="77">
        <v>0</v>
      </c>
      <c r="Y142" s="76">
        <v>0</v>
      </c>
      <c r="Z142" s="77">
        <f t="shared" si="56"/>
        <v>0</v>
      </c>
      <c r="AA142" s="77">
        <v>0</v>
      </c>
      <c r="AB142" s="77">
        <v>0</v>
      </c>
      <c r="AC142" s="77">
        <v>0</v>
      </c>
    </row>
    <row r="143" spans="1:29" s="73" customFormat="1" ht="38.450000000000003" customHeight="1" outlineLevel="1" x14ac:dyDescent="0.2">
      <c r="A143" s="97" t="s">
        <v>1218</v>
      </c>
      <c r="B143" s="95" t="s">
        <v>62</v>
      </c>
      <c r="C143" s="38">
        <f t="shared" si="58"/>
        <v>0</v>
      </c>
      <c r="D143" s="55">
        <f t="shared" si="51"/>
        <v>0</v>
      </c>
      <c r="E143" s="96">
        <v>0</v>
      </c>
      <c r="F143" s="89">
        <f t="shared" si="52"/>
        <v>0</v>
      </c>
      <c r="G143" s="89">
        <v>0</v>
      </c>
      <c r="H143" s="55">
        <v>0</v>
      </c>
      <c r="I143" s="89">
        <v>0</v>
      </c>
      <c r="J143" s="38">
        <v>0</v>
      </c>
      <c r="K143" s="77">
        <f t="shared" si="53"/>
        <v>0</v>
      </c>
      <c r="L143" s="77">
        <v>0</v>
      </c>
      <c r="M143" s="77">
        <v>0</v>
      </c>
      <c r="N143" s="77">
        <v>0</v>
      </c>
      <c r="O143" s="76">
        <v>0</v>
      </c>
      <c r="P143" s="77">
        <f t="shared" si="54"/>
        <v>0</v>
      </c>
      <c r="Q143" s="77">
        <v>0</v>
      </c>
      <c r="R143" s="77">
        <v>0</v>
      </c>
      <c r="S143" s="77">
        <v>0</v>
      </c>
      <c r="T143" s="76">
        <v>0</v>
      </c>
      <c r="U143" s="77">
        <f t="shared" si="55"/>
        <v>0</v>
      </c>
      <c r="V143" s="77">
        <v>0</v>
      </c>
      <c r="W143" s="77">
        <v>0</v>
      </c>
      <c r="X143" s="77">
        <v>0</v>
      </c>
      <c r="Y143" s="76">
        <v>0</v>
      </c>
      <c r="Z143" s="77">
        <f t="shared" si="56"/>
        <v>0</v>
      </c>
      <c r="AA143" s="77">
        <v>0</v>
      </c>
      <c r="AB143" s="77">
        <v>0</v>
      </c>
      <c r="AC143" s="77">
        <v>0</v>
      </c>
    </row>
    <row r="144" spans="1:29" s="73" customFormat="1" ht="43.15" customHeight="1" outlineLevel="1" x14ac:dyDescent="0.2">
      <c r="A144" s="98" t="s">
        <v>1219</v>
      </c>
      <c r="B144" s="99" t="s">
        <v>63</v>
      </c>
      <c r="C144" s="38">
        <f t="shared" si="58"/>
        <v>0</v>
      </c>
      <c r="D144" s="55">
        <f t="shared" si="51"/>
        <v>0</v>
      </c>
      <c r="E144" s="96">
        <v>0</v>
      </c>
      <c r="F144" s="89">
        <f t="shared" si="52"/>
        <v>0</v>
      </c>
      <c r="G144" s="89">
        <v>0</v>
      </c>
      <c r="H144" s="55">
        <v>0</v>
      </c>
      <c r="I144" s="89">
        <v>0</v>
      </c>
      <c r="J144" s="38">
        <v>0</v>
      </c>
      <c r="K144" s="77">
        <f t="shared" si="53"/>
        <v>0</v>
      </c>
      <c r="L144" s="77">
        <v>0</v>
      </c>
      <c r="M144" s="77">
        <v>0</v>
      </c>
      <c r="N144" s="77">
        <v>0</v>
      </c>
      <c r="O144" s="76">
        <v>0</v>
      </c>
      <c r="P144" s="77">
        <f t="shared" si="54"/>
        <v>0</v>
      </c>
      <c r="Q144" s="77">
        <v>0</v>
      </c>
      <c r="R144" s="77">
        <v>0</v>
      </c>
      <c r="S144" s="77">
        <v>0</v>
      </c>
      <c r="T144" s="76">
        <v>0</v>
      </c>
      <c r="U144" s="77">
        <f t="shared" si="55"/>
        <v>0</v>
      </c>
      <c r="V144" s="77">
        <v>0</v>
      </c>
      <c r="W144" s="77">
        <v>0</v>
      </c>
      <c r="X144" s="77">
        <v>0</v>
      </c>
      <c r="Y144" s="76">
        <v>0</v>
      </c>
      <c r="Z144" s="77">
        <f t="shared" si="56"/>
        <v>0</v>
      </c>
      <c r="AA144" s="77">
        <v>0</v>
      </c>
      <c r="AB144" s="77">
        <v>0</v>
      </c>
      <c r="AC144" s="77">
        <v>0</v>
      </c>
    </row>
    <row r="145" spans="1:30" s="73" customFormat="1" ht="41.45" customHeight="1" outlineLevel="1" x14ac:dyDescent="0.2">
      <c r="A145" s="97" t="s">
        <v>1220</v>
      </c>
      <c r="B145" s="95" t="s">
        <v>482</v>
      </c>
      <c r="C145" s="38">
        <f t="shared" si="58"/>
        <v>0</v>
      </c>
      <c r="D145" s="55">
        <f t="shared" si="51"/>
        <v>0</v>
      </c>
      <c r="E145" s="96">
        <v>0</v>
      </c>
      <c r="F145" s="89">
        <f t="shared" si="52"/>
        <v>0</v>
      </c>
      <c r="G145" s="89">
        <v>0</v>
      </c>
      <c r="H145" s="55">
        <v>0</v>
      </c>
      <c r="I145" s="89">
        <v>0</v>
      </c>
      <c r="J145" s="38">
        <v>0</v>
      </c>
      <c r="K145" s="77">
        <f t="shared" si="53"/>
        <v>0</v>
      </c>
      <c r="L145" s="77">
        <v>0</v>
      </c>
      <c r="M145" s="77">
        <v>0</v>
      </c>
      <c r="N145" s="77">
        <v>0</v>
      </c>
      <c r="O145" s="76">
        <v>0</v>
      </c>
      <c r="P145" s="77">
        <f t="shared" si="54"/>
        <v>0</v>
      </c>
      <c r="Q145" s="77">
        <v>0</v>
      </c>
      <c r="R145" s="77">
        <v>0</v>
      </c>
      <c r="S145" s="77">
        <v>0</v>
      </c>
      <c r="T145" s="76">
        <v>0</v>
      </c>
      <c r="U145" s="77">
        <f t="shared" si="55"/>
        <v>0</v>
      </c>
      <c r="V145" s="77">
        <v>0</v>
      </c>
      <c r="W145" s="77">
        <v>0</v>
      </c>
      <c r="X145" s="77">
        <v>0</v>
      </c>
      <c r="Y145" s="76">
        <v>0</v>
      </c>
      <c r="Z145" s="77">
        <f t="shared" si="56"/>
        <v>0</v>
      </c>
      <c r="AA145" s="77">
        <v>0</v>
      </c>
      <c r="AB145" s="77">
        <v>0</v>
      </c>
      <c r="AC145" s="77">
        <v>0</v>
      </c>
    </row>
    <row r="146" spans="1:30" s="73" customFormat="1" ht="40.15" customHeight="1" outlineLevel="1" x14ac:dyDescent="0.2">
      <c r="A146" s="97" t="s">
        <v>1221</v>
      </c>
      <c r="B146" s="95" t="s">
        <v>64</v>
      </c>
      <c r="C146" s="38">
        <f t="shared" si="58"/>
        <v>0</v>
      </c>
      <c r="D146" s="55">
        <f t="shared" si="51"/>
        <v>0</v>
      </c>
      <c r="E146" s="96">
        <v>0</v>
      </c>
      <c r="F146" s="89">
        <f t="shared" si="52"/>
        <v>0</v>
      </c>
      <c r="G146" s="89">
        <v>0</v>
      </c>
      <c r="H146" s="55">
        <v>0</v>
      </c>
      <c r="I146" s="89">
        <v>0</v>
      </c>
      <c r="J146" s="38">
        <v>0</v>
      </c>
      <c r="K146" s="77">
        <f t="shared" si="53"/>
        <v>0</v>
      </c>
      <c r="L146" s="77">
        <v>0</v>
      </c>
      <c r="M146" s="77">
        <v>0</v>
      </c>
      <c r="N146" s="77">
        <v>0</v>
      </c>
      <c r="O146" s="76">
        <v>0</v>
      </c>
      <c r="P146" s="77">
        <f t="shared" si="54"/>
        <v>0</v>
      </c>
      <c r="Q146" s="77">
        <v>0</v>
      </c>
      <c r="R146" s="77">
        <v>0</v>
      </c>
      <c r="S146" s="77">
        <v>0</v>
      </c>
      <c r="T146" s="76">
        <v>0</v>
      </c>
      <c r="U146" s="77">
        <f t="shared" si="55"/>
        <v>0</v>
      </c>
      <c r="V146" s="77">
        <v>0</v>
      </c>
      <c r="W146" s="77">
        <v>0</v>
      </c>
      <c r="X146" s="77">
        <v>0</v>
      </c>
      <c r="Y146" s="76">
        <v>0</v>
      </c>
      <c r="Z146" s="77">
        <f t="shared" si="56"/>
        <v>0</v>
      </c>
      <c r="AA146" s="77">
        <v>0</v>
      </c>
      <c r="AB146" s="77">
        <v>0</v>
      </c>
      <c r="AC146" s="77">
        <v>0</v>
      </c>
    </row>
    <row r="147" spans="1:30" s="73" customFormat="1" ht="39" customHeight="1" outlineLevel="1" x14ac:dyDescent="0.2">
      <c r="A147" s="97" t="s">
        <v>1222</v>
      </c>
      <c r="B147" s="95" t="s">
        <v>65</v>
      </c>
      <c r="C147" s="38">
        <f>E147+J147+O147+Y147+T147</f>
        <v>0</v>
      </c>
      <c r="D147" s="55">
        <f>F147+K147+P147+Z147+U147</f>
        <v>0</v>
      </c>
      <c r="E147" s="96">
        <v>0</v>
      </c>
      <c r="F147" s="89">
        <f t="shared" si="52"/>
        <v>0</v>
      </c>
      <c r="G147" s="89">
        <v>0</v>
      </c>
      <c r="H147" s="55">
        <v>0</v>
      </c>
      <c r="I147" s="89">
        <v>0</v>
      </c>
      <c r="J147" s="38">
        <v>0</v>
      </c>
      <c r="K147" s="77">
        <f t="shared" si="53"/>
        <v>0</v>
      </c>
      <c r="L147" s="77">
        <v>0</v>
      </c>
      <c r="M147" s="77">
        <v>0</v>
      </c>
      <c r="N147" s="77">
        <v>0</v>
      </c>
      <c r="O147" s="76">
        <v>0</v>
      </c>
      <c r="P147" s="77">
        <f t="shared" si="54"/>
        <v>0</v>
      </c>
      <c r="Q147" s="77">
        <v>0</v>
      </c>
      <c r="R147" s="77">
        <v>0</v>
      </c>
      <c r="S147" s="77">
        <v>0</v>
      </c>
      <c r="T147" s="76">
        <v>0</v>
      </c>
      <c r="U147" s="77">
        <f t="shared" si="55"/>
        <v>0</v>
      </c>
      <c r="V147" s="77">
        <v>0</v>
      </c>
      <c r="W147" s="77">
        <v>0</v>
      </c>
      <c r="X147" s="77">
        <v>0</v>
      </c>
      <c r="Y147" s="76">
        <v>0</v>
      </c>
      <c r="Z147" s="77">
        <f t="shared" ref="Z147:Z153" si="59">AA147+AB147+AC147</f>
        <v>0</v>
      </c>
      <c r="AA147" s="77">
        <v>0</v>
      </c>
      <c r="AB147" s="77">
        <v>0</v>
      </c>
      <c r="AC147" s="77">
        <v>0</v>
      </c>
    </row>
    <row r="148" spans="1:30" s="73" customFormat="1" ht="33" customHeight="1" outlineLevel="1" x14ac:dyDescent="0.2">
      <c r="A148" s="97" t="s">
        <v>1223</v>
      </c>
      <c r="B148" s="95" t="s">
        <v>66</v>
      </c>
      <c r="C148" s="38">
        <f t="shared" ref="C148:C153" si="60">E148+J148+O148+Y148+T148</f>
        <v>0</v>
      </c>
      <c r="D148" s="55">
        <f t="shared" ref="D148:D154" si="61">F148+K148+P148+Z148+U148</f>
        <v>0</v>
      </c>
      <c r="E148" s="96">
        <v>0</v>
      </c>
      <c r="F148" s="89">
        <f t="shared" si="52"/>
        <v>0</v>
      </c>
      <c r="G148" s="89">
        <v>0</v>
      </c>
      <c r="H148" s="55">
        <v>0</v>
      </c>
      <c r="I148" s="89">
        <v>0</v>
      </c>
      <c r="J148" s="38">
        <v>0</v>
      </c>
      <c r="K148" s="77">
        <f t="shared" si="53"/>
        <v>0</v>
      </c>
      <c r="L148" s="77">
        <v>0</v>
      </c>
      <c r="M148" s="77">
        <v>0</v>
      </c>
      <c r="N148" s="77">
        <v>0</v>
      </c>
      <c r="O148" s="76">
        <v>0</v>
      </c>
      <c r="P148" s="77">
        <f t="shared" si="54"/>
        <v>0</v>
      </c>
      <c r="Q148" s="77">
        <v>0</v>
      </c>
      <c r="R148" s="77">
        <v>0</v>
      </c>
      <c r="S148" s="77">
        <v>0</v>
      </c>
      <c r="T148" s="76">
        <v>0</v>
      </c>
      <c r="U148" s="77">
        <f t="shared" si="55"/>
        <v>0</v>
      </c>
      <c r="V148" s="77">
        <v>0</v>
      </c>
      <c r="W148" s="77">
        <v>0</v>
      </c>
      <c r="X148" s="77">
        <v>0</v>
      </c>
      <c r="Y148" s="76">
        <v>0</v>
      </c>
      <c r="Z148" s="77">
        <f t="shared" si="59"/>
        <v>0</v>
      </c>
      <c r="AA148" s="77">
        <v>0</v>
      </c>
      <c r="AB148" s="77">
        <v>0</v>
      </c>
      <c r="AC148" s="77">
        <v>0</v>
      </c>
    </row>
    <row r="149" spans="1:30" s="73" customFormat="1" ht="47.45" customHeight="1" outlineLevel="1" x14ac:dyDescent="0.2">
      <c r="A149" s="97" t="s">
        <v>1224</v>
      </c>
      <c r="B149" s="95" t="s">
        <v>67</v>
      </c>
      <c r="C149" s="38">
        <f t="shared" si="60"/>
        <v>0</v>
      </c>
      <c r="D149" s="55">
        <f t="shared" si="61"/>
        <v>0</v>
      </c>
      <c r="E149" s="96">
        <v>0</v>
      </c>
      <c r="F149" s="89">
        <f t="shared" si="52"/>
        <v>0</v>
      </c>
      <c r="G149" s="89">
        <v>0</v>
      </c>
      <c r="H149" s="55">
        <v>0</v>
      </c>
      <c r="I149" s="89">
        <v>0</v>
      </c>
      <c r="J149" s="38">
        <v>0</v>
      </c>
      <c r="K149" s="77">
        <f t="shared" si="53"/>
        <v>0</v>
      </c>
      <c r="L149" s="77">
        <v>0</v>
      </c>
      <c r="M149" s="77">
        <v>0</v>
      </c>
      <c r="N149" s="77">
        <v>0</v>
      </c>
      <c r="O149" s="76">
        <v>0</v>
      </c>
      <c r="P149" s="77">
        <f t="shared" si="54"/>
        <v>0</v>
      </c>
      <c r="Q149" s="77">
        <v>0</v>
      </c>
      <c r="R149" s="77">
        <v>0</v>
      </c>
      <c r="S149" s="77">
        <v>0</v>
      </c>
      <c r="T149" s="76">
        <v>0</v>
      </c>
      <c r="U149" s="77">
        <f t="shared" si="55"/>
        <v>0</v>
      </c>
      <c r="V149" s="77">
        <v>0</v>
      </c>
      <c r="W149" s="77">
        <v>0</v>
      </c>
      <c r="X149" s="77">
        <v>0</v>
      </c>
      <c r="Y149" s="76">
        <v>0</v>
      </c>
      <c r="Z149" s="77">
        <f t="shared" si="59"/>
        <v>0</v>
      </c>
      <c r="AA149" s="77">
        <v>0</v>
      </c>
      <c r="AB149" s="77">
        <v>0</v>
      </c>
      <c r="AC149" s="77">
        <v>0</v>
      </c>
    </row>
    <row r="150" spans="1:30" s="73" customFormat="1" ht="32.450000000000003" customHeight="1" outlineLevel="1" x14ac:dyDescent="0.2">
      <c r="A150" s="97" t="s">
        <v>1225</v>
      </c>
      <c r="B150" s="95" t="s">
        <v>68</v>
      </c>
      <c r="C150" s="38">
        <f t="shared" si="60"/>
        <v>0</v>
      </c>
      <c r="D150" s="55">
        <f t="shared" si="61"/>
        <v>0</v>
      </c>
      <c r="E150" s="96">
        <v>0</v>
      </c>
      <c r="F150" s="89">
        <f t="shared" si="52"/>
        <v>0</v>
      </c>
      <c r="G150" s="89">
        <v>0</v>
      </c>
      <c r="H150" s="55">
        <v>0</v>
      </c>
      <c r="I150" s="89">
        <v>0</v>
      </c>
      <c r="J150" s="38">
        <v>0</v>
      </c>
      <c r="K150" s="77">
        <f t="shared" si="53"/>
        <v>0</v>
      </c>
      <c r="L150" s="77">
        <v>0</v>
      </c>
      <c r="M150" s="77">
        <v>0</v>
      </c>
      <c r="N150" s="77">
        <v>0</v>
      </c>
      <c r="O150" s="76">
        <v>0</v>
      </c>
      <c r="P150" s="77">
        <f t="shared" si="54"/>
        <v>0</v>
      </c>
      <c r="Q150" s="77">
        <v>0</v>
      </c>
      <c r="R150" s="77">
        <v>0</v>
      </c>
      <c r="S150" s="77">
        <v>0</v>
      </c>
      <c r="T150" s="76">
        <v>0</v>
      </c>
      <c r="U150" s="77">
        <f t="shared" si="55"/>
        <v>0</v>
      </c>
      <c r="V150" s="77">
        <v>0</v>
      </c>
      <c r="W150" s="77">
        <v>0</v>
      </c>
      <c r="X150" s="77">
        <v>0</v>
      </c>
      <c r="Y150" s="76">
        <v>0</v>
      </c>
      <c r="Z150" s="77">
        <f t="shared" si="59"/>
        <v>0</v>
      </c>
      <c r="AA150" s="77">
        <v>0</v>
      </c>
      <c r="AB150" s="77">
        <v>0</v>
      </c>
      <c r="AC150" s="77">
        <v>0</v>
      </c>
      <c r="AD150" s="80"/>
    </row>
    <row r="151" spans="1:30" s="73" customFormat="1" ht="27" customHeight="1" outlineLevel="1" x14ac:dyDescent="0.2">
      <c r="A151" s="97" t="s">
        <v>1226</v>
      </c>
      <c r="B151" s="95" t="s">
        <v>69</v>
      </c>
      <c r="C151" s="38">
        <f t="shared" si="60"/>
        <v>0</v>
      </c>
      <c r="D151" s="55">
        <f t="shared" si="61"/>
        <v>0</v>
      </c>
      <c r="E151" s="96">
        <v>0</v>
      </c>
      <c r="F151" s="89">
        <f t="shared" si="52"/>
        <v>0</v>
      </c>
      <c r="G151" s="89">
        <v>0</v>
      </c>
      <c r="H151" s="55">
        <v>0</v>
      </c>
      <c r="I151" s="89">
        <v>0</v>
      </c>
      <c r="J151" s="38">
        <v>0</v>
      </c>
      <c r="K151" s="77">
        <f t="shared" si="53"/>
        <v>0</v>
      </c>
      <c r="L151" s="77">
        <v>0</v>
      </c>
      <c r="M151" s="77">
        <v>0</v>
      </c>
      <c r="N151" s="77">
        <v>0</v>
      </c>
      <c r="O151" s="76">
        <v>0</v>
      </c>
      <c r="P151" s="77">
        <f t="shared" si="54"/>
        <v>0</v>
      </c>
      <c r="Q151" s="77">
        <v>0</v>
      </c>
      <c r="R151" s="77">
        <v>0</v>
      </c>
      <c r="S151" s="77">
        <v>0</v>
      </c>
      <c r="T151" s="76">
        <v>0</v>
      </c>
      <c r="U151" s="77">
        <f t="shared" si="55"/>
        <v>0</v>
      </c>
      <c r="V151" s="77">
        <v>0</v>
      </c>
      <c r="W151" s="77">
        <v>0</v>
      </c>
      <c r="X151" s="77">
        <v>0</v>
      </c>
      <c r="Y151" s="76">
        <v>0</v>
      </c>
      <c r="Z151" s="77">
        <f t="shared" si="59"/>
        <v>0</v>
      </c>
      <c r="AA151" s="77">
        <v>0</v>
      </c>
      <c r="AB151" s="77">
        <v>0</v>
      </c>
      <c r="AC151" s="77">
        <v>0</v>
      </c>
      <c r="AD151" s="80"/>
    </row>
    <row r="152" spans="1:30" s="80" customFormat="1" ht="34.15" customHeight="1" outlineLevel="1" x14ac:dyDescent="0.2">
      <c r="A152" s="97" t="s">
        <v>1227</v>
      </c>
      <c r="B152" s="95" t="s">
        <v>70</v>
      </c>
      <c r="C152" s="38">
        <f t="shared" si="60"/>
        <v>0</v>
      </c>
      <c r="D152" s="55">
        <f t="shared" si="61"/>
        <v>0</v>
      </c>
      <c r="E152" s="96">
        <v>0</v>
      </c>
      <c r="F152" s="89">
        <f t="shared" si="52"/>
        <v>0</v>
      </c>
      <c r="G152" s="89">
        <v>0</v>
      </c>
      <c r="H152" s="55">
        <v>0</v>
      </c>
      <c r="I152" s="89">
        <v>0</v>
      </c>
      <c r="J152" s="38">
        <v>0</v>
      </c>
      <c r="K152" s="77">
        <f t="shared" si="53"/>
        <v>0</v>
      </c>
      <c r="L152" s="77">
        <v>0</v>
      </c>
      <c r="M152" s="77">
        <v>0</v>
      </c>
      <c r="N152" s="77">
        <v>0</v>
      </c>
      <c r="O152" s="76">
        <v>0</v>
      </c>
      <c r="P152" s="77">
        <f t="shared" si="54"/>
        <v>0</v>
      </c>
      <c r="Q152" s="77">
        <v>0</v>
      </c>
      <c r="R152" s="77">
        <v>0</v>
      </c>
      <c r="S152" s="77">
        <v>0</v>
      </c>
      <c r="T152" s="76">
        <v>0</v>
      </c>
      <c r="U152" s="77">
        <f t="shared" si="55"/>
        <v>0</v>
      </c>
      <c r="V152" s="77">
        <v>0</v>
      </c>
      <c r="W152" s="77">
        <v>0</v>
      </c>
      <c r="X152" s="77">
        <v>0</v>
      </c>
      <c r="Y152" s="79">
        <v>0</v>
      </c>
      <c r="Z152" s="77">
        <f t="shared" si="59"/>
        <v>0</v>
      </c>
      <c r="AA152" s="78">
        <v>0</v>
      </c>
      <c r="AB152" s="77">
        <v>0</v>
      </c>
      <c r="AC152" s="77">
        <v>0</v>
      </c>
    </row>
    <row r="153" spans="1:30" s="80" customFormat="1" ht="30.6" customHeight="1" outlineLevel="1" x14ac:dyDescent="0.2">
      <c r="A153" s="74" t="s">
        <v>1228</v>
      </c>
      <c r="B153" s="95" t="s">
        <v>71</v>
      </c>
      <c r="C153" s="38">
        <f t="shared" si="60"/>
        <v>0</v>
      </c>
      <c r="D153" s="55">
        <f t="shared" si="61"/>
        <v>0</v>
      </c>
      <c r="E153" s="96">
        <v>0</v>
      </c>
      <c r="F153" s="89">
        <f t="shared" si="52"/>
        <v>0</v>
      </c>
      <c r="G153" s="89">
        <v>0</v>
      </c>
      <c r="H153" s="55">
        <v>0</v>
      </c>
      <c r="I153" s="89">
        <v>0</v>
      </c>
      <c r="J153" s="38">
        <v>0</v>
      </c>
      <c r="K153" s="77">
        <f t="shared" si="53"/>
        <v>0</v>
      </c>
      <c r="L153" s="77">
        <v>0</v>
      </c>
      <c r="M153" s="77">
        <v>0</v>
      </c>
      <c r="N153" s="77">
        <v>0</v>
      </c>
      <c r="O153" s="76">
        <v>0</v>
      </c>
      <c r="P153" s="77">
        <f t="shared" si="54"/>
        <v>0</v>
      </c>
      <c r="Q153" s="77">
        <v>0</v>
      </c>
      <c r="R153" s="77">
        <v>0</v>
      </c>
      <c r="S153" s="77">
        <v>0</v>
      </c>
      <c r="T153" s="76">
        <v>0</v>
      </c>
      <c r="U153" s="77">
        <f t="shared" si="55"/>
        <v>0</v>
      </c>
      <c r="V153" s="77">
        <v>0</v>
      </c>
      <c r="W153" s="77">
        <v>0</v>
      </c>
      <c r="X153" s="77">
        <v>0</v>
      </c>
      <c r="Y153" s="79">
        <v>0</v>
      </c>
      <c r="Z153" s="77">
        <f t="shared" si="59"/>
        <v>0</v>
      </c>
      <c r="AA153" s="78">
        <v>0</v>
      </c>
      <c r="AB153" s="77">
        <v>0</v>
      </c>
      <c r="AC153" s="77">
        <v>0</v>
      </c>
    </row>
    <row r="154" spans="1:30" s="100" customFormat="1" ht="30" customHeight="1" outlineLevel="1" x14ac:dyDescent="0.2">
      <c r="A154" s="74" t="s">
        <v>1229</v>
      </c>
      <c r="B154" s="91" t="s">
        <v>14</v>
      </c>
      <c r="C154" s="38">
        <f t="shared" ref="C154:C161" si="62">E154+J154+O154+T154+Y154</f>
        <v>0</v>
      </c>
      <c r="D154" s="55">
        <f t="shared" si="61"/>
        <v>0</v>
      </c>
      <c r="E154" s="51">
        <v>0</v>
      </c>
      <c r="F154" s="89">
        <f t="shared" si="52"/>
        <v>0</v>
      </c>
      <c r="G154" s="89">
        <v>0</v>
      </c>
      <c r="H154" s="52">
        <v>0</v>
      </c>
      <c r="I154" s="89">
        <v>0</v>
      </c>
      <c r="J154" s="38">
        <v>0</v>
      </c>
      <c r="K154" s="77">
        <f t="shared" si="53"/>
        <v>0</v>
      </c>
      <c r="L154" s="77">
        <v>0</v>
      </c>
      <c r="M154" s="77">
        <v>0</v>
      </c>
      <c r="N154" s="77">
        <v>0</v>
      </c>
      <c r="O154" s="76">
        <v>0</v>
      </c>
      <c r="P154" s="77">
        <f t="shared" si="54"/>
        <v>0</v>
      </c>
      <c r="Q154" s="77">
        <v>0</v>
      </c>
      <c r="R154" s="77">
        <v>0</v>
      </c>
      <c r="S154" s="77">
        <v>0</v>
      </c>
      <c r="T154" s="76">
        <v>0</v>
      </c>
      <c r="U154" s="77">
        <f t="shared" si="55"/>
        <v>0</v>
      </c>
      <c r="V154" s="77">
        <v>0</v>
      </c>
      <c r="W154" s="77">
        <v>0</v>
      </c>
      <c r="X154" s="77">
        <v>0</v>
      </c>
      <c r="Y154" s="76">
        <v>0</v>
      </c>
      <c r="Z154" s="77">
        <f t="shared" si="56"/>
        <v>0</v>
      </c>
      <c r="AA154" s="77">
        <v>0</v>
      </c>
      <c r="AB154" s="77">
        <v>0</v>
      </c>
      <c r="AC154" s="77">
        <v>0</v>
      </c>
    </row>
    <row r="155" spans="1:30" s="80" customFormat="1" ht="30.6" customHeight="1" outlineLevel="1" x14ac:dyDescent="0.2">
      <c r="A155" s="74" t="s">
        <v>1230</v>
      </c>
      <c r="B155" s="91" t="s">
        <v>15</v>
      </c>
      <c r="C155" s="38">
        <f t="shared" si="62"/>
        <v>0</v>
      </c>
      <c r="D155" s="55">
        <f t="shared" si="51"/>
        <v>0</v>
      </c>
      <c r="E155" s="51">
        <v>0</v>
      </c>
      <c r="F155" s="89">
        <f t="shared" si="52"/>
        <v>0</v>
      </c>
      <c r="G155" s="89">
        <v>0</v>
      </c>
      <c r="H155" s="52">
        <v>0</v>
      </c>
      <c r="I155" s="89">
        <v>0</v>
      </c>
      <c r="J155" s="38">
        <v>0</v>
      </c>
      <c r="K155" s="77">
        <f t="shared" si="53"/>
        <v>0</v>
      </c>
      <c r="L155" s="77">
        <v>0</v>
      </c>
      <c r="M155" s="77">
        <v>0</v>
      </c>
      <c r="N155" s="77">
        <v>0</v>
      </c>
      <c r="O155" s="76">
        <v>0</v>
      </c>
      <c r="P155" s="77">
        <f t="shared" si="54"/>
        <v>0</v>
      </c>
      <c r="Q155" s="77">
        <v>0</v>
      </c>
      <c r="R155" s="77">
        <v>0</v>
      </c>
      <c r="S155" s="77">
        <v>0</v>
      </c>
      <c r="T155" s="76">
        <v>0</v>
      </c>
      <c r="U155" s="77">
        <f t="shared" si="55"/>
        <v>0</v>
      </c>
      <c r="V155" s="77">
        <v>0</v>
      </c>
      <c r="W155" s="77">
        <v>0</v>
      </c>
      <c r="X155" s="77">
        <v>0</v>
      </c>
      <c r="Y155" s="76">
        <v>0</v>
      </c>
      <c r="Z155" s="77">
        <f t="shared" si="56"/>
        <v>0</v>
      </c>
      <c r="AA155" s="77">
        <v>0</v>
      </c>
      <c r="AB155" s="77">
        <v>0</v>
      </c>
      <c r="AC155" s="77">
        <v>0</v>
      </c>
    </row>
    <row r="156" spans="1:30" s="80" customFormat="1" ht="43.15" customHeight="1" outlineLevel="1" x14ac:dyDescent="0.2">
      <c r="A156" s="74" t="s">
        <v>1231</v>
      </c>
      <c r="B156" s="91" t="s">
        <v>483</v>
      </c>
      <c r="C156" s="38">
        <f t="shared" si="62"/>
        <v>0</v>
      </c>
      <c r="D156" s="55">
        <f t="shared" si="51"/>
        <v>0</v>
      </c>
      <c r="E156" s="51">
        <v>0</v>
      </c>
      <c r="F156" s="89">
        <f t="shared" si="52"/>
        <v>0</v>
      </c>
      <c r="G156" s="89">
        <v>0</v>
      </c>
      <c r="H156" s="52">
        <v>0</v>
      </c>
      <c r="I156" s="89">
        <v>0</v>
      </c>
      <c r="J156" s="38">
        <v>0</v>
      </c>
      <c r="K156" s="77">
        <f t="shared" si="53"/>
        <v>0</v>
      </c>
      <c r="L156" s="77">
        <v>0</v>
      </c>
      <c r="M156" s="77">
        <v>0</v>
      </c>
      <c r="N156" s="77">
        <v>0</v>
      </c>
      <c r="O156" s="76">
        <v>0</v>
      </c>
      <c r="P156" s="77">
        <f t="shared" si="54"/>
        <v>0</v>
      </c>
      <c r="Q156" s="77">
        <v>0</v>
      </c>
      <c r="R156" s="77">
        <v>0</v>
      </c>
      <c r="S156" s="77">
        <v>0</v>
      </c>
      <c r="T156" s="76">
        <v>0</v>
      </c>
      <c r="U156" s="77">
        <f t="shared" si="55"/>
        <v>0</v>
      </c>
      <c r="V156" s="77">
        <v>0</v>
      </c>
      <c r="W156" s="77">
        <v>0</v>
      </c>
      <c r="X156" s="77">
        <v>0</v>
      </c>
      <c r="Y156" s="76">
        <v>0</v>
      </c>
      <c r="Z156" s="77">
        <f t="shared" si="56"/>
        <v>0</v>
      </c>
      <c r="AA156" s="77">
        <v>0</v>
      </c>
      <c r="AB156" s="77">
        <v>0</v>
      </c>
      <c r="AC156" s="77">
        <v>0</v>
      </c>
    </row>
    <row r="157" spans="1:30" s="80" customFormat="1" ht="72.599999999999994" customHeight="1" outlineLevel="1" x14ac:dyDescent="0.2">
      <c r="A157" s="74" t="s">
        <v>1232</v>
      </c>
      <c r="B157" s="91" t="s">
        <v>16</v>
      </c>
      <c r="C157" s="38">
        <f t="shared" si="62"/>
        <v>0</v>
      </c>
      <c r="D157" s="55">
        <f t="shared" si="51"/>
        <v>0</v>
      </c>
      <c r="E157" s="51">
        <v>0</v>
      </c>
      <c r="F157" s="89">
        <f t="shared" si="52"/>
        <v>0</v>
      </c>
      <c r="G157" s="89">
        <v>0</v>
      </c>
      <c r="H157" s="52">
        <v>0</v>
      </c>
      <c r="I157" s="89">
        <v>0</v>
      </c>
      <c r="J157" s="38">
        <v>0</v>
      </c>
      <c r="K157" s="77">
        <f t="shared" si="53"/>
        <v>0</v>
      </c>
      <c r="L157" s="77">
        <v>0</v>
      </c>
      <c r="M157" s="77">
        <v>0</v>
      </c>
      <c r="N157" s="77">
        <v>0</v>
      </c>
      <c r="O157" s="76">
        <v>0</v>
      </c>
      <c r="P157" s="77">
        <f t="shared" si="54"/>
        <v>0</v>
      </c>
      <c r="Q157" s="77">
        <v>0</v>
      </c>
      <c r="R157" s="77">
        <v>0</v>
      </c>
      <c r="S157" s="77">
        <v>0</v>
      </c>
      <c r="T157" s="76">
        <v>0</v>
      </c>
      <c r="U157" s="77">
        <f t="shared" si="55"/>
        <v>0</v>
      </c>
      <c r="V157" s="77">
        <v>0</v>
      </c>
      <c r="W157" s="77">
        <v>0</v>
      </c>
      <c r="X157" s="77">
        <v>0</v>
      </c>
      <c r="Y157" s="76">
        <v>0</v>
      </c>
      <c r="Z157" s="77">
        <f t="shared" si="56"/>
        <v>0</v>
      </c>
      <c r="AA157" s="77">
        <v>0</v>
      </c>
      <c r="AB157" s="77">
        <v>0</v>
      </c>
      <c r="AC157" s="77">
        <v>0</v>
      </c>
    </row>
    <row r="158" spans="1:30" s="80" customFormat="1" ht="30.6" customHeight="1" outlineLevel="1" x14ac:dyDescent="0.2">
      <c r="A158" s="74" t="s">
        <v>1233</v>
      </c>
      <c r="B158" s="91" t="s">
        <v>17</v>
      </c>
      <c r="C158" s="38">
        <f t="shared" si="62"/>
        <v>0</v>
      </c>
      <c r="D158" s="55">
        <f t="shared" si="51"/>
        <v>0</v>
      </c>
      <c r="E158" s="51">
        <v>0</v>
      </c>
      <c r="F158" s="89">
        <f t="shared" si="52"/>
        <v>0</v>
      </c>
      <c r="G158" s="89">
        <v>0</v>
      </c>
      <c r="H158" s="52">
        <v>0</v>
      </c>
      <c r="I158" s="89">
        <v>0</v>
      </c>
      <c r="J158" s="38">
        <v>0</v>
      </c>
      <c r="K158" s="77">
        <f t="shared" si="53"/>
        <v>0</v>
      </c>
      <c r="L158" s="77">
        <v>0</v>
      </c>
      <c r="M158" s="77">
        <v>0</v>
      </c>
      <c r="N158" s="77">
        <v>0</v>
      </c>
      <c r="O158" s="76">
        <v>0</v>
      </c>
      <c r="P158" s="77">
        <f t="shared" si="54"/>
        <v>0</v>
      </c>
      <c r="Q158" s="77">
        <v>0</v>
      </c>
      <c r="R158" s="77">
        <v>0</v>
      </c>
      <c r="S158" s="77">
        <v>0</v>
      </c>
      <c r="T158" s="76">
        <v>0</v>
      </c>
      <c r="U158" s="77">
        <f t="shared" si="55"/>
        <v>0</v>
      </c>
      <c r="V158" s="77">
        <v>0</v>
      </c>
      <c r="W158" s="77">
        <v>0</v>
      </c>
      <c r="X158" s="77">
        <v>0</v>
      </c>
      <c r="Y158" s="76">
        <v>0</v>
      </c>
      <c r="Z158" s="77">
        <f t="shared" si="56"/>
        <v>0</v>
      </c>
      <c r="AA158" s="77">
        <v>0</v>
      </c>
      <c r="AB158" s="77">
        <v>0</v>
      </c>
      <c r="AC158" s="77">
        <v>0</v>
      </c>
    </row>
    <row r="159" spans="1:30" s="80" customFormat="1" ht="42" customHeight="1" outlineLevel="1" x14ac:dyDescent="0.2">
      <c r="A159" s="74" t="s">
        <v>1234</v>
      </c>
      <c r="B159" s="91" t="s">
        <v>18</v>
      </c>
      <c r="C159" s="38">
        <f t="shared" si="62"/>
        <v>0</v>
      </c>
      <c r="D159" s="55">
        <f t="shared" si="51"/>
        <v>0</v>
      </c>
      <c r="E159" s="51">
        <v>0</v>
      </c>
      <c r="F159" s="89">
        <f t="shared" si="52"/>
        <v>0</v>
      </c>
      <c r="G159" s="89">
        <v>0</v>
      </c>
      <c r="H159" s="52">
        <v>0</v>
      </c>
      <c r="I159" s="89">
        <v>0</v>
      </c>
      <c r="J159" s="38">
        <v>0</v>
      </c>
      <c r="K159" s="77">
        <f t="shared" si="53"/>
        <v>0</v>
      </c>
      <c r="L159" s="77">
        <v>0</v>
      </c>
      <c r="M159" s="77">
        <v>0</v>
      </c>
      <c r="N159" s="77">
        <v>0</v>
      </c>
      <c r="O159" s="76">
        <v>0</v>
      </c>
      <c r="P159" s="77">
        <f t="shared" si="54"/>
        <v>0</v>
      </c>
      <c r="Q159" s="77">
        <v>0</v>
      </c>
      <c r="R159" s="77">
        <v>0</v>
      </c>
      <c r="S159" s="77">
        <v>0</v>
      </c>
      <c r="T159" s="76">
        <v>0</v>
      </c>
      <c r="U159" s="77">
        <f t="shared" si="55"/>
        <v>0</v>
      </c>
      <c r="V159" s="77">
        <v>0</v>
      </c>
      <c r="W159" s="77">
        <v>0</v>
      </c>
      <c r="X159" s="77">
        <v>0</v>
      </c>
      <c r="Y159" s="76">
        <v>0</v>
      </c>
      <c r="Z159" s="77">
        <f t="shared" si="56"/>
        <v>0</v>
      </c>
      <c r="AA159" s="77">
        <v>0</v>
      </c>
      <c r="AB159" s="77">
        <v>0</v>
      </c>
      <c r="AC159" s="77">
        <v>0</v>
      </c>
    </row>
    <row r="160" spans="1:30" s="80" customFormat="1" ht="43.15" customHeight="1" outlineLevel="1" x14ac:dyDescent="0.2">
      <c r="A160" s="74" t="s">
        <v>1235</v>
      </c>
      <c r="B160" s="91" t="s">
        <v>19</v>
      </c>
      <c r="C160" s="38">
        <f t="shared" si="62"/>
        <v>0</v>
      </c>
      <c r="D160" s="55">
        <f t="shared" si="51"/>
        <v>0</v>
      </c>
      <c r="E160" s="51">
        <v>0</v>
      </c>
      <c r="F160" s="89">
        <f t="shared" si="52"/>
        <v>0</v>
      </c>
      <c r="G160" s="89">
        <v>0</v>
      </c>
      <c r="H160" s="52">
        <v>0</v>
      </c>
      <c r="I160" s="89">
        <v>0</v>
      </c>
      <c r="J160" s="38">
        <v>0</v>
      </c>
      <c r="K160" s="77">
        <f t="shared" si="53"/>
        <v>0</v>
      </c>
      <c r="L160" s="77">
        <v>0</v>
      </c>
      <c r="M160" s="77">
        <v>0</v>
      </c>
      <c r="N160" s="77">
        <v>0</v>
      </c>
      <c r="O160" s="76">
        <v>0</v>
      </c>
      <c r="P160" s="77">
        <f t="shared" si="54"/>
        <v>0</v>
      </c>
      <c r="Q160" s="77">
        <v>0</v>
      </c>
      <c r="R160" s="77">
        <v>0</v>
      </c>
      <c r="S160" s="77">
        <v>0</v>
      </c>
      <c r="T160" s="76">
        <v>0</v>
      </c>
      <c r="U160" s="77">
        <f t="shared" si="55"/>
        <v>0</v>
      </c>
      <c r="V160" s="77">
        <v>0</v>
      </c>
      <c r="W160" s="77">
        <v>0</v>
      </c>
      <c r="X160" s="77">
        <v>0</v>
      </c>
      <c r="Y160" s="76">
        <v>0</v>
      </c>
      <c r="Z160" s="77">
        <f t="shared" si="56"/>
        <v>0</v>
      </c>
      <c r="AA160" s="77">
        <v>0</v>
      </c>
      <c r="AB160" s="77">
        <v>0</v>
      </c>
      <c r="AC160" s="77">
        <v>0</v>
      </c>
    </row>
    <row r="161" spans="1:29" s="80" customFormat="1" ht="30.6" customHeight="1" outlineLevel="1" x14ac:dyDescent="0.2">
      <c r="A161" s="74" t="s">
        <v>1237</v>
      </c>
      <c r="B161" s="91" t="s">
        <v>20</v>
      </c>
      <c r="C161" s="38">
        <f t="shared" si="62"/>
        <v>0</v>
      </c>
      <c r="D161" s="55">
        <f t="shared" si="51"/>
        <v>0</v>
      </c>
      <c r="E161" s="51">
        <v>0</v>
      </c>
      <c r="F161" s="89">
        <f t="shared" si="52"/>
        <v>0</v>
      </c>
      <c r="G161" s="89">
        <v>0</v>
      </c>
      <c r="H161" s="52">
        <v>0</v>
      </c>
      <c r="I161" s="89">
        <v>0</v>
      </c>
      <c r="J161" s="38">
        <v>0</v>
      </c>
      <c r="K161" s="77">
        <f t="shared" si="53"/>
        <v>0</v>
      </c>
      <c r="L161" s="77">
        <v>0</v>
      </c>
      <c r="M161" s="77">
        <v>0</v>
      </c>
      <c r="N161" s="77">
        <v>0</v>
      </c>
      <c r="O161" s="76">
        <v>0</v>
      </c>
      <c r="P161" s="77">
        <f t="shared" si="54"/>
        <v>0</v>
      </c>
      <c r="Q161" s="77">
        <v>0</v>
      </c>
      <c r="R161" s="77">
        <v>0</v>
      </c>
      <c r="S161" s="77">
        <v>0</v>
      </c>
      <c r="T161" s="76">
        <v>0</v>
      </c>
      <c r="U161" s="77">
        <f t="shared" si="55"/>
        <v>0</v>
      </c>
      <c r="V161" s="77">
        <v>0</v>
      </c>
      <c r="W161" s="77">
        <v>0</v>
      </c>
      <c r="X161" s="77">
        <v>0</v>
      </c>
      <c r="Y161" s="76">
        <v>0</v>
      </c>
      <c r="Z161" s="77">
        <f t="shared" si="56"/>
        <v>0</v>
      </c>
      <c r="AA161" s="77">
        <v>0</v>
      </c>
      <c r="AB161" s="77">
        <v>0</v>
      </c>
      <c r="AC161" s="77">
        <v>0</v>
      </c>
    </row>
    <row r="162" spans="1:29" s="80" customFormat="1" ht="30" customHeight="1" outlineLevel="1" x14ac:dyDescent="0.2">
      <c r="A162" s="74" t="s">
        <v>1236</v>
      </c>
      <c r="B162" s="91" t="s">
        <v>22</v>
      </c>
      <c r="C162" s="38">
        <f t="shared" ref="C162:D165" si="63">E162+J162+O162+Y162+T162</f>
        <v>0</v>
      </c>
      <c r="D162" s="55">
        <f t="shared" si="63"/>
        <v>0</v>
      </c>
      <c r="E162" s="51">
        <v>0</v>
      </c>
      <c r="F162" s="89">
        <f t="shared" si="52"/>
        <v>0</v>
      </c>
      <c r="G162" s="89">
        <v>0</v>
      </c>
      <c r="H162" s="52">
        <v>0</v>
      </c>
      <c r="I162" s="89">
        <v>0</v>
      </c>
      <c r="J162" s="38">
        <v>0</v>
      </c>
      <c r="K162" s="77">
        <f t="shared" si="53"/>
        <v>0</v>
      </c>
      <c r="L162" s="77">
        <v>0</v>
      </c>
      <c r="M162" s="77">
        <v>0</v>
      </c>
      <c r="N162" s="77">
        <v>0</v>
      </c>
      <c r="O162" s="76">
        <v>0</v>
      </c>
      <c r="P162" s="77">
        <f t="shared" si="54"/>
        <v>0</v>
      </c>
      <c r="Q162" s="77">
        <v>0</v>
      </c>
      <c r="R162" s="77">
        <v>0</v>
      </c>
      <c r="S162" s="77">
        <v>0</v>
      </c>
      <c r="T162" s="76">
        <v>0</v>
      </c>
      <c r="U162" s="77">
        <f t="shared" si="55"/>
        <v>0</v>
      </c>
      <c r="V162" s="77">
        <v>0</v>
      </c>
      <c r="W162" s="77">
        <v>0</v>
      </c>
      <c r="X162" s="77">
        <v>0</v>
      </c>
      <c r="Y162" s="76">
        <v>0</v>
      </c>
      <c r="Z162" s="77">
        <f t="shared" ref="Z162:Z168" si="64">AA162+AB162+AC162</f>
        <v>0</v>
      </c>
      <c r="AA162" s="89">
        <v>0</v>
      </c>
      <c r="AB162" s="77">
        <v>0</v>
      </c>
      <c r="AC162" s="77">
        <v>0</v>
      </c>
    </row>
    <row r="163" spans="1:29" s="80" customFormat="1" ht="22.15" customHeight="1" outlineLevel="1" x14ac:dyDescent="0.2">
      <c r="A163" s="74" t="s">
        <v>1238</v>
      </c>
      <c r="B163" s="91" t="s">
        <v>23</v>
      </c>
      <c r="C163" s="38">
        <f t="shared" si="63"/>
        <v>0</v>
      </c>
      <c r="D163" s="55">
        <f t="shared" si="63"/>
        <v>0</v>
      </c>
      <c r="E163" s="51">
        <v>0</v>
      </c>
      <c r="F163" s="89">
        <f t="shared" si="52"/>
        <v>0</v>
      </c>
      <c r="G163" s="89">
        <v>0</v>
      </c>
      <c r="H163" s="52">
        <v>0</v>
      </c>
      <c r="I163" s="89">
        <v>0</v>
      </c>
      <c r="J163" s="38">
        <v>0</v>
      </c>
      <c r="K163" s="77">
        <f t="shared" si="53"/>
        <v>0</v>
      </c>
      <c r="L163" s="77">
        <v>0</v>
      </c>
      <c r="M163" s="77">
        <v>0</v>
      </c>
      <c r="N163" s="77">
        <v>0</v>
      </c>
      <c r="O163" s="76">
        <v>0</v>
      </c>
      <c r="P163" s="77">
        <f t="shared" si="54"/>
        <v>0</v>
      </c>
      <c r="Q163" s="77">
        <v>0</v>
      </c>
      <c r="R163" s="77">
        <v>0</v>
      </c>
      <c r="S163" s="77">
        <v>0</v>
      </c>
      <c r="T163" s="76">
        <v>0</v>
      </c>
      <c r="U163" s="77">
        <f t="shared" si="55"/>
        <v>0</v>
      </c>
      <c r="V163" s="77">
        <v>0</v>
      </c>
      <c r="W163" s="77">
        <v>0</v>
      </c>
      <c r="X163" s="77">
        <v>0</v>
      </c>
      <c r="Y163" s="76">
        <v>0</v>
      </c>
      <c r="Z163" s="77">
        <f t="shared" si="64"/>
        <v>0</v>
      </c>
      <c r="AA163" s="77">
        <v>0</v>
      </c>
      <c r="AB163" s="77">
        <v>0</v>
      </c>
      <c r="AC163" s="77">
        <v>0</v>
      </c>
    </row>
    <row r="164" spans="1:29" s="80" customFormat="1" ht="25.15" customHeight="1" outlineLevel="1" x14ac:dyDescent="0.2">
      <c r="A164" s="74" t="s">
        <v>1239</v>
      </c>
      <c r="B164" s="91" t="s">
        <v>484</v>
      </c>
      <c r="C164" s="38">
        <f t="shared" si="63"/>
        <v>0</v>
      </c>
      <c r="D164" s="55">
        <f t="shared" si="63"/>
        <v>0</v>
      </c>
      <c r="E164" s="51">
        <v>0</v>
      </c>
      <c r="F164" s="89">
        <f t="shared" si="52"/>
        <v>0</v>
      </c>
      <c r="G164" s="89">
        <v>0</v>
      </c>
      <c r="H164" s="52">
        <v>0</v>
      </c>
      <c r="I164" s="89">
        <v>0</v>
      </c>
      <c r="J164" s="38">
        <v>0</v>
      </c>
      <c r="K164" s="77">
        <f t="shared" si="53"/>
        <v>0</v>
      </c>
      <c r="L164" s="77">
        <v>0</v>
      </c>
      <c r="M164" s="77">
        <v>0</v>
      </c>
      <c r="N164" s="77">
        <v>0</v>
      </c>
      <c r="O164" s="76">
        <v>0</v>
      </c>
      <c r="P164" s="77">
        <f t="shared" si="54"/>
        <v>0</v>
      </c>
      <c r="Q164" s="77">
        <v>0</v>
      </c>
      <c r="R164" s="77">
        <v>0</v>
      </c>
      <c r="S164" s="77">
        <v>0</v>
      </c>
      <c r="T164" s="76">
        <v>0</v>
      </c>
      <c r="U164" s="77">
        <f t="shared" si="55"/>
        <v>0</v>
      </c>
      <c r="V164" s="77">
        <v>0</v>
      </c>
      <c r="W164" s="77">
        <v>0</v>
      </c>
      <c r="X164" s="77">
        <v>0</v>
      </c>
      <c r="Y164" s="76">
        <v>0</v>
      </c>
      <c r="Z164" s="77">
        <f t="shared" si="64"/>
        <v>0</v>
      </c>
      <c r="AA164" s="77">
        <v>0</v>
      </c>
      <c r="AB164" s="77">
        <v>0</v>
      </c>
      <c r="AC164" s="77">
        <v>0</v>
      </c>
    </row>
    <row r="165" spans="1:29" s="80" customFormat="1" ht="30" customHeight="1" outlineLevel="1" x14ac:dyDescent="0.2">
      <c r="A165" s="74" t="s">
        <v>1240</v>
      </c>
      <c r="B165" s="91" t="s">
        <v>24</v>
      </c>
      <c r="C165" s="38">
        <f t="shared" si="63"/>
        <v>0</v>
      </c>
      <c r="D165" s="55">
        <f t="shared" si="63"/>
        <v>0</v>
      </c>
      <c r="E165" s="51">
        <v>0</v>
      </c>
      <c r="F165" s="89">
        <f t="shared" si="52"/>
        <v>0</v>
      </c>
      <c r="G165" s="89">
        <v>0</v>
      </c>
      <c r="H165" s="52">
        <v>0</v>
      </c>
      <c r="I165" s="89">
        <v>0</v>
      </c>
      <c r="J165" s="38">
        <v>0</v>
      </c>
      <c r="K165" s="77">
        <f t="shared" si="53"/>
        <v>0</v>
      </c>
      <c r="L165" s="77">
        <v>0</v>
      </c>
      <c r="M165" s="77">
        <v>0</v>
      </c>
      <c r="N165" s="77">
        <v>0</v>
      </c>
      <c r="O165" s="76">
        <v>0</v>
      </c>
      <c r="P165" s="77">
        <f t="shared" si="54"/>
        <v>0</v>
      </c>
      <c r="Q165" s="77">
        <v>0</v>
      </c>
      <c r="R165" s="77">
        <v>0</v>
      </c>
      <c r="S165" s="77">
        <v>0</v>
      </c>
      <c r="T165" s="76">
        <v>0</v>
      </c>
      <c r="U165" s="77">
        <f t="shared" si="55"/>
        <v>0</v>
      </c>
      <c r="V165" s="77">
        <v>0</v>
      </c>
      <c r="W165" s="77">
        <v>0</v>
      </c>
      <c r="X165" s="77">
        <v>0</v>
      </c>
      <c r="Y165" s="76">
        <v>0</v>
      </c>
      <c r="Z165" s="77">
        <f t="shared" si="64"/>
        <v>0</v>
      </c>
      <c r="AA165" s="77">
        <v>0</v>
      </c>
      <c r="AB165" s="77">
        <v>0</v>
      </c>
      <c r="AC165" s="77">
        <v>0</v>
      </c>
    </row>
    <row r="166" spans="1:29" s="80" customFormat="1" ht="48" outlineLevel="1" x14ac:dyDescent="0.2">
      <c r="A166" s="74" t="s">
        <v>1241</v>
      </c>
      <c r="B166" s="91" t="s">
        <v>824</v>
      </c>
      <c r="C166" s="38">
        <f t="shared" ref="C166:D170" si="65">E166+J166+O166+T166+Y166</f>
        <v>1.2</v>
      </c>
      <c r="D166" s="55">
        <f t="shared" si="65"/>
        <v>8874</v>
      </c>
      <c r="E166" s="51">
        <v>1.2</v>
      </c>
      <c r="F166" s="89">
        <f>G166+H166+I166</f>
        <v>8874</v>
      </c>
      <c r="G166" s="89">
        <v>0</v>
      </c>
      <c r="H166" s="52">
        <v>8448</v>
      </c>
      <c r="I166" s="89">
        <v>426</v>
      </c>
      <c r="J166" s="38">
        <v>0</v>
      </c>
      <c r="K166" s="77">
        <f t="shared" ref="K166:K171" si="66">SUM(L166:N166)</f>
        <v>0</v>
      </c>
      <c r="L166" s="77">
        <v>0</v>
      </c>
      <c r="M166" s="77">
        <v>0</v>
      </c>
      <c r="N166" s="77">
        <v>0</v>
      </c>
      <c r="O166" s="76">
        <v>0</v>
      </c>
      <c r="P166" s="77">
        <f t="shared" ref="P166:P171" si="67">Q166+R166+S166</f>
        <v>0</v>
      </c>
      <c r="Q166" s="77">
        <v>0</v>
      </c>
      <c r="R166" s="77">
        <v>0</v>
      </c>
      <c r="S166" s="77">
        <v>0</v>
      </c>
      <c r="T166" s="76">
        <v>0</v>
      </c>
      <c r="U166" s="77">
        <f t="shared" si="55"/>
        <v>0</v>
      </c>
      <c r="V166" s="77">
        <v>0</v>
      </c>
      <c r="W166" s="77">
        <v>0</v>
      </c>
      <c r="X166" s="77">
        <v>0</v>
      </c>
      <c r="Y166" s="76">
        <v>0</v>
      </c>
      <c r="Z166" s="77">
        <f t="shared" si="64"/>
        <v>0</v>
      </c>
      <c r="AA166" s="77">
        <v>0</v>
      </c>
      <c r="AB166" s="77">
        <v>0</v>
      </c>
      <c r="AC166" s="77">
        <v>0</v>
      </c>
    </row>
    <row r="167" spans="1:29" s="80" customFormat="1" ht="46.5" customHeight="1" outlineLevel="1" x14ac:dyDescent="0.2">
      <c r="A167" s="74" t="s">
        <v>1242</v>
      </c>
      <c r="B167" s="91" t="s">
        <v>825</v>
      </c>
      <c r="C167" s="38">
        <f t="shared" si="65"/>
        <v>0.85</v>
      </c>
      <c r="D167" s="55">
        <f t="shared" si="65"/>
        <v>18436</v>
      </c>
      <c r="E167" s="51">
        <v>0.85</v>
      </c>
      <c r="F167" s="89">
        <f>G167+H167+I167</f>
        <v>18436</v>
      </c>
      <c r="G167" s="89">
        <v>0</v>
      </c>
      <c r="H167" s="52">
        <v>17551</v>
      </c>
      <c r="I167" s="89">
        <v>885</v>
      </c>
      <c r="J167" s="38">
        <v>0</v>
      </c>
      <c r="K167" s="77">
        <f t="shared" si="66"/>
        <v>0</v>
      </c>
      <c r="L167" s="77">
        <v>0</v>
      </c>
      <c r="M167" s="77">
        <v>0</v>
      </c>
      <c r="N167" s="77">
        <v>0</v>
      </c>
      <c r="O167" s="76">
        <v>0</v>
      </c>
      <c r="P167" s="77">
        <f t="shared" si="67"/>
        <v>0</v>
      </c>
      <c r="Q167" s="77">
        <v>0</v>
      </c>
      <c r="R167" s="77">
        <v>0</v>
      </c>
      <c r="S167" s="77">
        <v>0</v>
      </c>
      <c r="T167" s="76">
        <v>0</v>
      </c>
      <c r="U167" s="77">
        <f t="shared" si="55"/>
        <v>0</v>
      </c>
      <c r="V167" s="77">
        <v>0</v>
      </c>
      <c r="W167" s="77">
        <v>0</v>
      </c>
      <c r="X167" s="77">
        <v>0</v>
      </c>
      <c r="Y167" s="76">
        <v>0</v>
      </c>
      <c r="Z167" s="77">
        <f t="shared" si="64"/>
        <v>0</v>
      </c>
      <c r="AA167" s="77">
        <v>0</v>
      </c>
      <c r="AB167" s="77">
        <v>0</v>
      </c>
      <c r="AC167" s="77">
        <v>0</v>
      </c>
    </row>
    <row r="168" spans="1:29" s="80" customFormat="1" ht="46.5" customHeight="1" outlineLevel="1" x14ac:dyDescent="0.2">
      <c r="A168" s="74" t="s">
        <v>1243</v>
      </c>
      <c r="B168" s="91" t="s">
        <v>855</v>
      </c>
      <c r="C168" s="38">
        <f t="shared" si="65"/>
        <v>4.71</v>
      </c>
      <c r="D168" s="55">
        <f t="shared" si="65"/>
        <v>323</v>
      </c>
      <c r="E168" s="51">
        <v>0</v>
      </c>
      <c r="F168" s="89">
        <f>G168+H168+I168</f>
        <v>0</v>
      </c>
      <c r="G168" s="89">
        <v>0</v>
      </c>
      <c r="H168" s="52">
        <v>0</v>
      </c>
      <c r="I168" s="89">
        <v>0</v>
      </c>
      <c r="J168" s="38">
        <v>4.71</v>
      </c>
      <c r="K168" s="77">
        <f>SUM(L168:N168)</f>
        <v>323</v>
      </c>
      <c r="L168" s="77">
        <v>0</v>
      </c>
      <c r="M168" s="77">
        <v>0</v>
      </c>
      <c r="N168" s="77">
        <v>323</v>
      </c>
      <c r="O168" s="76">
        <v>0</v>
      </c>
      <c r="P168" s="77">
        <f t="shared" si="67"/>
        <v>0</v>
      </c>
      <c r="Q168" s="77">
        <v>0</v>
      </c>
      <c r="R168" s="77">
        <v>0</v>
      </c>
      <c r="S168" s="77">
        <v>0</v>
      </c>
      <c r="T168" s="76">
        <v>0</v>
      </c>
      <c r="U168" s="77">
        <f t="shared" si="55"/>
        <v>0</v>
      </c>
      <c r="V168" s="77">
        <v>0</v>
      </c>
      <c r="W168" s="77">
        <v>0</v>
      </c>
      <c r="X168" s="77">
        <v>0</v>
      </c>
      <c r="Y168" s="76">
        <v>0</v>
      </c>
      <c r="Z168" s="77">
        <f t="shared" si="64"/>
        <v>0</v>
      </c>
      <c r="AA168" s="77">
        <v>0</v>
      </c>
      <c r="AB168" s="77">
        <v>0</v>
      </c>
      <c r="AC168" s="77">
        <v>0</v>
      </c>
    </row>
    <row r="169" spans="1:29" s="80" customFormat="1" ht="108.75" customHeight="1" outlineLevel="1" x14ac:dyDescent="0.2">
      <c r="A169" s="74" t="s">
        <v>1244</v>
      </c>
      <c r="B169" s="416" t="s">
        <v>1758</v>
      </c>
      <c r="C169" s="38">
        <f t="shared" si="65"/>
        <v>0</v>
      </c>
      <c r="D169" s="55">
        <f t="shared" si="65"/>
        <v>10694</v>
      </c>
      <c r="E169" s="51">
        <v>0</v>
      </c>
      <c r="F169" s="89">
        <f t="shared" si="52"/>
        <v>595</v>
      </c>
      <c r="G169" s="89">
        <v>0</v>
      </c>
      <c r="H169" s="52">
        <v>0</v>
      </c>
      <c r="I169" s="52">
        <v>595</v>
      </c>
      <c r="J169" s="38">
        <v>0</v>
      </c>
      <c r="K169" s="77">
        <f t="shared" si="66"/>
        <v>1086</v>
      </c>
      <c r="L169" s="77">
        <v>0</v>
      </c>
      <c r="M169" s="77">
        <v>0</v>
      </c>
      <c r="N169" s="77">
        <f>2100+51+920-1151+23-857</f>
        <v>1086</v>
      </c>
      <c r="O169" s="76">
        <v>0</v>
      </c>
      <c r="P169" s="346">
        <f t="shared" si="67"/>
        <v>2025</v>
      </c>
      <c r="Q169" s="346">
        <v>0</v>
      </c>
      <c r="R169" s="346">
        <v>0</v>
      </c>
      <c r="S169" s="346">
        <f>3000-1156+524+101+285-30-699</f>
        <v>2025</v>
      </c>
      <c r="T169" s="76">
        <v>0</v>
      </c>
      <c r="U169" s="77">
        <f>V169+W169+X169</f>
        <v>3494</v>
      </c>
      <c r="V169" s="77">
        <v>0</v>
      </c>
      <c r="W169" s="77">
        <v>0</v>
      </c>
      <c r="X169" s="77">
        <f>3000+494</f>
        <v>3494</v>
      </c>
      <c r="Y169" s="76">
        <v>0</v>
      </c>
      <c r="Z169" s="77">
        <f t="shared" si="56"/>
        <v>3494</v>
      </c>
      <c r="AA169" s="77">
        <v>0</v>
      </c>
      <c r="AB169" s="77">
        <v>0</v>
      </c>
      <c r="AC169" s="77">
        <f>4896-1402</f>
        <v>3494</v>
      </c>
    </row>
    <row r="170" spans="1:29" s="80" customFormat="1" ht="37.5" customHeight="1" outlineLevel="1" x14ac:dyDescent="0.2">
      <c r="A170" s="74" t="s">
        <v>1245</v>
      </c>
      <c r="B170" s="91" t="s">
        <v>585</v>
      </c>
      <c r="C170" s="38">
        <f t="shared" si="65"/>
        <v>0</v>
      </c>
      <c r="D170" s="55">
        <f t="shared" si="65"/>
        <v>2748</v>
      </c>
      <c r="E170" s="51">
        <v>0</v>
      </c>
      <c r="F170" s="89">
        <f>G170+H170+I170</f>
        <v>2748</v>
      </c>
      <c r="G170" s="89">
        <v>0</v>
      </c>
      <c r="H170" s="52">
        <v>0</v>
      </c>
      <c r="I170" s="52">
        <v>2748</v>
      </c>
      <c r="J170" s="38">
        <v>0</v>
      </c>
      <c r="K170" s="77">
        <f t="shared" si="66"/>
        <v>0</v>
      </c>
      <c r="L170" s="77">
        <v>0</v>
      </c>
      <c r="M170" s="77">
        <v>0</v>
      </c>
      <c r="N170" s="77">
        <v>0</v>
      </c>
      <c r="O170" s="76">
        <v>0</v>
      </c>
      <c r="P170" s="77">
        <f t="shared" si="67"/>
        <v>0</v>
      </c>
      <c r="Q170" s="77">
        <v>0</v>
      </c>
      <c r="R170" s="77">
        <v>0</v>
      </c>
      <c r="S170" s="77">
        <v>0</v>
      </c>
      <c r="T170" s="76">
        <v>0</v>
      </c>
      <c r="U170" s="77">
        <f>V170+W170+X170</f>
        <v>0</v>
      </c>
      <c r="V170" s="77">
        <v>0</v>
      </c>
      <c r="W170" s="77">
        <v>0</v>
      </c>
      <c r="X170" s="77">
        <v>0</v>
      </c>
      <c r="Y170" s="76">
        <v>0</v>
      </c>
      <c r="Z170" s="77">
        <f>AA170+AB170+AC170</f>
        <v>0</v>
      </c>
      <c r="AA170" s="77">
        <v>0</v>
      </c>
      <c r="AB170" s="77">
        <v>0</v>
      </c>
      <c r="AC170" s="77">
        <v>0</v>
      </c>
    </row>
    <row r="171" spans="1:29" s="80" customFormat="1" ht="70.900000000000006" customHeight="1" outlineLevel="1" x14ac:dyDescent="0.2">
      <c r="A171" s="74" t="s">
        <v>1246</v>
      </c>
      <c r="B171" s="91" t="s">
        <v>586</v>
      </c>
      <c r="C171" s="38">
        <f t="shared" ref="C171:C231" si="68">E171+J171+O171+T171+Y171</f>
        <v>0</v>
      </c>
      <c r="D171" s="55">
        <f>F171+K171+P171+U171+Z171</f>
        <v>5176</v>
      </c>
      <c r="E171" s="51">
        <v>0</v>
      </c>
      <c r="F171" s="89">
        <f t="shared" ref="F171:F230" si="69">G171+H171+I171</f>
        <v>709</v>
      </c>
      <c r="G171" s="89">
        <v>0</v>
      </c>
      <c r="H171" s="52">
        <v>0</v>
      </c>
      <c r="I171" s="52">
        <v>709</v>
      </c>
      <c r="J171" s="38">
        <v>0</v>
      </c>
      <c r="K171" s="77">
        <f t="shared" si="66"/>
        <v>837</v>
      </c>
      <c r="L171" s="77">
        <v>0</v>
      </c>
      <c r="M171" s="77">
        <v>0</v>
      </c>
      <c r="N171" s="77">
        <v>837</v>
      </c>
      <c r="O171" s="76">
        <v>0</v>
      </c>
      <c r="P171" s="346">
        <f t="shared" si="67"/>
        <v>1110</v>
      </c>
      <c r="Q171" s="346">
        <v>0</v>
      </c>
      <c r="R171" s="346">
        <v>0</v>
      </c>
      <c r="S171" s="346">
        <f>837+423-150</f>
        <v>1110</v>
      </c>
      <c r="T171" s="76">
        <v>0</v>
      </c>
      <c r="U171" s="77">
        <f>V171+W171+X171</f>
        <v>1260</v>
      </c>
      <c r="V171" s="77">
        <v>0</v>
      </c>
      <c r="W171" s="77">
        <v>0</v>
      </c>
      <c r="X171" s="77">
        <f>837+423</f>
        <v>1260</v>
      </c>
      <c r="Y171" s="76">
        <v>0</v>
      </c>
      <c r="Z171" s="77">
        <f>AA171+AB171+AC171</f>
        <v>1260</v>
      </c>
      <c r="AA171" s="77">
        <v>0</v>
      </c>
      <c r="AB171" s="77">
        <v>0</v>
      </c>
      <c r="AC171" s="77">
        <f>837+423</f>
        <v>1260</v>
      </c>
    </row>
    <row r="172" spans="1:29" s="80" customFormat="1" ht="46.9" customHeight="1" outlineLevel="1" x14ac:dyDescent="0.2">
      <c r="A172" s="74" t="s">
        <v>1247</v>
      </c>
      <c r="B172" s="91" t="s">
        <v>613</v>
      </c>
      <c r="C172" s="38">
        <f t="shared" si="68"/>
        <v>0</v>
      </c>
      <c r="D172" s="55">
        <f t="shared" ref="D172:D234" si="70">F172+K172+P172+U172+Z172</f>
        <v>202</v>
      </c>
      <c r="E172" s="51">
        <v>0</v>
      </c>
      <c r="F172" s="89">
        <f t="shared" si="69"/>
        <v>202</v>
      </c>
      <c r="G172" s="89">
        <v>0</v>
      </c>
      <c r="H172" s="52">
        <v>192</v>
      </c>
      <c r="I172" s="52">
        <v>10</v>
      </c>
      <c r="J172" s="38">
        <v>0</v>
      </c>
      <c r="K172" s="77">
        <v>0</v>
      </c>
      <c r="L172" s="77">
        <v>0</v>
      </c>
      <c r="M172" s="77">
        <v>0</v>
      </c>
      <c r="N172" s="77">
        <v>0</v>
      </c>
      <c r="O172" s="76">
        <v>0</v>
      </c>
      <c r="P172" s="77">
        <f>S172</f>
        <v>0</v>
      </c>
      <c r="Q172" s="77">
        <v>0</v>
      </c>
      <c r="R172" s="77">
        <v>0</v>
      </c>
      <c r="S172" s="77">
        <v>0</v>
      </c>
      <c r="T172" s="76">
        <v>0</v>
      </c>
      <c r="U172" s="77">
        <v>0</v>
      </c>
      <c r="V172" s="77">
        <v>0</v>
      </c>
      <c r="W172" s="77">
        <v>0</v>
      </c>
      <c r="X172" s="77">
        <v>0</v>
      </c>
      <c r="Y172" s="76">
        <v>0</v>
      </c>
      <c r="Z172" s="77">
        <v>0</v>
      </c>
      <c r="AA172" s="77">
        <v>0</v>
      </c>
      <c r="AB172" s="77">
        <v>0</v>
      </c>
      <c r="AC172" s="77">
        <v>0</v>
      </c>
    </row>
    <row r="173" spans="1:29" s="80" customFormat="1" ht="66.599999999999994" customHeight="1" outlineLevel="1" x14ac:dyDescent="0.2">
      <c r="A173" s="74" t="s">
        <v>1248</v>
      </c>
      <c r="B173" s="91" t="s">
        <v>614</v>
      </c>
      <c r="C173" s="38">
        <f t="shared" si="68"/>
        <v>0</v>
      </c>
      <c r="D173" s="55">
        <f t="shared" si="70"/>
        <v>106</v>
      </c>
      <c r="E173" s="51">
        <v>0</v>
      </c>
      <c r="F173" s="89">
        <f t="shared" si="69"/>
        <v>106</v>
      </c>
      <c r="G173" s="89">
        <v>0</v>
      </c>
      <c r="H173" s="52">
        <v>101</v>
      </c>
      <c r="I173" s="52">
        <v>5</v>
      </c>
      <c r="J173" s="38">
        <v>0</v>
      </c>
      <c r="K173" s="77">
        <v>0</v>
      </c>
      <c r="L173" s="77">
        <v>0</v>
      </c>
      <c r="M173" s="77">
        <v>0</v>
      </c>
      <c r="N173" s="77">
        <v>0</v>
      </c>
      <c r="O173" s="76">
        <v>0</v>
      </c>
      <c r="P173" s="77">
        <f t="shared" ref="P173:P234" si="71">S173</f>
        <v>0</v>
      </c>
      <c r="Q173" s="77">
        <v>0</v>
      </c>
      <c r="R173" s="77">
        <v>0</v>
      </c>
      <c r="S173" s="77">
        <v>0</v>
      </c>
      <c r="T173" s="76">
        <v>0</v>
      </c>
      <c r="U173" s="77">
        <v>0</v>
      </c>
      <c r="V173" s="77">
        <v>0</v>
      </c>
      <c r="W173" s="77">
        <v>0</v>
      </c>
      <c r="X173" s="77">
        <v>0</v>
      </c>
      <c r="Y173" s="76">
        <v>0</v>
      </c>
      <c r="Z173" s="77">
        <v>0</v>
      </c>
      <c r="AA173" s="77">
        <v>0</v>
      </c>
      <c r="AB173" s="77">
        <v>0</v>
      </c>
      <c r="AC173" s="77">
        <v>0</v>
      </c>
    </row>
    <row r="174" spans="1:29" s="80" customFormat="1" ht="73.900000000000006" customHeight="1" outlineLevel="1" x14ac:dyDescent="0.2">
      <c r="A174" s="74" t="s">
        <v>1249</v>
      </c>
      <c r="B174" s="91" t="s">
        <v>615</v>
      </c>
      <c r="C174" s="38">
        <f t="shared" si="68"/>
        <v>0</v>
      </c>
      <c r="D174" s="55">
        <f t="shared" si="70"/>
        <v>1288</v>
      </c>
      <c r="E174" s="51">
        <v>0</v>
      </c>
      <c r="F174" s="89">
        <f t="shared" si="69"/>
        <v>1288</v>
      </c>
      <c r="G174" s="89">
        <v>0</v>
      </c>
      <c r="H174" s="52">
        <v>1226</v>
      </c>
      <c r="I174" s="52">
        <v>62</v>
      </c>
      <c r="J174" s="38">
        <v>0</v>
      </c>
      <c r="K174" s="77">
        <v>0</v>
      </c>
      <c r="L174" s="77">
        <v>0</v>
      </c>
      <c r="M174" s="77">
        <v>0</v>
      </c>
      <c r="N174" s="77">
        <v>0</v>
      </c>
      <c r="O174" s="76">
        <v>0</v>
      </c>
      <c r="P174" s="77">
        <f t="shared" si="71"/>
        <v>0</v>
      </c>
      <c r="Q174" s="77">
        <v>0</v>
      </c>
      <c r="R174" s="77">
        <v>0</v>
      </c>
      <c r="S174" s="77">
        <v>0</v>
      </c>
      <c r="T174" s="76">
        <v>0</v>
      </c>
      <c r="U174" s="77">
        <v>0</v>
      </c>
      <c r="V174" s="77">
        <v>0</v>
      </c>
      <c r="W174" s="77">
        <v>0</v>
      </c>
      <c r="X174" s="77">
        <v>0</v>
      </c>
      <c r="Y174" s="76">
        <v>0</v>
      </c>
      <c r="Z174" s="77">
        <v>0</v>
      </c>
      <c r="AA174" s="77">
        <v>0</v>
      </c>
      <c r="AB174" s="77">
        <v>0</v>
      </c>
      <c r="AC174" s="77">
        <v>0</v>
      </c>
    </row>
    <row r="175" spans="1:29" s="80" customFormat="1" ht="123" customHeight="1" outlineLevel="1" x14ac:dyDescent="0.2">
      <c r="A175" s="74" t="s">
        <v>1250</v>
      </c>
      <c r="B175" s="91" t="s">
        <v>616</v>
      </c>
      <c r="C175" s="38">
        <f t="shared" si="68"/>
        <v>0</v>
      </c>
      <c r="D175" s="55">
        <f t="shared" si="70"/>
        <v>628</v>
      </c>
      <c r="E175" s="51">
        <v>0</v>
      </c>
      <c r="F175" s="89">
        <f t="shared" si="69"/>
        <v>628</v>
      </c>
      <c r="G175" s="89">
        <v>0</v>
      </c>
      <c r="H175" s="52">
        <v>598</v>
      </c>
      <c r="I175" s="52">
        <v>30</v>
      </c>
      <c r="J175" s="38">
        <v>0</v>
      </c>
      <c r="K175" s="77">
        <v>0</v>
      </c>
      <c r="L175" s="77">
        <v>0</v>
      </c>
      <c r="M175" s="77">
        <v>0</v>
      </c>
      <c r="N175" s="77">
        <v>0</v>
      </c>
      <c r="O175" s="76">
        <v>0</v>
      </c>
      <c r="P175" s="77">
        <f t="shared" si="71"/>
        <v>0</v>
      </c>
      <c r="Q175" s="77">
        <v>0</v>
      </c>
      <c r="R175" s="77">
        <v>0</v>
      </c>
      <c r="S175" s="77">
        <v>0</v>
      </c>
      <c r="T175" s="76">
        <v>0</v>
      </c>
      <c r="U175" s="77">
        <v>0</v>
      </c>
      <c r="V175" s="77">
        <v>0</v>
      </c>
      <c r="W175" s="77">
        <v>0</v>
      </c>
      <c r="X175" s="77">
        <v>0</v>
      </c>
      <c r="Y175" s="76">
        <v>0</v>
      </c>
      <c r="Z175" s="77">
        <v>0</v>
      </c>
      <c r="AA175" s="77">
        <v>0</v>
      </c>
      <c r="AB175" s="77">
        <v>0</v>
      </c>
      <c r="AC175" s="77">
        <v>0</v>
      </c>
    </row>
    <row r="176" spans="1:29" s="80" customFormat="1" ht="75" customHeight="1" outlineLevel="1" x14ac:dyDescent="0.2">
      <c r="A176" s="74" t="s">
        <v>1251</v>
      </c>
      <c r="B176" s="91" t="s">
        <v>617</v>
      </c>
      <c r="C176" s="38">
        <f t="shared" si="68"/>
        <v>0</v>
      </c>
      <c r="D176" s="55">
        <f t="shared" si="70"/>
        <v>243</v>
      </c>
      <c r="E176" s="51">
        <v>0</v>
      </c>
      <c r="F176" s="89">
        <f t="shared" si="69"/>
        <v>243</v>
      </c>
      <c r="G176" s="89">
        <v>0</v>
      </c>
      <c r="H176" s="52">
        <v>231</v>
      </c>
      <c r="I176" s="52">
        <v>12</v>
      </c>
      <c r="J176" s="38">
        <v>0</v>
      </c>
      <c r="K176" s="77">
        <v>0</v>
      </c>
      <c r="L176" s="77">
        <v>0</v>
      </c>
      <c r="M176" s="77">
        <v>0</v>
      </c>
      <c r="N176" s="77">
        <v>0</v>
      </c>
      <c r="O176" s="76">
        <v>0</v>
      </c>
      <c r="P176" s="77">
        <f t="shared" si="71"/>
        <v>0</v>
      </c>
      <c r="Q176" s="77">
        <v>0</v>
      </c>
      <c r="R176" s="77">
        <v>0</v>
      </c>
      <c r="S176" s="77">
        <v>0</v>
      </c>
      <c r="T176" s="76">
        <v>0</v>
      </c>
      <c r="U176" s="77">
        <v>0</v>
      </c>
      <c r="V176" s="77">
        <v>0</v>
      </c>
      <c r="W176" s="77">
        <v>0</v>
      </c>
      <c r="X176" s="77">
        <v>0</v>
      </c>
      <c r="Y176" s="76">
        <v>0</v>
      </c>
      <c r="Z176" s="77">
        <v>0</v>
      </c>
      <c r="AA176" s="77">
        <v>0</v>
      </c>
      <c r="AB176" s="77">
        <v>0</v>
      </c>
      <c r="AC176" s="77">
        <v>0</v>
      </c>
    </row>
    <row r="177" spans="1:29" s="80" customFormat="1" ht="70.900000000000006" customHeight="1" outlineLevel="1" x14ac:dyDescent="0.2">
      <c r="A177" s="74" t="s">
        <v>1252</v>
      </c>
      <c r="B177" s="91" t="s">
        <v>618</v>
      </c>
      <c r="C177" s="38">
        <f t="shared" si="68"/>
        <v>0</v>
      </c>
      <c r="D177" s="55">
        <f t="shared" si="70"/>
        <v>428</v>
      </c>
      <c r="E177" s="51">
        <v>0</v>
      </c>
      <c r="F177" s="89">
        <f t="shared" si="69"/>
        <v>428</v>
      </c>
      <c r="G177" s="89">
        <v>0</v>
      </c>
      <c r="H177" s="52">
        <v>407</v>
      </c>
      <c r="I177" s="52">
        <v>21</v>
      </c>
      <c r="J177" s="38">
        <v>0</v>
      </c>
      <c r="K177" s="77">
        <v>0</v>
      </c>
      <c r="L177" s="77">
        <v>0</v>
      </c>
      <c r="M177" s="77">
        <v>0</v>
      </c>
      <c r="N177" s="77">
        <v>0</v>
      </c>
      <c r="O177" s="76">
        <v>0</v>
      </c>
      <c r="P177" s="77">
        <f t="shared" si="71"/>
        <v>0</v>
      </c>
      <c r="Q177" s="77">
        <v>0</v>
      </c>
      <c r="R177" s="77">
        <v>0</v>
      </c>
      <c r="S177" s="77">
        <v>0</v>
      </c>
      <c r="T177" s="76">
        <v>0</v>
      </c>
      <c r="U177" s="77">
        <v>0</v>
      </c>
      <c r="V177" s="77">
        <v>0</v>
      </c>
      <c r="W177" s="77">
        <v>0</v>
      </c>
      <c r="X177" s="77">
        <v>0</v>
      </c>
      <c r="Y177" s="76">
        <v>0</v>
      </c>
      <c r="Z177" s="77">
        <v>0</v>
      </c>
      <c r="AA177" s="77">
        <v>0</v>
      </c>
      <c r="AB177" s="77">
        <v>0</v>
      </c>
      <c r="AC177" s="77">
        <v>0</v>
      </c>
    </row>
    <row r="178" spans="1:29" s="80" customFormat="1" ht="59.45" customHeight="1" outlineLevel="1" x14ac:dyDescent="0.2">
      <c r="A178" s="74" t="s">
        <v>1253</v>
      </c>
      <c r="B178" s="91" t="s">
        <v>619</v>
      </c>
      <c r="C178" s="38">
        <f t="shared" si="68"/>
        <v>0</v>
      </c>
      <c r="D178" s="55">
        <f t="shared" si="70"/>
        <v>20</v>
      </c>
      <c r="E178" s="51">
        <v>0</v>
      </c>
      <c r="F178" s="89">
        <f t="shared" si="69"/>
        <v>20</v>
      </c>
      <c r="G178" s="89">
        <v>0</v>
      </c>
      <c r="H178" s="52">
        <v>19</v>
      </c>
      <c r="I178" s="52">
        <v>1</v>
      </c>
      <c r="J178" s="38">
        <v>0</v>
      </c>
      <c r="K178" s="77">
        <v>0</v>
      </c>
      <c r="L178" s="77">
        <v>0</v>
      </c>
      <c r="M178" s="77">
        <v>0</v>
      </c>
      <c r="N178" s="77">
        <v>0</v>
      </c>
      <c r="O178" s="76">
        <v>0</v>
      </c>
      <c r="P178" s="77">
        <f t="shared" si="71"/>
        <v>0</v>
      </c>
      <c r="Q178" s="77">
        <v>0</v>
      </c>
      <c r="R178" s="77">
        <v>0</v>
      </c>
      <c r="S178" s="77">
        <v>0</v>
      </c>
      <c r="T178" s="76">
        <v>0</v>
      </c>
      <c r="U178" s="77">
        <v>0</v>
      </c>
      <c r="V178" s="77">
        <v>0</v>
      </c>
      <c r="W178" s="77">
        <v>0</v>
      </c>
      <c r="X178" s="77">
        <v>0</v>
      </c>
      <c r="Y178" s="76">
        <v>0</v>
      </c>
      <c r="Z178" s="77">
        <v>0</v>
      </c>
      <c r="AA178" s="77">
        <v>0</v>
      </c>
      <c r="AB178" s="77">
        <v>0</v>
      </c>
      <c r="AC178" s="77">
        <v>0</v>
      </c>
    </row>
    <row r="179" spans="1:29" s="80" customFormat="1" ht="100.9" customHeight="1" outlineLevel="1" x14ac:dyDescent="0.2">
      <c r="A179" s="74" t="s">
        <v>1254</v>
      </c>
      <c r="B179" s="91" t="s">
        <v>620</v>
      </c>
      <c r="C179" s="38">
        <f t="shared" si="68"/>
        <v>0</v>
      </c>
      <c r="D179" s="55">
        <f t="shared" si="70"/>
        <v>57</v>
      </c>
      <c r="E179" s="51">
        <v>0</v>
      </c>
      <c r="F179" s="89">
        <f t="shared" si="69"/>
        <v>57</v>
      </c>
      <c r="G179" s="89">
        <v>0</v>
      </c>
      <c r="H179" s="52">
        <v>54</v>
      </c>
      <c r="I179" s="52">
        <v>3</v>
      </c>
      <c r="J179" s="38">
        <v>0</v>
      </c>
      <c r="K179" s="77">
        <v>0</v>
      </c>
      <c r="L179" s="77">
        <v>0</v>
      </c>
      <c r="M179" s="77">
        <v>0</v>
      </c>
      <c r="N179" s="77">
        <v>0</v>
      </c>
      <c r="O179" s="76">
        <v>0</v>
      </c>
      <c r="P179" s="77">
        <f t="shared" si="71"/>
        <v>0</v>
      </c>
      <c r="Q179" s="77">
        <v>0</v>
      </c>
      <c r="R179" s="77">
        <v>0</v>
      </c>
      <c r="S179" s="77">
        <v>0</v>
      </c>
      <c r="T179" s="76">
        <v>0</v>
      </c>
      <c r="U179" s="77">
        <v>0</v>
      </c>
      <c r="V179" s="77">
        <v>0</v>
      </c>
      <c r="W179" s="77">
        <v>0</v>
      </c>
      <c r="X179" s="77">
        <v>0</v>
      </c>
      <c r="Y179" s="76">
        <v>0</v>
      </c>
      <c r="Z179" s="77">
        <v>0</v>
      </c>
      <c r="AA179" s="77">
        <v>0</v>
      </c>
      <c r="AB179" s="77">
        <v>0</v>
      </c>
      <c r="AC179" s="77">
        <v>0</v>
      </c>
    </row>
    <row r="180" spans="1:29" s="80" customFormat="1" ht="51" customHeight="1" outlineLevel="1" x14ac:dyDescent="0.2">
      <c r="A180" s="74" t="s">
        <v>1255</v>
      </c>
      <c r="B180" s="91" t="s">
        <v>621</v>
      </c>
      <c r="C180" s="38">
        <f t="shared" si="68"/>
        <v>0</v>
      </c>
      <c r="D180" s="55">
        <f t="shared" si="70"/>
        <v>33</v>
      </c>
      <c r="E180" s="51">
        <v>0</v>
      </c>
      <c r="F180" s="89">
        <f t="shared" si="69"/>
        <v>33</v>
      </c>
      <c r="G180" s="89">
        <v>0</v>
      </c>
      <c r="H180" s="52">
        <v>31</v>
      </c>
      <c r="I180" s="52">
        <v>2</v>
      </c>
      <c r="J180" s="38">
        <v>0</v>
      </c>
      <c r="K180" s="77">
        <v>0</v>
      </c>
      <c r="L180" s="77">
        <v>0</v>
      </c>
      <c r="M180" s="77">
        <v>0</v>
      </c>
      <c r="N180" s="77">
        <v>0</v>
      </c>
      <c r="O180" s="76">
        <v>0</v>
      </c>
      <c r="P180" s="77">
        <f t="shared" si="71"/>
        <v>0</v>
      </c>
      <c r="Q180" s="77">
        <v>0</v>
      </c>
      <c r="R180" s="77">
        <v>0</v>
      </c>
      <c r="S180" s="77">
        <v>0</v>
      </c>
      <c r="T180" s="76">
        <v>0</v>
      </c>
      <c r="U180" s="77">
        <v>0</v>
      </c>
      <c r="V180" s="77">
        <v>0</v>
      </c>
      <c r="W180" s="77">
        <v>0</v>
      </c>
      <c r="X180" s="77">
        <v>0</v>
      </c>
      <c r="Y180" s="76">
        <v>0</v>
      </c>
      <c r="Z180" s="77">
        <v>0</v>
      </c>
      <c r="AA180" s="77">
        <v>0</v>
      </c>
      <c r="AB180" s="77">
        <v>0</v>
      </c>
      <c r="AC180" s="77">
        <v>0</v>
      </c>
    </row>
    <row r="181" spans="1:29" s="80" customFormat="1" ht="78" customHeight="1" outlineLevel="1" x14ac:dyDescent="0.2">
      <c r="A181" s="74" t="s">
        <v>1256</v>
      </c>
      <c r="B181" s="91" t="s">
        <v>622</v>
      </c>
      <c r="C181" s="38">
        <f t="shared" si="68"/>
        <v>0</v>
      </c>
      <c r="D181" s="55">
        <f t="shared" si="70"/>
        <v>630</v>
      </c>
      <c r="E181" s="51">
        <v>0</v>
      </c>
      <c r="F181" s="89">
        <f t="shared" si="69"/>
        <v>630</v>
      </c>
      <c r="G181" s="89">
        <v>0</v>
      </c>
      <c r="H181" s="52">
        <v>600</v>
      </c>
      <c r="I181" s="52">
        <v>30</v>
      </c>
      <c r="J181" s="38">
        <v>0</v>
      </c>
      <c r="K181" s="77">
        <v>0</v>
      </c>
      <c r="L181" s="77">
        <v>0</v>
      </c>
      <c r="M181" s="77">
        <v>0</v>
      </c>
      <c r="N181" s="77">
        <v>0</v>
      </c>
      <c r="O181" s="76">
        <v>0</v>
      </c>
      <c r="P181" s="77">
        <f t="shared" si="71"/>
        <v>0</v>
      </c>
      <c r="Q181" s="77">
        <v>0</v>
      </c>
      <c r="R181" s="77">
        <v>0</v>
      </c>
      <c r="S181" s="77">
        <v>0</v>
      </c>
      <c r="T181" s="76">
        <v>0</v>
      </c>
      <c r="U181" s="77">
        <v>0</v>
      </c>
      <c r="V181" s="77">
        <v>0</v>
      </c>
      <c r="W181" s="77">
        <v>0</v>
      </c>
      <c r="X181" s="77">
        <v>0</v>
      </c>
      <c r="Y181" s="76">
        <v>0</v>
      </c>
      <c r="Z181" s="77">
        <v>0</v>
      </c>
      <c r="AA181" s="77">
        <v>0</v>
      </c>
      <c r="AB181" s="77">
        <v>0</v>
      </c>
      <c r="AC181" s="77">
        <v>0</v>
      </c>
    </row>
    <row r="182" spans="1:29" s="80" customFormat="1" ht="46.9" customHeight="1" outlineLevel="1" x14ac:dyDescent="0.2">
      <c r="A182" s="74" t="s">
        <v>1257</v>
      </c>
      <c r="B182" s="91" t="s">
        <v>623</v>
      </c>
      <c r="C182" s="38">
        <f t="shared" si="68"/>
        <v>0</v>
      </c>
      <c r="D182" s="55">
        <f t="shared" si="70"/>
        <v>139</v>
      </c>
      <c r="E182" s="51">
        <v>0</v>
      </c>
      <c r="F182" s="89">
        <f t="shared" si="69"/>
        <v>139</v>
      </c>
      <c r="G182" s="89">
        <v>0</v>
      </c>
      <c r="H182" s="52">
        <v>132</v>
      </c>
      <c r="I182" s="52">
        <v>7</v>
      </c>
      <c r="J182" s="38">
        <v>0</v>
      </c>
      <c r="K182" s="77">
        <v>0</v>
      </c>
      <c r="L182" s="77">
        <v>0</v>
      </c>
      <c r="M182" s="77">
        <v>0</v>
      </c>
      <c r="N182" s="77">
        <v>0</v>
      </c>
      <c r="O182" s="76">
        <v>0</v>
      </c>
      <c r="P182" s="77">
        <f t="shared" si="71"/>
        <v>0</v>
      </c>
      <c r="Q182" s="77">
        <v>0</v>
      </c>
      <c r="R182" s="77">
        <v>0</v>
      </c>
      <c r="S182" s="77">
        <v>0</v>
      </c>
      <c r="T182" s="76">
        <v>0</v>
      </c>
      <c r="U182" s="77">
        <v>0</v>
      </c>
      <c r="V182" s="77">
        <v>0</v>
      </c>
      <c r="W182" s="77">
        <v>0</v>
      </c>
      <c r="X182" s="77">
        <v>0</v>
      </c>
      <c r="Y182" s="76">
        <v>0</v>
      </c>
      <c r="Z182" s="77">
        <v>0</v>
      </c>
      <c r="AA182" s="77">
        <v>0</v>
      </c>
      <c r="AB182" s="77">
        <v>0</v>
      </c>
      <c r="AC182" s="77">
        <v>0</v>
      </c>
    </row>
    <row r="183" spans="1:29" s="80" customFormat="1" ht="58.9" customHeight="1" outlineLevel="1" x14ac:dyDescent="0.2">
      <c r="A183" s="74" t="s">
        <v>1258</v>
      </c>
      <c r="B183" s="91" t="s">
        <v>624</v>
      </c>
      <c r="C183" s="38">
        <f t="shared" si="68"/>
        <v>0</v>
      </c>
      <c r="D183" s="55">
        <f t="shared" si="70"/>
        <v>188</v>
      </c>
      <c r="E183" s="51">
        <v>0</v>
      </c>
      <c r="F183" s="89">
        <f t="shared" si="69"/>
        <v>188</v>
      </c>
      <c r="G183" s="89">
        <v>0</v>
      </c>
      <c r="H183" s="52">
        <v>179</v>
      </c>
      <c r="I183" s="52">
        <v>9</v>
      </c>
      <c r="J183" s="38">
        <v>0</v>
      </c>
      <c r="K183" s="77">
        <v>0</v>
      </c>
      <c r="L183" s="77">
        <v>0</v>
      </c>
      <c r="M183" s="77">
        <v>0</v>
      </c>
      <c r="N183" s="77">
        <v>0</v>
      </c>
      <c r="O183" s="76">
        <v>0</v>
      </c>
      <c r="P183" s="77">
        <f t="shared" si="71"/>
        <v>0</v>
      </c>
      <c r="Q183" s="77">
        <v>0</v>
      </c>
      <c r="R183" s="77">
        <v>0</v>
      </c>
      <c r="S183" s="77">
        <v>0</v>
      </c>
      <c r="T183" s="76">
        <v>0</v>
      </c>
      <c r="U183" s="77">
        <v>0</v>
      </c>
      <c r="V183" s="77">
        <v>0</v>
      </c>
      <c r="W183" s="77">
        <v>0</v>
      </c>
      <c r="X183" s="77">
        <v>0</v>
      </c>
      <c r="Y183" s="76">
        <v>0</v>
      </c>
      <c r="Z183" s="77">
        <v>0</v>
      </c>
      <c r="AA183" s="77">
        <v>0</v>
      </c>
      <c r="AB183" s="77">
        <v>0</v>
      </c>
      <c r="AC183" s="77">
        <v>0</v>
      </c>
    </row>
    <row r="184" spans="1:29" s="80" customFormat="1" ht="63.6" customHeight="1" outlineLevel="1" x14ac:dyDescent="0.2">
      <c r="A184" s="74" t="s">
        <v>1259</v>
      </c>
      <c r="B184" s="91" t="s">
        <v>625</v>
      </c>
      <c r="C184" s="38">
        <f t="shared" si="68"/>
        <v>0</v>
      </c>
      <c r="D184" s="55">
        <f t="shared" si="70"/>
        <v>415</v>
      </c>
      <c r="E184" s="51">
        <v>0</v>
      </c>
      <c r="F184" s="89">
        <f t="shared" si="69"/>
        <v>415</v>
      </c>
      <c r="G184" s="89">
        <v>0</v>
      </c>
      <c r="H184" s="52">
        <v>395</v>
      </c>
      <c r="I184" s="52">
        <v>20</v>
      </c>
      <c r="J184" s="38">
        <v>0</v>
      </c>
      <c r="K184" s="77">
        <v>0</v>
      </c>
      <c r="L184" s="77">
        <v>0</v>
      </c>
      <c r="M184" s="77">
        <v>0</v>
      </c>
      <c r="N184" s="77">
        <v>0</v>
      </c>
      <c r="O184" s="76">
        <v>0</v>
      </c>
      <c r="P184" s="77">
        <f t="shared" si="71"/>
        <v>0</v>
      </c>
      <c r="Q184" s="77">
        <v>0</v>
      </c>
      <c r="R184" s="77">
        <v>0</v>
      </c>
      <c r="S184" s="77">
        <v>0</v>
      </c>
      <c r="T184" s="76">
        <v>0</v>
      </c>
      <c r="U184" s="77">
        <v>0</v>
      </c>
      <c r="V184" s="77">
        <v>0</v>
      </c>
      <c r="W184" s="77">
        <v>0</v>
      </c>
      <c r="X184" s="77">
        <v>0</v>
      </c>
      <c r="Y184" s="76">
        <v>0</v>
      </c>
      <c r="Z184" s="77">
        <v>0</v>
      </c>
      <c r="AA184" s="77">
        <v>0</v>
      </c>
      <c r="AB184" s="77">
        <v>0</v>
      </c>
      <c r="AC184" s="77">
        <v>0</v>
      </c>
    </row>
    <row r="185" spans="1:29" s="80" customFormat="1" ht="75" customHeight="1" outlineLevel="1" x14ac:dyDescent="0.2">
      <c r="A185" s="74" t="s">
        <v>1260</v>
      </c>
      <c r="B185" s="91" t="s">
        <v>626</v>
      </c>
      <c r="C185" s="38">
        <f t="shared" si="68"/>
        <v>0</v>
      </c>
      <c r="D185" s="55">
        <f t="shared" si="70"/>
        <v>125</v>
      </c>
      <c r="E185" s="51">
        <v>0</v>
      </c>
      <c r="F185" s="89">
        <f t="shared" si="69"/>
        <v>125</v>
      </c>
      <c r="G185" s="89">
        <v>0</v>
      </c>
      <c r="H185" s="52">
        <v>119</v>
      </c>
      <c r="I185" s="52">
        <v>6</v>
      </c>
      <c r="J185" s="38">
        <v>0</v>
      </c>
      <c r="K185" s="77">
        <v>0</v>
      </c>
      <c r="L185" s="77">
        <v>0</v>
      </c>
      <c r="M185" s="77">
        <v>0</v>
      </c>
      <c r="N185" s="77">
        <v>0</v>
      </c>
      <c r="O185" s="76">
        <v>0</v>
      </c>
      <c r="P185" s="77">
        <f t="shared" si="71"/>
        <v>0</v>
      </c>
      <c r="Q185" s="77">
        <v>0</v>
      </c>
      <c r="R185" s="77">
        <v>0</v>
      </c>
      <c r="S185" s="77">
        <v>0</v>
      </c>
      <c r="T185" s="76">
        <v>0</v>
      </c>
      <c r="U185" s="77">
        <v>0</v>
      </c>
      <c r="V185" s="77">
        <v>0</v>
      </c>
      <c r="W185" s="77">
        <v>0</v>
      </c>
      <c r="X185" s="77">
        <v>0</v>
      </c>
      <c r="Y185" s="76">
        <v>0</v>
      </c>
      <c r="Z185" s="77">
        <v>0</v>
      </c>
      <c r="AA185" s="77">
        <v>0</v>
      </c>
      <c r="AB185" s="77">
        <v>0</v>
      </c>
      <c r="AC185" s="77">
        <v>0</v>
      </c>
    </row>
    <row r="186" spans="1:29" s="80" customFormat="1" ht="78.75" customHeight="1" outlineLevel="1" x14ac:dyDescent="0.2">
      <c r="A186" s="74" t="s">
        <v>1261</v>
      </c>
      <c r="B186" s="91" t="s">
        <v>627</v>
      </c>
      <c r="C186" s="38">
        <f t="shared" si="68"/>
        <v>0</v>
      </c>
      <c r="D186" s="55">
        <f t="shared" si="70"/>
        <v>230</v>
      </c>
      <c r="E186" s="51">
        <v>0</v>
      </c>
      <c r="F186" s="89">
        <f t="shared" si="69"/>
        <v>230</v>
      </c>
      <c r="G186" s="89">
        <v>0</v>
      </c>
      <c r="H186" s="52">
        <v>219</v>
      </c>
      <c r="I186" s="52">
        <v>11</v>
      </c>
      <c r="J186" s="38">
        <v>0</v>
      </c>
      <c r="K186" s="77">
        <v>0</v>
      </c>
      <c r="L186" s="77">
        <v>0</v>
      </c>
      <c r="M186" s="77">
        <v>0</v>
      </c>
      <c r="N186" s="77">
        <v>0</v>
      </c>
      <c r="O186" s="76">
        <v>0</v>
      </c>
      <c r="P186" s="77">
        <f t="shared" si="71"/>
        <v>0</v>
      </c>
      <c r="Q186" s="77">
        <v>0</v>
      </c>
      <c r="R186" s="77">
        <v>0</v>
      </c>
      <c r="S186" s="77">
        <v>0</v>
      </c>
      <c r="T186" s="76">
        <v>0</v>
      </c>
      <c r="U186" s="77">
        <v>0</v>
      </c>
      <c r="V186" s="77">
        <v>0</v>
      </c>
      <c r="W186" s="77">
        <v>0</v>
      </c>
      <c r="X186" s="77">
        <v>0</v>
      </c>
      <c r="Y186" s="76">
        <v>0</v>
      </c>
      <c r="Z186" s="77">
        <v>0</v>
      </c>
      <c r="AA186" s="77">
        <v>0</v>
      </c>
      <c r="AB186" s="77">
        <v>0</v>
      </c>
      <c r="AC186" s="77">
        <v>0</v>
      </c>
    </row>
    <row r="187" spans="1:29" s="80" customFormat="1" ht="73.900000000000006" customHeight="1" outlineLevel="1" x14ac:dyDescent="0.2">
      <c r="A187" s="74" t="s">
        <v>1262</v>
      </c>
      <c r="B187" s="91" t="s">
        <v>628</v>
      </c>
      <c r="C187" s="38">
        <f t="shared" si="68"/>
        <v>0</v>
      </c>
      <c r="D187" s="55">
        <f t="shared" si="70"/>
        <v>532</v>
      </c>
      <c r="E187" s="51">
        <v>0</v>
      </c>
      <c r="F187" s="89">
        <f t="shared" si="69"/>
        <v>532</v>
      </c>
      <c r="G187" s="89">
        <v>0</v>
      </c>
      <c r="H187" s="52">
        <v>507</v>
      </c>
      <c r="I187" s="52">
        <v>25</v>
      </c>
      <c r="J187" s="38">
        <v>0</v>
      </c>
      <c r="K187" s="77">
        <v>0</v>
      </c>
      <c r="L187" s="77">
        <v>0</v>
      </c>
      <c r="M187" s="77">
        <v>0</v>
      </c>
      <c r="N187" s="77">
        <v>0</v>
      </c>
      <c r="O187" s="76">
        <v>0</v>
      </c>
      <c r="P187" s="77">
        <f t="shared" si="71"/>
        <v>0</v>
      </c>
      <c r="Q187" s="77">
        <v>0</v>
      </c>
      <c r="R187" s="77">
        <v>0</v>
      </c>
      <c r="S187" s="77">
        <v>0</v>
      </c>
      <c r="T187" s="76">
        <v>0</v>
      </c>
      <c r="U187" s="77">
        <v>0</v>
      </c>
      <c r="V187" s="77">
        <v>0</v>
      </c>
      <c r="W187" s="77">
        <v>0</v>
      </c>
      <c r="X187" s="77">
        <v>0</v>
      </c>
      <c r="Y187" s="76">
        <v>0</v>
      </c>
      <c r="Z187" s="77">
        <v>0</v>
      </c>
      <c r="AA187" s="77">
        <v>0</v>
      </c>
      <c r="AB187" s="77">
        <v>0</v>
      </c>
      <c r="AC187" s="77">
        <v>0</v>
      </c>
    </row>
    <row r="188" spans="1:29" s="80" customFormat="1" ht="75" customHeight="1" outlineLevel="1" x14ac:dyDescent="0.2">
      <c r="A188" s="74" t="s">
        <v>1263</v>
      </c>
      <c r="B188" s="91" t="s">
        <v>629</v>
      </c>
      <c r="C188" s="38">
        <f t="shared" si="68"/>
        <v>0</v>
      </c>
      <c r="D188" s="55">
        <f t="shared" si="70"/>
        <v>1055</v>
      </c>
      <c r="E188" s="51">
        <v>0</v>
      </c>
      <c r="F188" s="89">
        <f t="shared" si="69"/>
        <v>1055</v>
      </c>
      <c r="G188" s="89">
        <v>0</v>
      </c>
      <c r="H188" s="52">
        <v>1005</v>
      </c>
      <c r="I188" s="52">
        <v>50</v>
      </c>
      <c r="J188" s="38">
        <v>0</v>
      </c>
      <c r="K188" s="77">
        <v>0</v>
      </c>
      <c r="L188" s="77">
        <v>0</v>
      </c>
      <c r="M188" s="77">
        <v>0</v>
      </c>
      <c r="N188" s="77">
        <v>0</v>
      </c>
      <c r="O188" s="76">
        <v>0</v>
      </c>
      <c r="P188" s="77">
        <f t="shared" si="71"/>
        <v>0</v>
      </c>
      <c r="Q188" s="77">
        <v>0</v>
      </c>
      <c r="R188" s="77">
        <v>0</v>
      </c>
      <c r="S188" s="77">
        <v>0</v>
      </c>
      <c r="T188" s="76">
        <v>0</v>
      </c>
      <c r="U188" s="77">
        <v>0</v>
      </c>
      <c r="V188" s="77">
        <v>0</v>
      </c>
      <c r="W188" s="77">
        <v>0</v>
      </c>
      <c r="X188" s="77">
        <v>0</v>
      </c>
      <c r="Y188" s="76">
        <v>0</v>
      </c>
      <c r="Z188" s="77">
        <v>0</v>
      </c>
      <c r="AA188" s="77">
        <v>0</v>
      </c>
      <c r="AB188" s="77">
        <v>0</v>
      </c>
      <c r="AC188" s="77">
        <v>0</v>
      </c>
    </row>
    <row r="189" spans="1:29" s="80" customFormat="1" ht="75" customHeight="1" outlineLevel="1" x14ac:dyDescent="0.2">
      <c r="A189" s="74" t="s">
        <v>1264</v>
      </c>
      <c r="B189" s="91" t="s">
        <v>630</v>
      </c>
      <c r="C189" s="38">
        <f t="shared" si="68"/>
        <v>0</v>
      </c>
      <c r="D189" s="55">
        <f t="shared" si="70"/>
        <v>386</v>
      </c>
      <c r="E189" s="51">
        <v>0</v>
      </c>
      <c r="F189" s="89">
        <f t="shared" si="69"/>
        <v>386</v>
      </c>
      <c r="G189" s="89">
        <v>0</v>
      </c>
      <c r="H189" s="52">
        <v>367</v>
      </c>
      <c r="I189" s="52">
        <v>19</v>
      </c>
      <c r="J189" s="38">
        <v>0</v>
      </c>
      <c r="K189" s="77">
        <v>0</v>
      </c>
      <c r="L189" s="77">
        <v>0</v>
      </c>
      <c r="M189" s="77">
        <v>0</v>
      </c>
      <c r="N189" s="77">
        <v>0</v>
      </c>
      <c r="O189" s="76">
        <v>0</v>
      </c>
      <c r="P189" s="77">
        <f t="shared" si="71"/>
        <v>0</v>
      </c>
      <c r="Q189" s="77">
        <v>0</v>
      </c>
      <c r="R189" s="77">
        <v>0</v>
      </c>
      <c r="S189" s="77">
        <v>0</v>
      </c>
      <c r="T189" s="76">
        <v>0</v>
      </c>
      <c r="U189" s="77">
        <v>0</v>
      </c>
      <c r="V189" s="77">
        <v>0</v>
      </c>
      <c r="W189" s="77">
        <v>0</v>
      </c>
      <c r="X189" s="77">
        <v>0</v>
      </c>
      <c r="Y189" s="76">
        <v>0</v>
      </c>
      <c r="Z189" s="77">
        <v>0</v>
      </c>
      <c r="AA189" s="77">
        <v>0</v>
      </c>
      <c r="AB189" s="77">
        <v>0</v>
      </c>
      <c r="AC189" s="77">
        <v>0</v>
      </c>
    </row>
    <row r="190" spans="1:29" s="80" customFormat="1" ht="73.900000000000006" customHeight="1" outlineLevel="1" x14ac:dyDescent="0.2">
      <c r="A190" s="74" t="s">
        <v>1265</v>
      </c>
      <c r="B190" s="91" t="s">
        <v>631</v>
      </c>
      <c r="C190" s="38">
        <f t="shared" si="68"/>
        <v>0</v>
      </c>
      <c r="D190" s="55">
        <f t="shared" si="70"/>
        <v>94</v>
      </c>
      <c r="E190" s="51">
        <v>0</v>
      </c>
      <c r="F190" s="89">
        <f t="shared" si="69"/>
        <v>94</v>
      </c>
      <c r="G190" s="89">
        <v>0</v>
      </c>
      <c r="H190" s="52">
        <v>90</v>
      </c>
      <c r="I190" s="52">
        <v>4</v>
      </c>
      <c r="J190" s="38">
        <v>0</v>
      </c>
      <c r="K190" s="77">
        <v>0</v>
      </c>
      <c r="L190" s="77">
        <v>0</v>
      </c>
      <c r="M190" s="77">
        <v>0</v>
      </c>
      <c r="N190" s="77">
        <v>0</v>
      </c>
      <c r="O190" s="76">
        <v>0</v>
      </c>
      <c r="P190" s="77">
        <f t="shared" si="71"/>
        <v>0</v>
      </c>
      <c r="Q190" s="77">
        <v>0</v>
      </c>
      <c r="R190" s="77">
        <v>0</v>
      </c>
      <c r="S190" s="77">
        <v>0</v>
      </c>
      <c r="T190" s="76">
        <v>0</v>
      </c>
      <c r="U190" s="77">
        <v>0</v>
      </c>
      <c r="V190" s="77">
        <v>0</v>
      </c>
      <c r="W190" s="77">
        <v>0</v>
      </c>
      <c r="X190" s="77">
        <v>0</v>
      </c>
      <c r="Y190" s="76">
        <v>0</v>
      </c>
      <c r="Z190" s="77">
        <v>0</v>
      </c>
      <c r="AA190" s="77">
        <v>0</v>
      </c>
      <c r="AB190" s="77">
        <v>0</v>
      </c>
      <c r="AC190" s="77">
        <v>0</v>
      </c>
    </row>
    <row r="191" spans="1:29" s="80" customFormat="1" ht="68.45" customHeight="1" outlineLevel="1" x14ac:dyDescent="0.2">
      <c r="A191" s="74" t="s">
        <v>1266</v>
      </c>
      <c r="B191" s="91" t="s">
        <v>632</v>
      </c>
      <c r="C191" s="38">
        <f t="shared" si="68"/>
        <v>0</v>
      </c>
      <c r="D191" s="55">
        <f t="shared" si="70"/>
        <v>41</v>
      </c>
      <c r="E191" s="51">
        <v>0</v>
      </c>
      <c r="F191" s="89">
        <f t="shared" si="69"/>
        <v>41</v>
      </c>
      <c r="G191" s="89">
        <v>0</v>
      </c>
      <c r="H191" s="52">
        <v>39</v>
      </c>
      <c r="I191" s="52">
        <v>2</v>
      </c>
      <c r="J191" s="38">
        <v>0</v>
      </c>
      <c r="K191" s="77">
        <v>0</v>
      </c>
      <c r="L191" s="77">
        <v>0</v>
      </c>
      <c r="M191" s="77">
        <v>0</v>
      </c>
      <c r="N191" s="77">
        <v>0</v>
      </c>
      <c r="O191" s="76">
        <v>0</v>
      </c>
      <c r="P191" s="77">
        <f t="shared" si="71"/>
        <v>0</v>
      </c>
      <c r="Q191" s="77">
        <v>0</v>
      </c>
      <c r="R191" s="77">
        <v>0</v>
      </c>
      <c r="S191" s="77">
        <v>0</v>
      </c>
      <c r="T191" s="76">
        <v>0</v>
      </c>
      <c r="U191" s="77">
        <v>0</v>
      </c>
      <c r="V191" s="77">
        <v>0</v>
      </c>
      <c r="W191" s="77">
        <v>0</v>
      </c>
      <c r="X191" s="77">
        <v>0</v>
      </c>
      <c r="Y191" s="76">
        <v>0</v>
      </c>
      <c r="Z191" s="77">
        <v>0</v>
      </c>
      <c r="AA191" s="77">
        <v>0</v>
      </c>
      <c r="AB191" s="77">
        <v>0</v>
      </c>
      <c r="AC191" s="77">
        <v>0</v>
      </c>
    </row>
    <row r="192" spans="1:29" s="80" customFormat="1" ht="66" customHeight="1" outlineLevel="1" x14ac:dyDescent="0.2">
      <c r="A192" s="74" t="s">
        <v>1267</v>
      </c>
      <c r="B192" s="91" t="s">
        <v>633</v>
      </c>
      <c r="C192" s="38">
        <f t="shared" si="68"/>
        <v>0</v>
      </c>
      <c r="D192" s="55">
        <f t="shared" si="70"/>
        <v>95</v>
      </c>
      <c r="E192" s="51">
        <v>0</v>
      </c>
      <c r="F192" s="89">
        <f t="shared" si="69"/>
        <v>95</v>
      </c>
      <c r="G192" s="89">
        <v>0</v>
      </c>
      <c r="H192" s="52">
        <v>90</v>
      </c>
      <c r="I192" s="52">
        <v>5</v>
      </c>
      <c r="J192" s="38">
        <v>0</v>
      </c>
      <c r="K192" s="77">
        <v>0</v>
      </c>
      <c r="L192" s="77">
        <v>0</v>
      </c>
      <c r="M192" s="77">
        <v>0</v>
      </c>
      <c r="N192" s="77">
        <v>0</v>
      </c>
      <c r="O192" s="76">
        <v>0</v>
      </c>
      <c r="P192" s="77">
        <f t="shared" si="71"/>
        <v>0</v>
      </c>
      <c r="Q192" s="77">
        <v>0</v>
      </c>
      <c r="R192" s="77">
        <v>0</v>
      </c>
      <c r="S192" s="77">
        <v>0</v>
      </c>
      <c r="T192" s="76">
        <v>0</v>
      </c>
      <c r="U192" s="77">
        <v>0</v>
      </c>
      <c r="V192" s="77">
        <v>0</v>
      </c>
      <c r="W192" s="77">
        <v>0</v>
      </c>
      <c r="X192" s="77">
        <v>0</v>
      </c>
      <c r="Y192" s="76">
        <v>0</v>
      </c>
      <c r="Z192" s="77">
        <v>0</v>
      </c>
      <c r="AA192" s="77">
        <v>0</v>
      </c>
      <c r="AB192" s="77">
        <v>0</v>
      </c>
      <c r="AC192" s="77">
        <v>0</v>
      </c>
    </row>
    <row r="193" spans="1:29" s="80" customFormat="1" ht="75" customHeight="1" outlineLevel="1" x14ac:dyDescent="0.2">
      <c r="A193" s="74" t="s">
        <v>1268</v>
      </c>
      <c r="B193" s="91" t="s">
        <v>634</v>
      </c>
      <c r="C193" s="38">
        <f t="shared" si="68"/>
        <v>0</v>
      </c>
      <c r="D193" s="55">
        <f t="shared" si="70"/>
        <v>1766</v>
      </c>
      <c r="E193" s="51">
        <v>0</v>
      </c>
      <c r="F193" s="89">
        <f t="shared" si="69"/>
        <v>1766</v>
      </c>
      <c r="G193" s="89">
        <v>0</v>
      </c>
      <c r="H193" s="52">
        <v>1681</v>
      </c>
      <c r="I193" s="52">
        <v>85</v>
      </c>
      <c r="J193" s="38">
        <v>0</v>
      </c>
      <c r="K193" s="77">
        <v>0</v>
      </c>
      <c r="L193" s="77">
        <v>0</v>
      </c>
      <c r="M193" s="77">
        <v>0</v>
      </c>
      <c r="N193" s="77">
        <v>0</v>
      </c>
      <c r="O193" s="76">
        <v>0</v>
      </c>
      <c r="P193" s="77">
        <f t="shared" si="71"/>
        <v>0</v>
      </c>
      <c r="Q193" s="77">
        <v>0</v>
      </c>
      <c r="R193" s="77">
        <v>0</v>
      </c>
      <c r="S193" s="77">
        <v>0</v>
      </c>
      <c r="T193" s="76">
        <v>0</v>
      </c>
      <c r="U193" s="77">
        <v>0</v>
      </c>
      <c r="V193" s="77">
        <v>0</v>
      </c>
      <c r="W193" s="77">
        <v>0</v>
      </c>
      <c r="X193" s="77">
        <v>0</v>
      </c>
      <c r="Y193" s="76">
        <v>0</v>
      </c>
      <c r="Z193" s="77">
        <v>0</v>
      </c>
      <c r="AA193" s="77">
        <v>0</v>
      </c>
      <c r="AB193" s="77">
        <v>0</v>
      </c>
      <c r="AC193" s="77">
        <v>0</v>
      </c>
    </row>
    <row r="194" spans="1:29" s="80" customFormat="1" ht="70.900000000000006" customHeight="1" outlineLevel="1" x14ac:dyDescent="0.2">
      <c r="A194" s="74" t="s">
        <v>1269</v>
      </c>
      <c r="B194" s="91" t="s">
        <v>635</v>
      </c>
      <c r="C194" s="38">
        <f t="shared" si="68"/>
        <v>0</v>
      </c>
      <c r="D194" s="55">
        <f t="shared" si="70"/>
        <v>342</v>
      </c>
      <c r="E194" s="51">
        <v>0</v>
      </c>
      <c r="F194" s="89">
        <f t="shared" si="69"/>
        <v>342</v>
      </c>
      <c r="G194" s="89">
        <v>0</v>
      </c>
      <c r="H194" s="52">
        <v>326</v>
      </c>
      <c r="I194" s="52">
        <v>16</v>
      </c>
      <c r="J194" s="38">
        <v>0</v>
      </c>
      <c r="K194" s="77">
        <v>0</v>
      </c>
      <c r="L194" s="77">
        <v>0</v>
      </c>
      <c r="M194" s="77">
        <v>0</v>
      </c>
      <c r="N194" s="77">
        <v>0</v>
      </c>
      <c r="O194" s="76">
        <v>0</v>
      </c>
      <c r="P194" s="77">
        <f t="shared" si="71"/>
        <v>0</v>
      </c>
      <c r="Q194" s="77">
        <v>0</v>
      </c>
      <c r="R194" s="77">
        <v>0</v>
      </c>
      <c r="S194" s="77">
        <v>0</v>
      </c>
      <c r="T194" s="76">
        <v>0</v>
      </c>
      <c r="U194" s="77">
        <v>0</v>
      </c>
      <c r="V194" s="77">
        <v>0</v>
      </c>
      <c r="W194" s="77">
        <v>0</v>
      </c>
      <c r="X194" s="77">
        <v>0</v>
      </c>
      <c r="Y194" s="76">
        <v>0</v>
      </c>
      <c r="Z194" s="77">
        <v>0</v>
      </c>
      <c r="AA194" s="77">
        <v>0</v>
      </c>
      <c r="AB194" s="77">
        <v>0</v>
      </c>
      <c r="AC194" s="77">
        <v>0</v>
      </c>
    </row>
    <row r="195" spans="1:29" s="80" customFormat="1" ht="51" customHeight="1" outlineLevel="1" x14ac:dyDescent="0.2">
      <c r="A195" s="74" t="s">
        <v>1270</v>
      </c>
      <c r="B195" s="91" t="s">
        <v>636</v>
      </c>
      <c r="C195" s="38">
        <f t="shared" si="68"/>
        <v>0</v>
      </c>
      <c r="D195" s="55">
        <f t="shared" si="70"/>
        <v>289</v>
      </c>
      <c r="E195" s="51">
        <v>0</v>
      </c>
      <c r="F195" s="89">
        <f t="shared" si="69"/>
        <v>289</v>
      </c>
      <c r="G195" s="89">
        <v>0</v>
      </c>
      <c r="H195" s="52">
        <v>276</v>
      </c>
      <c r="I195" s="52">
        <v>13</v>
      </c>
      <c r="J195" s="38">
        <v>0</v>
      </c>
      <c r="K195" s="77">
        <v>0</v>
      </c>
      <c r="L195" s="77">
        <v>0</v>
      </c>
      <c r="M195" s="77">
        <v>0</v>
      </c>
      <c r="N195" s="77">
        <v>0</v>
      </c>
      <c r="O195" s="76">
        <v>0</v>
      </c>
      <c r="P195" s="77">
        <f t="shared" si="71"/>
        <v>0</v>
      </c>
      <c r="Q195" s="77">
        <v>0</v>
      </c>
      <c r="R195" s="77">
        <v>0</v>
      </c>
      <c r="S195" s="77">
        <v>0</v>
      </c>
      <c r="T195" s="76">
        <v>0</v>
      </c>
      <c r="U195" s="77">
        <v>0</v>
      </c>
      <c r="V195" s="77">
        <v>0</v>
      </c>
      <c r="W195" s="77">
        <v>0</v>
      </c>
      <c r="X195" s="77">
        <v>0</v>
      </c>
      <c r="Y195" s="76">
        <v>0</v>
      </c>
      <c r="Z195" s="77">
        <v>0</v>
      </c>
      <c r="AA195" s="77">
        <v>0</v>
      </c>
      <c r="AB195" s="77">
        <v>0</v>
      </c>
      <c r="AC195" s="77">
        <v>0</v>
      </c>
    </row>
    <row r="196" spans="1:29" s="80" customFormat="1" ht="51" customHeight="1" outlineLevel="1" x14ac:dyDescent="0.2">
      <c r="A196" s="74" t="s">
        <v>1271</v>
      </c>
      <c r="B196" s="91" t="s">
        <v>637</v>
      </c>
      <c r="C196" s="38">
        <f t="shared" si="68"/>
        <v>0</v>
      </c>
      <c r="D196" s="55">
        <f t="shared" si="70"/>
        <v>1150</v>
      </c>
      <c r="E196" s="51">
        <v>0</v>
      </c>
      <c r="F196" s="89">
        <f t="shared" si="69"/>
        <v>1150</v>
      </c>
      <c r="G196" s="89">
        <v>0</v>
      </c>
      <c r="H196" s="52">
        <v>1095</v>
      </c>
      <c r="I196" s="52">
        <v>55</v>
      </c>
      <c r="J196" s="38">
        <v>0</v>
      </c>
      <c r="K196" s="77">
        <v>0</v>
      </c>
      <c r="L196" s="77">
        <v>0</v>
      </c>
      <c r="M196" s="77">
        <v>0</v>
      </c>
      <c r="N196" s="77">
        <v>0</v>
      </c>
      <c r="O196" s="76">
        <v>0</v>
      </c>
      <c r="P196" s="77">
        <f t="shared" si="71"/>
        <v>0</v>
      </c>
      <c r="Q196" s="77">
        <v>0</v>
      </c>
      <c r="R196" s="77">
        <v>0</v>
      </c>
      <c r="S196" s="77">
        <v>0</v>
      </c>
      <c r="T196" s="76">
        <v>0</v>
      </c>
      <c r="U196" s="77">
        <v>0</v>
      </c>
      <c r="V196" s="77">
        <v>0</v>
      </c>
      <c r="W196" s="77">
        <v>0</v>
      </c>
      <c r="X196" s="77">
        <v>0</v>
      </c>
      <c r="Y196" s="76">
        <v>0</v>
      </c>
      <c r="Z196" s="77">
        <v>0</v>
      </c>
      <c r="AA196" s="77">
        <v>0</v>
      </c>
      <c r="AB196" s="77">
        <v>0</v>
      </c>
      <c r="AC196" s="77">
        <v>0</v>
      </c>
    </row>
    <row r="197" spans="1:29" s="80" customFormat="1" ht="51" customHeight="1" outlineLevel="1" x14ac:dyDescent="0.2">
      <c r="A197" s="74" t="s">
        <v>1272</v>
      </c>
      <c r="B197" s="91" t="s">
        <v>638</v>
      </c>
      <c r="C197" s="38">
        <f t="shared" si="68"/>
        <v>0</v>
      </c>
      <c r="D197" s="55">
        <f t="shared" si="70"/>
        <v>286</v>
      </c>
      <c r="E197" s="51">
        <v>0</v>
      </c>
      <c r="F197" s="89">
        <f t="shared" si="69"/>
        <v>286</v>
      </c>
      <c r="G197" s="89">
        <v>0</v>
      </c>
      <c r="H197" s="52">
        <v>272</v>
      </c>
      <c r="I197" s="52">
        <v>14</v>
      </c>
      <c r="J197" s="38">
        <v>0</v>
      </c>
      <c r="K197" s="77">
        <v>0</v>
      </c>
      <c r="L197" s="77">
        <v>0</v>
      </c>
      <c r="M197" s="77">
        <v>0</v>
      </c>
      <c r="N197" s="77">
        <v>0</v>
      </c>
      <c r="O197" s="76">
        <v>0</v>
      </c>
      <c r="P197" s="77">
        <f t="shared" si="71"/>
        <v>0</v>
      </c>
      <c r="Q197" s="77">
        <v>0</v>
      </c>
      <c r="R197" s="77">
        <v>0</v>
      </c>
      <c r="S197" s="77">
        <v>0</v>
      </c>
      <c r="T197" s="76">
        <v>0</v>
      </c>
      <c r="U197" s="77">
        <v>0</v>
      </c>
      <c r="V197" s="77">
        <v>0</v>
      </c>
      <c r="W197" s="77">
        <v>0</v>
      </c>
      <c r="X197" s="77">
        <v>0</v>
      </c>
      <c r="Y197" s="76">
        <v>0</v>
      </c>
      <c r="Z197" s="77">
        <v>0</v>
      </c>
      <c r="AA197" s="77">
        <v>0</v>
      </c>
      <c r="AB197" s="77">
        <v>0</v>
      </c>
      <c r="AC197" s="77">
        <v>0</v>
      </c>
    </row>
    <row r="198" spans="1:29" s="80" customFormat="1" ht="64.900000000000006" customHeight="1" outlineLevel="1" x14ac:dyDescent="0.2">
      <c r="A198" s="74" t="s">
        <v>1273</v>
      </c>
      <c r="B198" s="91" t="s">
        <v>639</v>
      </c>
      <c r="C198" s="38">
        <f t="shared" si="68"/>
        <v>0</v>
      </c>
      <c r="D198" s="55">
        <f t="shared" si="70"/>
        <v>238</v>
      </c>
      <c r="E198" s="51">
        <v>0</v>
      </c>
      <c r="F198" s="89">
        <f t="shared" si="69"/>
        <v>238</v>
      </c>
      <c r="G198" s="89">
        <v>0</v>
      </c>
      <c r="H198" s="52">
        <v>227</v>
      </c>
      <c r="I198" s="52">
        <v>11</v>
      </c>
      <c r="J198" s="38">
        <v>0</v>
      </c>
      <c r="K198" s="77">
        <v>0</v>
      </c>
      <c r="L198" s="77">
        <v>0</v>
      </c>
      <c r="M198" s="77">
        <v>0</v>
      </c>
      <c r="N198" s="77">
        <v>0</v>
      </c>
      <c r="O198" s="76">
        <v>0</v>
      </c>
      <c r="P198" s="77">
        <f t="shared" si="71"/>
        <v>0</v>
      </c>
      <c r="Q198" s="77">
        <v>0</v>
      </c>
      <c r="R198" s="77">
        <v>0</v>
      </c>
      <c r="S198" s="77">
        <v>0</v>
      </c>
      <c r="T198" s="76">
        <v>0</v>
      </c>
      <c r="U198" s="77">
        <v>0</v>
      </c>
      <c r="V198" s="77">
        <v>0</v>
      </c>
      <c r="W198" s="77">
        <v>0</v>
      </c>
      <c r="X198" s="77">
        <v>0</v>
      </c>
      <c r="Y198" s="76">
        <v>0</v>
      </c>
      <c r="Z198" s="77">
        <v>0</v>
      </c>
      <c r="AA198" s="77">
        <v>0</v>
      </c>
      <c r="AB198" s="77">
        <v>0</v>
      </c>
      <c r="AC198" s="77">
        <v>0</v>
      </c>
    </row>
    <row r="199" spans="1:29" s="80" customFormat="1" ht="75" customHeight="1" outlineLevel="1" x14ac:dyDescent="0.2">
      <c r="A199" s="74" t="s">
        <v>1274</v>
      </c>
      <c r="B199" s="91" t="s">
        <v>640</v>
      </c>
      <c r="C199" s="38">
        <f t="shared" si="68"/>
        <v>0</v>
      </c>
      <c r="D199" s="55">
        <f t="shared" si="70"/>
        <v>1846</v>
      </c>
      <c r="E199" s="51">
        <v>0</v>
      </c>
      <c r="F199" s="89">
        <f>G199+H199+I199</f>
        <v>1846</v>
      </c>
      <c r="G199" s="89">
        <v>0</v>
      </c>
      <c r="H199" s="52">
        <v>1757</v>
      </c>
      <c r="I199" s="52">
        <v>89</v>
      </c>
      <c r="J199" s="38">
        <v>0</v>
      </c>
      <c r="K199" s="77">
        <v>0</v>
      </c>
      <c r="L199" s="77">
        <v>0</v>
      </c>
      <c r="M199" s="77">
        <v>0</v>
      </c>
      <c r="N199" s="77">
        <v>0</v>
      </c>
      <c r="O199" s="76">
        <v>0</v>
      </c>
      <c r="P199" s="77">
        <f t="shared" si="71"/>
        <v>0</v>
      </c>
      <c r="Q199" s="77">
        <v>0</v>
      </c>
      <c r="R199" s="77">
        <v>0</v>
      </c>
      <c r="S199" s="77">
        <v>0</v>
      </c>
      <c r="T199" s="76">
        <v>0</v>
      </c>
      <c r="U199" s="77">
        <v>0</v>
      </c>
      <c r="V199" s="77">
        <v>0</v>
      </c>
      <c r="W199" s="77">
        <v>0</v>
      </c>
      <c r="X199" s="77">
        <v>0</v>
      </c>
      <c r="Y199" s="76">
        <v>0</v>
      </c>
      <c r="Z199" s="77">
        <v>0</v>
      </c>
      <c r="AA199" s="77">
        <v>0</v>
      </c>
      <c r="AB199" s="77">
        <v>0</v>
      </c>
      <c r="AC199" s="77">
        <v>0</v>
      </c>
    </row>
    <row r="200" spans="1:29" s="80" customFormat="1" ht="57" customHeight="1" outlineLevel="1" x14ac:dyDescent="0.2">
      <c r="A200" s="74" t="s">
        <v>1275</v>
      </c>
      <c r="B200" s="91" t="s">
        <v>641</v>
      </c>
      <c r="C200" s="38">
        <f t="shared" si="68"/>
        <v>0</v>
      </c>
      <c r="D200" s="55">
        <f t="shared" si="70"/>
        <v>1668</v>
      </c>
      <c r="E200" s="51">
        <v>0</v>
      </c>
      <c r="F200" s="89">
        <f t="shared" si="69"/>
        <v>1668</v>
      </c>
      <c r="G200" s="89">
        <v>0</v>
      </c>
      <c r="H200" s="52">
        <v>1588</v>
      </c>
      <c r="I200" s="52">
        <v>80</v>
      </c>
      <c r="J200" s="38">
        <v>0</v>
      </c>
      <c r="K200" s="77">
        <v>0</v>
      </c>
      <c r="L200" s="77">
        <v>0</v>
      </c>
      <c r="M200" s="77">
        <v>0</v>
      </c>
      <c r="N200" s="77">
        <v>0</v>
      </c>
      <c r="O200" s="76">
        <v>0</v>
      </c>
      <c r="P200" s="77">
        <f t="shared" si="71"/>
        <v>0</v>
      </c>
      <c r="Q200" s="77">
        <v>0</v>
      </c>
      <c r="R200" s="77">
        <v>0</v>
      </c>
      <c r="S200" s="77">
        <v>0</v>
      </c>
      <c r="T200" s="76">
        <v>0</v>
      </c>
      <c r="U200" s="77">
        <v>0</v>
      </c>
      <c r="V200" s="77">
        <v>0</v>
      </c>
      <c r="W200" s="77">
        <v>0</v>
      </c>
      <c r="X200" s="77">
        <v>0</v>
      </c>
      <c r="Y200" s="76">
        <v>0</v>
      </c>
      <c r="Z200" s="77">
        <v>0</v>
      </c>
      <c r="AA200" s="77">
        <v>0</v>
      </c>
      <c r="AB200" s="77">
        <v>0</v>
      </c>
      <c r="AC200" s="77">
        <v>0</v>
      </c>
    </row>
    <row r="201" spans="1:29" s="80" customFormat="1" ht="64.900000000000006" customHeight="1" outlineLevel="1" x14ac:dyDescent="0.2">
      <c r="A201" s="74" t="s">
        <v>1276</v>
      </c>
      <c r="B201" s="91" t="s">
        <v>642</v>
      </c>
      <c r="C201" s="38">
        <f t="shared" si="68"/>
        <v>0</v>
      </c>
      <c r="D201" s="55">
        <f t="shared" si="70"/>
        <v>3481</v>
      </c>
      <c r="E201" s="51">
        <v>0</v>
      </c>
      <c r="F201" s="89">
        <f t="shared" si="69"/>
        <v>3481</v>
      </c>
      <c r="G201" s="89">
        <v>0</v>
      </c>
      <c r="H201" s="52">
        <v>3314</v>
      </c>
      <c r="I201" s="52">
        <v>167</v>
      </c>
      <c r="J201" s="38">
        <v>0</v>
      </c>
      <c r="K201" s="77">
        <v>0</v>
      </c>
      <c r="L201" s="77">
        <v>0</v>
      </c>
      <c r="M201" s="77">
        <v>0</v>
      </c>
      <c r="N201" s="77">
        <v>0</v>
      </c>
      <c r="O201" s="76">
        <v>0</v>
      </c>
      <c r="P201" s="77">
        <f t="shared" si="71"/>
        <v>0</v>
      </c>
      <c r="Q201" s="77">
        <v>0</v>
      </c>
      <c r="R201" s="77">
        <v>0</v>
      </c>
      <c r="S201" s="77">
        <v>0</v>
      </c>
      <c r="T201" s="76">
        <v>0</v>
      </c>
      <c r="U201" s="77">
        <v>0</v>
      </c>
      <c r="V201" s="77">
        <v>0</v>
      </c>
      <c r="W201" s="77">
        <v>0</v>
      </c>
      <c r="X201" s="77">
        <v>0</v>
      </c>
      <c r="Y201" s="76">
        <v>0</v>
      </c>
      <c r="Z201" s="77">
        <v>0</v>
      </c>
      <c r="AA201" s="77">
        <v>0</v>
      </c>
      <c r="AB201" s="77">
        <v>0</v>
      </c>
      <c r="AC201" s="77">
        <v>0</v>
      </c>
    </row>
    <row r="202" spans="1:29" s="80" customFormat="1" ht="37.9" customHeight="1" outlineLevel="1" x14ac:dyDescent="0.2">
      <c r="A202" s="74" t="s">
        <v>1277</v>
      </c>
      <c r="B202" s="91" t="s">
        <v>672</v>
      </c>
      <c r="C202" s="38">
        <f t="shared" si="68"/>
        <v>0</v>
      </c>
      <c r="D202" s="55">
        <f t="shared" si="70"/>
        <v>136</v>
      </c>
      <c r="E202" s="51">
        <v>0</v>
      </c>
      <c r="F202" s="89">
        <f t="shared" si="69"/>
        <v>136</v>
      </c>
      <c r="G202" s="89">
        <v>0</v>
      </c>
      <c r="H202" s="52">
        <v>130</v>
      </c>
      <c r="I202" s="52">
        <v>6</v>
      </c>
      <c r="J202" s="38">
        <v>0</v>
      </c>
      <c r="K202" s="77">
        <v>0</v>
      </c>
      <c r="L202" s="77">
        <v>0</v>
      </c>
      <c r="M202" s="77">
        <v>0</v>
      </c>
      <c r="N202" s="77">
        <v>0</v>
      </c>
      <c r="O202" s="76">
        <v>0</v>
      </c>
      <c r="P202" s="77">
        <f t="shared" si="71"/>
        <v>0</v>
      </c>
      <c r="Q202" s="77">
        <v>0</v>
      </c>
      <c r="R202" s="77">
        <v>0</v>
      </c>
      <c r="S202" s="77">
        <v>0</v>
      </c>
      <c r="T202" s="76">
        <v>0</v>
      </c>
      <c r="U202" s="77">
        <v>0</v>
      </c>
      <c r="V202" s="77">
        <v>0</v>
      </c>
      <c r="W202" s="77">
        <v>0</v>
      </c>
      <c r="X202" s="77">
        <v>0</v>
      </c>
      <c r="Y202" s="76">
        <v>0</v>
      </c>
      <c r="Z202" s="77">
        <v>0</v>
      </c>
      <c r="AA202" s="77">
        <v>0</v>
      </c>
      <c r="AB202" s="77">
        <v>0</v>
      </c>
      <c r="AC202" s="77">
        <v>0</v>
      </c>
    </row>
    <row r="203" spans="1:29" s="80" customFormat="1" ht="85.9" customHeight="1" outlineLevel="1" x14ac:dyDescent="0.2">
      <c r="A203" s="74" t="s">
        <v>1278</v>
      </c>
      <c r="B203" s="91" t="s">
        <v>643</v>
      </c>
      <c r="C203" s="38">
        <f t="shared" si="68"/>
        <v>0</v>
      </c>
      <c r="D203" s="55">
        <f t="shared" si="70"/>
        <v>310</v>
      </c>
      <c r="E203" s="51">
        <v>0</v>
      </c>
      <c r="F203" s="89">
        <f t="shared" si="69"/>
        <v>310</v>
      </c>
      <c r="G203" s="89">
        <v>0</v>
      </c>
      <c r="H203" s="52">
        <v>295</v>
      </c>
      <c r="I203" s="52">
        <v>15</v>
      </c>
      <c r="J203" s="38">
        <v>0</v>
      </c>
      <c r="K203" s="77">
        <v>0</v>
      </c>
      <c r="L203" s="77">
        <v>0</v>
      </c>
      <c r="M203" s="77">
        <v>0</v>
      </c>
      <c r="N203" s="77">
        <v>0</v>
      </c>
      <c r="O203" s="76">
        <v>0</v>
      </c>
      <c r="P203" s="77">
        <f t="shared" si="71"/>
        <v>0</v>
      </c>
      <c r="Q203" s="77">
        <v>0</v>
      </c>
      <c r="R203" s="77">
        <v>0</v>
      </c>
      <c r="S203" s="77">
        <v>0</v>
      </c>
      <c r="T203" s="76">
        <v>0</v>
      </c>
      <c r="U203" s="77">
        <v>0</v>
      </c>
      <c r="V203" s="77">
        <v>0</v>
      </c>
      <c r="W203" s="77">
        <v>0</v>
      </c>
      <c r="X203" s="77">
        <v>0</v>
      </c>
      <c r="Y203" s="76">
        <v>0</v>
      </c>
      <c r="Z203" s="77">
        <v>0</v>
      </c>
      <c r="AA203" s="77">
        <v>0</v>
      </c>
      <c r="AB203" s="77">
        <v>0</v>
      </c>
      <c r="AC203" s="77">
        <v>0</v>
      </c>
    </row>
    <row r="204" spans="1:29" s="80" customFormat="1" ht="87" customHeight="1" outlineLevel="1" x14ac:dyDescent="0.2">
      <c r="A204" s="74" t="s">
        <v>1279</v>
      </c>
      <c r="B204" s="91" t="s">
        <v>644</v>
      </c>
      <c r="C204" s="38">
        <f t="shared" si="68"/>
        <v>0</v>
      </c>
      <c r="D204" s="55">
        <f t="shared" si="70"/>
        <v>1492</v>
      </c>
      <c r="E204" s="51">
        <v>0</v>
      </c>
      <c r="F204" s="89">
        <f t="shared" si="69"/>
        <v>1492</v>
      </c>
      <c r="G204" s="89">
        <v>0</v>
      </c>
      <c r="H204" s="52">
        <v>1420</v>
      </c>
      <c r="I204" s="52">
        <v>72</v>
      </c>
      <c r="J204" s="38">
        <v>0</v>
      </c>
      <c r="K204" s="77">
        <v>0</v>
      </c>
      <c r="L204" s="77">
        <v>0</v>
      </c>
      <c r="M204" s="77">
        <v>0</v>
      </c>
      <c r="N204" s="77">
        <v>0</v>
      </c>
      <c r="O204" s="76">
        <v>0</v>
      </c>
      <c r="P204" s="77">
        <f t="shared" si="71"/>
        <v>0</v>
      </c>
      <c r="Q204" s="77">
        <v>0</v>
      </c>
      <c r="R204" s="77">
        <v>0</v>
      </c>
      <c r="S204" s="77">
        <v>0</v>
      </c>
      <c r="T204" s="76">
        <v>0</v>
      </c>
      <c r="U204" s="77">
        <v>0</v>
      </c>
      <c r="V204" s="77">
        <v>0</v>
      </c>
      <c r="W204" s="77">
        <v>0</v>
      </c>
      <c r="X204" s="77">
        <v>0</v>
      </c>
      <c r="Y204" s="76">
        <v>0</v>
      </c>
      <c r="Z204" s="77">
        <v>0</v>
      </c>
      <c r="AA204" s="77">
        <v>0</v>
      </c>
      <c r="AB204" s="77">
        <v>0</v>
      </c>
      <c r="AC204" s="77">
        <v>0</v>
      </c>
    </row>
    <row r="205" spans="1:29" s="80" customFormat="1" ht="67.900000000000006" customHeight="1" outlineLevel="1" x14ac:dyDescent="0.2">
      <c r="A205" s="74" t="s">
        <v>1280</v>
      </c>
      <c r="B205" s="91" t="s">
        <v>645</v>
      </c>
      <c r="C205" s="38">
        <f t="shared" si="68"/>
        <v>0</v>
      </c>
      <c r="D205" s="55">
        <f t="shared" si="70"/>
        <v>143</v>
      </c>
      <c r="E205" s="51">
        <v>0</v>
      </c>
      <c r="F205" s="89">
        <f t="shared" si="69"/>
        <v>143</v>
      </c>
      <c r="G205" s="89">
        <v>0</v>
      </c>
      <c r="H205" s="52">
        <v>136</v>
      </c>
      <c r="I205" s="52">
        <v>7</v>
      </c>
      <c r="J205" s="38">
        <v>0</v>
      </c>
      <c r="K205" s="77">
        <v>0</v>
      </c>
      <c r="L205" s="77">
        <v>0</v>
      </c>
      <c r="M205" s="77">
        <v>0</v>
      </c>
      <c r="N205" s="77">
        <v>0</v>
      </c>
      <c r="O205" s="76">
        <v>0</v>
      </c>
      <c r="P205" s="77">
        <f t="shared" si="71"/>
        <v>0</v>
      </c>
      <c r="Q205" s="77">
        <v>0</v>
      </c>
      <c r="R205" s="77">
        <v>0</v>
      </c>
      <c r="S205" s="77">
        <v>0</v>
      </c>
      <c r="T205" s="76">
        <v>0</v>
      </c>
      <c r="U205" s="77">
        <v>0</v>
      </c>
      <c r="V205" s="77">
        <v>0</v>
      </c>
      <c r="W205" s="77">
        <v>0</v>
      </c>
      <c r="X205" s="77">
        <v>0</v>
      </c>
      <c r="Y205" s="76">
        <v>0</v>
      </c>
      <c r="Z205" s="77">
        <v>0</v>
      </c>
      <c r="AA205" s="77">
        <v>0</v>
      </c>
      <c r="AB205" s="77">
        <v>0</v>
      </c>
      <c r="AC205" s="77">
        <v>0</v>
      </c>
    </row>
    <row r="206" spans="1:29" s="80" customFormat="1" ht="69" customHeight="1" outlineLevel="1" x14ac:dyDescent="0.2">
      <c r="A206" s="74" t="s">
        <v>1281</v>
      </c>
      <c r="B206" s="91" t="s">
        <v>646</v>
      </c>
      <c r="C206" s="38">
        <f t="shared" si="68"/>
        <v>0</v>
      </c>
      <c r="D206" s="55">
        <f t="shared" si="70"/>
        <v>442</v>
      </c>
      <c r="E206" s="51">
        <v>0</v>
      </c>
      <c r="F206" s="89">
        <f t="shared" si="69"/>
        <v>442</v>
      </c>
      <c r="G206" s="89">
        <v>0</v>
      </c>
      <c r="H206" s="52">
        <v>421</v>
      </c>
      <c r="I206" s="52">
        <v>21</v>
      </c>
      <c r="J206" s="38">
        <v>0</v>
      </c>
      <c r="K206" s="77">
        <v>0</v>
      </c>
      <c r="L206" s="77">
        <v>0</v>
      </c>
      <c r="M206" s="77">
        <v>0</v>
      </c>
      <c r="N206" s="77">
        <v>0</v>
      </c>
      <c r="O206" s="76">
        <v>0</v>
      </c>
      <c r="P206" s="77">
        <f t="shared" si="71"/>
        <v>0</v>
      </c>
      <c r="Q206" s="77">
        <v>0</v>
      </c>
      <c r="R206" s="77">
        <v>0</v>
      </c>
      <c r="S206" s="77">
        <v>0</v>
      </c>
      <c r="T206" s="76">
        <v>0</v>
      </c>
      <c r="U206" s="77">
        <v>0</v>
      </c>
      <c r="V206" s="77">
        <v>0</v>
      </c>
      <c r="W206" s="77">
        <v>0</v>
      </c>
      <c r="X206" s="77">
        <v>0</v>
      </c>
      <c r="Y206" s="76">
        <v>0</v>
      </c>
      <c r="Z206" s="77">
        <v>0</v>
      </c>
      <c r="AA206" s="77">
        <v>0</v>
      </c>
      <c r="AB206" s="77">
        <v>0</v>
      </c>
      <c r="AC206" s="77">
        <v>0</v>
      </c>
    </row>
    <row r="207" spans="1:29" s="80" customFormat="1" ht="88.15" customHeight="1" outlineLevel="1" x14ac:dyDescent="0.2">
      <c r="A207" s="74" t="s">
        <v>1282</v>
      </c>
      <c r="B207" s="91" t="s">
        <v>647</v>
      </c>
      <c r="C207" s="38">
        <f t="shared" si="68"/>
        <v>0</v>
      </c>
      <c r="D207" s="55">
        <f t="shared" si="70"/>
        <v>435</v>
      </c>
      <c r="E207" s="51">
        <v>0</v>
      </c>
      <c r="F207" s="89">
        <f t="shared" si="69"/>
        <v>435</v>
      </c>
      <c r="G207" s="89">
        <v>0</v>
      </c>
      <c r="H207" s="52">
        <v>414</v>
      </c>
      <c r="I207" s="52">
        <v>21</v>
      </c>
      <c r="J207" s="38">
        <v>0</v>
      </c>
      <c r="K207" s="77">
        <v>0</v>
      </c>
      <c r="L207" s="77">
        <v>0</v>
      </c>
      <c r="M207" s="77">
        <v>0</v>
      </c>
      <c r="N207" s="77">
        <v>0</v>
      </c>
      <c r="O207" s="76">
        <v>0</v>
      </c>
      <c r="P207" s="77">
        <f t="shared" si="71"/>
        <v>0</v>
      </c>
      <c r="Q207" s="77">
        <v>0</v>
      </c>
      <c r="R207" s="77">
        <v>0</v>
      </c>
      <c r="S207" s="77">
        <v>0</v>
      </c>
      <c r="T207" s="76">
        <v>0</v>
      </c>
      <c r="U207" s="77">
        <v>0</v>
      </c>
      <c r="V207" s="77">
        <v>0</v>
      </c>
      <c r="W207" s="77">
        <v>0</v>
      </c>
      <c r="X207" s="77">
        <v>0</v>
      </c>
      <c r="Y207" s="76">
        <v>0</v>
      </c>
      <c r="Z207" s="77">
        <v>0</v>
      </c>
      <c r="AA207" s="77">
        <v>0</v>
      </c>
      <c r="AB207" s="77">
        <v>0</v>
      </c>
      <c r="AC207" s="77">
        <v>0</v>
      </c>
    </row>
    <row r="208" spans="1:29" s="80" customFormat="1" ht="90" customHeight="1" outlineLevel="1" x14ac:dyDescent="0.2">
      <c r="A208" s="74" t="s">
        <v>1283</v>
      </c>
      <c r="B208" s="91" t="s">
        <v>648</v>
      </c>
      <c r="C208" s="38">
        <f t="shared" si="68"/>
        <v>0</v>
      </c>
      <c r="D208" s="55">
        <f t="shared" si="70"/>
        <v>269</v>
      </c>
      <c r="E208" s="51">
        <v>0</v>
      </c>
      <c r="F208" s="89">
        <f t="shared" si="69"/>
        <v>269</v>
      </c>
      <c r="G208" s="89">
        <v>0</v>
      </c>
      <c r="H208" s="52">
        <v>256</v>
      </c>
      <c r="I208" s="52">
        <v>13</v>
      </c>
      <c r="J208" s="38">
        <v>0</v>
      </c>
      <c r="K208" s="77">
        <v>0</v>
      </c>
      <c r="L208" s="77">
        <v>0</v>
      </c>
      <c r="M208" s="77">
        <v>0</v>
      </c>
      <c r="N208" s="77">
        <v>0</v>
      </c>
      <c r="O208" s="76">
        <v>0</v>
      </c>
      <c r="P208" s="77">
        <f t="shared" si="71"/>
        <v>0</v>
      </c>
      <c r="Q208" s="77">
        <v>0</v>
      </c>
      <c r="R208" s="77">
        <v>0</v>
      </c>
      <c r="S208" s="77">
        <v>0</v>
      </c>
      <c r="T208" s="76">
        <v>0</v>
      </c>
      <c r="U208" s="77">
        <v>0</v>
      </c>
      <c r="V208" s="77">
        <v>0</v>
      </c>
      <c r="W208" s="77">
        <v>0</v>
      </c>
      <c r="X208" s="77">
        <v>0</v>
      </c>
      <c r="Y208" s="76">
        <v>0</v>
      </c>
      <c r="Z208" s="77">
        <v>0</v>
      </c>
      <c r="AA208" s="77">
        <v>0</v>
      </c>
      <c r="AB208" s="77">
        <v>0</v>
      </c>
      <c r="AC208" s="77">
        <v>0</v>
      </c>
    </row>
    <row r="209" spans="1:29" s="80" customFormat="1" ht="49.9" customHeight="1" outlineLevel="1" x14ac:dyDescent="0.2">
      <c r="A209" s="74" t="s">
        <v>1284</v>
      </c>
      <c r="B209" s="91" t="s">
        <v>649</v>
      </c>
      <c r="C209" s="38">
        <f t="shared" si="68"/>
        <v>0</v>
      </c>
      <c r="D209" s="55">
        <f t="shared" si="70"/>
        <v>207</v>
      </c>
      <c r="E209" s="51">
        <v>0</v>
      </c>
      <c r="F209" s="89">
        <f t="shared" si="69"/>
        <v>207</v>
      </c>
      <c r="G209" s="89">
        <v>0</v>
      </c>
      <c r="H209" s="52">
        <v>197</v>
      </c>
      <c r="I209" s="52">
        <v>10</v>
      </c>
      <c r="J209" s="38">
        <v>0</v>
      </c>
      <c r="K209" s="77">
        <v>0</v>
      </c>
      <c r="L209" s="77">
        <v>0</v>
      </c>
      <c r="M209" s="77">
        <v>0</v>
      </c>
      <c r="N209" s="77">
        <v>0</v>
      </c>
      <c r="O209" s="76">
        <v>0</v>
      </c>
      <c r="P209" s="77">
        <f t="shared" si="71"/>
        <v>0</v>
      </c>
      <c r="Q209" s="77">
        <v>0</v>
      </c>
      <c r="R209" s="77">
        <v>0</v>
      </c>
      <c r="S209" s="77">
        <v>0</v>
      </c>
      <c r="T209" s="76">
        <v>0</v>
      </c>
      <c r="U209" s="77">
        <v>0</v>
      </c>
      <c r="V209" s="77">
        <v>0</v>
      </c>
      <c r="W209" s="77">
        <v>0</v>
      </c>
      <c r="X209" s="77">
        <v>0</v>
      </c>
      <c r="Y209" s="76">
        <v>0</v>
      </c>
      <c r="Z209" s="77">
        <v>0</v>
      </c>
      <c r="AA209" s="77">
        <v>0</v>
      </c>
      <c r="AB209" s="77">
        <v>0</v>
      </c>
      <c r="AC209" s="77">
        <v>0</v>
      </c>
    </row>
    <row r="210" spans="1:29" s="80" customFormat="1" ht="69" customHeight="1" outlineLevel="1" x14ac:dyDescent="0.2">
      <c r="A210" s="74" t="s">
        <v>1285</v>
      </c>
      <c r="B210" s="91" t="s">
        <v>650</v>
      </c>
      <c r="C210" s="38">
        <f t="shared" si="68"/>
        <v>0</v>
      </c>
      <c r="D210" s="55">
        <f t="shared" si="70"/>
        <v>276</v>
      </c>
      <c r="E210" s="51">
        <v>0</v>
      </c>
      <c r="F210" s="89">
        <f t="shared" si="69"/>
        <v>276</v>
      </c>
      <c r="G210" s="89">
        <v>0</v>
      </c>
      <c r="H210" s="52">
        <v>263</v>
      </c>
      <c r="I210" s="52">
        <v>13</v>
      </c>
      <c r="J210" s="38">
        <v>0</v>
      </c>
      <c r="K210" s="77">
        <v>0</v>
      </c>
      <c r="L210" s="77">
        <v>0</v>
      </c>
      <c r="M210" s="77">
        <v>0</v>
      </c>
      <c r="N210" s="77">
        <v>0</v>
      </c>
      <c r="O210" s="76">
        <v>0</v>
      </c>
      <c r="P210" s="77">
        <f t="shared" si="71"/>
        <v>0</v>
      </c>
      <c r="Q210" s="77">
        <v>0</v>
      </c>
      <c r="R210" s="77">
        <v>0</v>
      </c>
      <c r="S210" s="77">
        <v>0</v>
      </c>
      <c r="T210" s="76">
        <v>0</v>
      </c>
      <c r="U210" s="77">
        <v>0</v>
      </c>
      <c r="V210" s="77">
        <v>0</v>
      </c>
      <c r="W210" s="77">
        <v>0</v>
      </c>
      <c r="X210" s="77">
        <v>0</v>
      </c>
      <c r="Y210" s="76">
        <v>0</v>
      </c>
      <c r="Z210" s="77">
        <v>0</v>
      </c>
      <c r="AA210" s="77">
        <v>0</v>
      </c>
      <c r="AB210" s="77">
        <v>0</v>
      </c>
      <c r="AC210" s="77">
        <v>0</v>
      </c>
    </row>
    <row r="211" spans="1:29" s="80" customFormat="1" ht="55.9" customHeight="1" outlineLevel="1" x14ac:dyDescent="0.2">
      <c r="A211" s="74" t="s">
        <v>1286</v>
      </c>
      <c r="B211" s="91" t="s">
        <v>651</v>
      </c>
      <c r="C211" s="38">
        <f t="shared" si="68"/>
        <v>0</v>
      </c>
      <c r="D211" s="55">
        <f t="shared" si="70"/>
        <v>1603</v>
      </c>
      <c r="E211" s="51">
        <v>0</v>
      </c>
      <c r="F211" s="89">
        <f t="shared" si="69"/>
        <v>1603</v>
      </c>
      <c r="G211" s="89">
        <v>0</v>
      </c>
      <c r="H211" s="52">
        <v>1526</v>
      </c>
      <c r="I211" s="52">
        <v>77</v>
      </c>
      <c r="J211" s="38">
        <v>0</v>
      </c>
      <c r="K211" s="77">
        <v>0</v>
      </c>
      <c r="L211" s="77">
        <v>0</v>
      </c>
      <c r="M211" s="77">
        <v>0</v>
      </c>
      <c r="N211" s="77">
        <v>0</v>
      </c>
      <c r="O211" s="76">
        <v>0</v>
      </c>
      <c r="P211" s="77">
        <f t="shared" si="71"/>
        <v>0</v>
      </c>
      <c r="Q211" s="77">
        <v>0</v>
      </c>
      <c r="R211" s="77">
        <v>0</v>
      </c>
      <c r="S211" s="77">
        <v>0</v>
      </c>
      <c r="T211" s="76">
        <v>0</v>
      </c>
      <c r="U211" s="77">
        <v>0</v>
      </c>
      <c r="V211" s="77">
        <v>0</v>
      </c>
      <c r="W211" s="77">
        <v>0</v>
      </c>
      <c r="X211" s="77">
        <v>0</v>
      </c>
      <c r="Y211" s="76">
        <v>0</v>
      </c>
      <c r="Z211" s="77">
        <v>0</v>
      </c>
      <c r="AA211" s="77">
        <v>0</v>
      </c>
      <c r="AB211" s="77">
        <v>0</v>
      </c>
      <c r="AC211" s="77">
        <v>0</v>
      </c>
    </row>
    <row r="212" spans="1:29" s="80" customFormat="1" ht="42" customHeight="1" outlineLevel="1" x14ac:dyDescent="0.2">
      <c r="A212" s="74" t="s">
        <v>1287</v>
      </c>
      <c r="B212" s="91" t="s">
        <v>652</v>
      </c>
      <c r="C212" s="38">
        <f t="shared" si="68"/>
        <v>0</v>
      </c>
      <c r="D212" s="55">
        <f t="shared" si="70"/>
        <v>3493</v>
      </c>
      <c r="E212" s="51">
        <v>0</v>
      </c>
      <c r="F212" s="89">
        <f t="shared" si="69"/>
        <v>3493</v>
      </c>
      <c r="G212" s="89">
        <v>0</v>
      </c>
      <c r="H212" s="52">
        <v>3325</v>
      </c>
      <c r="I212" s="52">
        <v>168</v>
      </c>
      <c r="J212" s="38">
        <v>0</v>
      </c>
      <c r="K212" s="77">
        <v>0</v>
      </c>
      <c r="L212" s="77">
        <v>0</v>
      </c>
      <c r="M212" s="77">
        <v>0</v>
      </c>
      <c r="N212" s="77">
        <v>0</v>
      </c>
      <c r="O212" s="76">
        <v>0</v>
      </c>
      <c r="P212" s="77">
        <f t="shared" si="71"/>
        <v>0</v>
      </c>
      <c r="Q212" s="77">
        <v>0</v>
      </c>
      <c r="R212" s="77">
        <v>0</v>
      </c>
      <c r="S212" s="77">
        <v>0</v>
      </c>
      <c r="T212" s="76">
        <v>0</v>
      </c>
      <c r="U212" s="77">
        <v>0</v>
      </c>
      <c r="V212" s="77">
        <v>0</v>
      </c>
      <c r="W212" s="77">
        <v>0</v>
      </c>
      <c r="X212" s="77">
        <v>0</v>
      </c>
      <c r="Y212" s="76">
        <v>0</v>
      </c>
      <c r="Z212" s="77">
        <v>0</v>
      </c>
      <c r="AA212" s="77">
        <v>0</v>
      </c>
      <c r="AB212" s="77">
        <v>0</v>
      </c>
      <c r="AC212" s="77">
        <v>0</v>
      </c>
    </row>
    <row r="213" spans="1:29" s="80" customFormat="1" ht="82.9" customHeight="1" outlineLevel="1" x14ac:dyDescent="0.2">
      <c r="A213" s="74" t="s">
        <v>1288</v>
      </c>
      <c r="B213" s="91" t="s">
        <v>837</v>
      </c>
      <c r="C213" s="38">
        <f t="shared" si="68"/>
        <v>0</v>
      </c>
      <c r="D213" s="55">
        <f t="shared" si="70"/>
        <v>413</v>
      </c>
      <c r="E213" s="51">
        <v>0</v>
      </c>
      <c r="F213" s="89">
        <f t="shared" si="69"/>
        <v>413</v>
      </c>
      <c r="G213" s="89">
        <v>0</v>
      </c>
      <c r="H213" s="52">
        <v>393</v>
      </c>
      <c r="I213" s="52">
        <v>20</v>
      </c>
      <c r="J213" s="38">
        <v>0</v>
      </c>
      <c r="K213" s="77">
        <v>0</v>
      </c>
      <c r="L213" s="77">
        <v>0</v>
      </c>
      <c r="M213" s="77">
        <v>0</v>
      </c>
      <c r="N213" s="77">
        <v>0</v>
      </c>
      <c r="O213" s="76">
        <v>0</v>
      </c>
      <c r="P213" s="77">
        <f t="shared" si="71"/>
        <v>0</v>
      </c>
      <c r="Q213" s="77">
        <v>0</v>
      </c>
      <c r="R213" s="77">
        <v>0</v>
      </c>
      <c r="S213" s="77">
        <v>0</v>
      </c>
      <c r="T213" s="76">
        <v>0</v>
      </c>
      <c r="U213" s="77">
        <v>0</v>
      </c>
      <c r="V213" s="77">
        <v>0</v>
      </c>
      <c r="W213" s="77">
        <v>0</v>
      </c>
      <c r="X213" s="77">
        <v>0</v>
      </c>
      <c r="Y213" s="76">
        <v>0</v>
      </c>
      <c r="Z213" s="77">
        <v>0</v>
      </c>
      <c r="AA213" s="77">
        <v>0</v>
      </c>
      <c r="AB213" s="77">
        <v>0</v>
      </c>
      <c r="AC213" s="77">
        <v>0</v>
      </c>
    </row>
    <row r="214" spans="1:29" s="80" customFormat="1" ht="84" customHeight="1" outlineLevel="1" x14ac:dyDescent="0.2">
      <c r="A214" s="74" t="s">
        <v>1289</v>
      </c>
      <c r="B214" s="91" t="s">
        <v>653</v>
      </c>
      <c r="C214" s="38">
        <f t="shared" si="68"/>
        <v>0</v>
      </c>
      <c r="D214" s="55">
        <f t="shared" si="70"/>
        <v>1112</v>
      </c>
      <c r="E214" s="51">
        <v>0</v>
      </c>
      <c r="F214" s="89">
        <f t="shared" si="69"/>
        <v>1112</v>
      </c>
      <c r="G214" s="89">
        <v>0</v>
      </c>
      <c r="H214" s="52">
        <v>1059</v>
      </c>
      <c r="I214" s="52">
        <v>53</v>
      </c>
      <c r="J214" s="38">
        <v>0</v>
      </c>
      <c r="K214" s="77">
        <v>0</v>
      </c>
      <c r="L214" s="77">
        <v>0</v>
      </c>
      <c r="M214" s="77">
        <v>0</v>
      </c>
      <c r="N214" s="77">
        <v>0</v>
      </c>
      <c r="O214" s="76">
        <v>0</v>
      </c>
      <c r="P214" s="77">
        <f t="shared" si="71"/>
        <v>0</v>
      </c>
      <c r="Q214" s="77">
        <v>0</v>
      </c>
      <c r="R214" s="77">
        <v>0</v>
      </c>
      <c r="S214" s="77">
        <v>0</v>
      </c>
      <c r="T214" s="76">
        <v>0</v>
      </c>
      <c r="U214" s="77">
        <v>0</v>
      </c>
      <c r="V214" s="77">
        <v>0</v>
      </c>
      <c r="W214" s="77">
        <v>0</v>
      </c>
      <c r="X214" s="77">
        <v>0</v>
      </c>
      <c r="Y214" s="76">
        <v>0</v>
      </c>
      <c r="Z214" s="77">
        <v>0</v>
      </c>
      <c r="AA214" s="77">
        <v>0</v>
      </c>
      <c r="AB214" s="77">
        <v>0</v>
      </c>
      <c r="AC214" s="77">
        <v>0</v>
      </c>
    </row>
    <row r="215" spans="1:29" s="80" customFormat="1" ht="67.900000000000006" customHeight="1" outlineLevel="1" x14ac:dyDescent="0.2">
      <c r="A215" s="74" t="s">
        <v>1290</v>
      </c>
      <c r="B215" s="91" t="s">
        <v>654</v>
      </c>
      <c r="C215" s="38">
        <f t="shared" si="68"/>
        <v>0</v>
      </c>
      <c r="D215" s="55">
        <f t="shared" si="70"/>
        <v>340</v>
      </c>
      <c r="E215" s="51">
        <v>0</v>
      </c>
      <c r="F215" s="89">
        <f t="shared" si="69"/>
        <v>340</v>
      </c>
      <c r="G215" s="89">
        <v>0</v>
      </c>
      <c r="H215" s="52">
        <v>324</v>
      </c>
      <c r="I215" s="52">
        <v>16</v>
      </c>
      <c r="J215" s="38">
        <v>0</v>
      </c>
      <c r="K215" s="77">
        <v>0</v>
      </c>
      <c r="L215" s="77">
        <v>0</v>
      </c>
      <c r="M215" s="77">
        <v>0</v>
      </c>
      <c r="N215" s="77">
        <v>0</v>
      </c>
      <c r="O215" s="76">
        <v>0</v>
      </c>
      <c r="P215" s="77">
        <f t="shared" si="71"/>
        <v>0</v>
      </c>
      <c r="Q215" s="77">
        <v>0</v>
      </c>
      <c r="R215" s="77">
        <v>0</v>
      </c>
      <c r="S215" s="77">
        <v>0</v>
      </c>
      <c r="T215" s="76">
        <v>0</v>
      </c>
      <c r="U215" s="77">
        <v>0</v>
      </c>
      <c r="V215" s="77">
        <v>0</v>
      </c>
      <c r="W215" s="77">
        <v>0</v>
      </c>
      <c r="X215" s="77">
        <v>0</v>
      </c>
      <c r="Y215" s="76">
        <v>0</v>
      </c>
      <c r="Z215" s="77">
        <v>0</v>
      </c>
      <c r="AA215" s="77">
        <v>0</v>
      </c>
      <c r="AB215" s="77">
        <v>0</v>
      </c>
      <c r="AC215" s="77">
        <v>0</v>
      </c>
    </row>
    <row r="216" spans="1:29" s="80" customFormat="1" ht="76.900000000000006" customHeight="1" outlineLevel="1" x14ac:dyDescent="0.2">
      <c r="A216" s="74" t="s">
        <v>1291</v>
      </c>
      <c r="B216" s="91" t="s">
        <v>655</v>
      </c>
      <c r="C216" s="38">
        <f t="shared" si="68"/>
        <v>0</v>
      </c>
      <c r="D216" s="55">
        <f t="shared" si="70"/>
        <v>1050</v>
      </c>
      <c r="E216" s="51">
        <v>0</v>
      </c>
      <c r="F216" s="89">
        <f t="shared" si="69"/>
        <v>1050</v>
      </c>
      <c r="G216" s="89">
        <v>0</v>
      </c>
      <c r="H216" s="52">
        <v>1000</v>
      </c>
      <c r="I216" s="52">
        <v>50</v>
      </c>
      <c r="J216" s="38">
        <v>0</v>
      </c>
      <c r="K216" s="77">
        <v>0</v>
      </c>
      <c r="L216" s="77">
        <v>0</v>
      </c>
      <c r="M216" s="77">
        <v>0</v>
      </c>
      <c r="N216" s="77">
        <v>0</v>
      </c>
      <c r="O216" s="76">
        <v>0</v>
      </c>
      <c r="P216" s="77">
        <f t="shared" si="71"/>
        <v>0</v>
      </c>
      <c r="Q216" s="77">
        <v>0</v>
      </c>
      <c r="R216" s="77">
        <v>0</v>
      </c>
      <c r="S216" s="77">
        <v>0</v>
      </c>
      <c r="T216" s="76">
        <v>0</v>
      </c>
      <c r="U216" s="77">
        <v>0</v>
      </c>
      <c r="V216" s="77">
        <v>0</v>
      </c>
      <c r="W216" s="77">
        <v>0</v>
      </c>
      <c r="X216" s="77">
        <v>0</v>
      </c>
      <c r="Y216" s="76">
        <v>0</v>
      </c>
      <c r="Z216" s="77">
        <v>0</v>
      </c>
      <c r="AA216" s="77">
        <v>0</v>
      </c>
      <c r="AB216" s="77">
        <v>0</v>
      </c>
      <c r="AC216" s="77">
        <v>0</v>
      </c>
    </row>
    <row r="217" spans="1:29" s="80" customFormat="1" ht="60" customHeight="1" outlineLevel="1" x14ac:dyDescent="0.2">
      <c r="A217" s="74" t="s">
        <v>1292</v>
      </c>
      <c r="B217" s="91" t="s">
        <v>656</v>
      </c>
      <c r="C217" s="38">
        <f t="shared" si="68"/>
        <v>0</v>
      </c>
      <c r="D217" s="55">
        <f t="shared" si="70"/>
        <v>452</v>
      </c>
      <c r="E217" s="51">
        <v>0</v>
      </c>
      <c r="F217" s="89">
        <f t="shared" si="69"/>
        <v>452</v>
      </c>
      <c r="G217" s="89">
        <v>0</v>
      </c>
      <c r="H217" s="52">
        <v>430</v>
      </c>
      <c r="I217" s="52">
        <v>22</v>
      </c>
      <c r="J217" s="38">
        <v>0</v>
      </c>
      <c r="K217" s="77">
        <v>0</v>
      </c>
      <c r="L217" s="77">
        <v>0</v>
      </c>
      <c r="M217" s="77">
        <v>0</v>
      </c>
      <c r="N217" s="77">
        <v>0</v>
      </c>
      <c r="O217" s="76">
        <v>0</v>
      </c>
      <c r="P217" s="77">
        <f t="shared" si="71"/>
        <v>0</v>
      </c>
      <c r="Q217" s="77">
        <v>0</v>
      </c>
      <c r="R217" s="77">
        <v>0</v>
      </c>
      <c r="S217" s="77">
        <v>0</v>
      </c>
      <c r="T217" s="76">
        <v>0</v>
      </c>
      <c r="U217" s="77">
        <v>0</v>
      </c>
      <c r="V217" s="77">
        <v>0</v>
      </c>
      <c r="W217" s="77">
        <v>0</v>
      </c>
      <c r="X217" s="77">
        <v>0</v>
      </c>
      <c r="Y217" s="76">
        <v>0</v>
      </c>
      <c r="Z217" s="77">
        <v>0</v>
      </c>
      <c r="AA217" s="77">
        <v>0</v>
      </c>
      <c r="AB217" s="77">
        <v>0</v>
      </c>
      <c r="AC217" s="77">
        <v>0</v>
      </c>
    </row>
    <row r="218" spans="1:29" s="80" customFormat="1" ht="63" customHeight="1" outlineLevel="1" x14ac:dyDescent="0.2">
      <c r="A218" s="74" t="s">
        <v>1293</v>
      </c>
      <c r="B218" s="91" t="s">
        <v>657</v>
      </c>
      <c r="C218" s="38">
        <f t="shared" si="68"/>
        <v>0</v>
      </c>
      <c r="D218" s="55">
        <f t="shared" si="70"/>
        <v>697</v>
      </c>
      <c r="E218" s="51">
        <v>0</v>
      </c>
      <c r="F218" s="89">
        <f t="shared" si="69"/>
        <v>697</v>
      </c>
      <c r="G218" s="89">
        <v>0</v>
      </c>
      <c r="H218" s="52">
        <v>664</v>
      </c>
      <c r="I218" s="52">
        <v>33</v>
      </c>
      <c r="J218" s="38">
        <v>0</v>
      </c>
      <c r="K218" s="77">
        <v>0</v>
      </c>
      <c r="L218" s="77">
        <v>0</v>
      </c>
      <c r="M218" s="77">
        <v>0</v>
      </c>
      <c r="N218" s="77">
        <v>0</v>
      </c>
      <c r="O218" s="76">
        <v>0</v>
      </c>
      <c r="P218" s="77">
        <f t="shared" si="71"/>
        <v>0</v>
      </c>
      <c r="Q218" s="77">
        <v>0</v>
      </c>
      <c r="R218" s="77">
        <v>0</v>
      </c>
      <c r="S218" s="77">
        <v>0</v>
      </c>
      <c r="T218" s="76">
        <v>0</v>
      </c>
      <c r="U218" s="77">
        <v>0</v>
      </c>
      <c r="V218" s="77">
        <v>0</v>
      </c>
      <c r="W218" s="77">
        <v>0</v>
      </c>
      <c r="X218" s="77">
        <v>0</v>
      </c>
      <c r="Y218" s="76">
        <v>0</v>
      </c>
      <c r="Z218" s="77">
        <v>0</v>
      </c>
      <c r="AA218" s="77">
        <v>0</v>
      </c>
      <c r="AB218" s="77">
        <v>0</v>
      </c>
      <c r="AC218" s="77">
        <v>0</v>
      </c>
    </row>
    <row r="219" spans="1:29" s="80" customFormat="1" ht="91.9" customHeight="1" outlineLevel="1" x14ac:dyDescent="0.2">
      <c r="A219" s="74" t="s">
        <v>1294</v>
      </c>
      <c r="B219" s="91" t="s">
        <v>830</v>
      </c>
      <c r="C219" s="38">
        <f t="shared" si="68"/>
        <v>0</v>
      </c>
      <c r="D219" s="55">
        <f t="shared" si="70"/>
        <v>461</v>
      </c>
      <c r="E219" s="51">
        <v>0</v>
      </c>
      <c r="F219" s="89">
        <f t="shared" si="69"/>
        <v>461</v>
      </c>
      <c r="G219" s="89">
        <v>0</v>
      </c>
      <c r="H219" s="52">
        <v>439</v>
      </c>
      <c r="I219" s="52">
        <v>22</v>
      </c>
      <c r="J219" s="38">
        <v>0</v>
      </c>
      <c r="K219" s="77">
        <v>0</v>
      </c>
      <c r="L219" s="77">
        <v>0</v>
      </c>
      <c r="M219" s="77">
        <v>0</v>
      </c>
      <c r="N219" s="77">
        <v>0</v>
      </c>
      <c r="O219" s="76">
        <v>0</v>
      </c>
      <c r="P219" s="77">
        <f t="shared" si="71"/>
        <v>0</v>
      </c>
      <c r="Q219" s="77">
        <v>0</v>
      </c>
      <c r="R219" s="77">
        <v>0</v>
      </c>
      <c r="S219" s="77">
        <v>0</v>
      </c>
      <c r="T219" s="76">
        <v>0</v>
      </c>
      <c r="U219" s="77">
        <v>0</v>
      </c>
      <c r="V219" s="77">
        <v>0</v>
      </c>
      <c r="W219" s="77">
        <v>0</v>
      </c>
      <c r="X219" s="77">
        <v>0</v>
      </c>
      <c r="Y219" s="76">
        <v>0</v>
      </c>
      <c r="Z219" s="77">
        <v>0</v>
      </c>
      <c r="AA219" s="77">
        <v>0</v>
      </c>
      <c r="AB219" s="77">
        <v>0</v>
      </c>
      <c r="AC219" s="77">
        <v>0</v>
      </c>
    </row>
    <row r="220" spans="1:29" s="80" customFormat="1" ht="54.75" customHeight="1" outlineLevel="1" x14ac:dyDescent="0.2">
      <c r="A220" s="74" t="s">
        <v>1295</v>
      </c>
      <c r="B220" s="91" t="s">
        <v>831</v>
      </c>
      <c r="C220" s="38">
        <f t="shared" si="68"/>
        <v>0</v>
      </c>
      <c r="D220" s="55">
        <f t="shared" si="70"/>
        <v>286</v>
      </c>
      <c r="E220" s="51">
        <v>0</v>
      </c>
      <c r="F220" s="89">
        <f t="shared" si="69"/>
        <v>286</v>
      </c>
      <c r="G220" s="89">
        <v>0</v>
      </c>
      <c r="H220" s="52">
        <v>272</v>
      </c>
      <c r="I220" s="52">
        <v>14</v>
      </c>
      <c r="J220" s="38">
        <v>0</v>
      </c>
      <c r="K220" s="77">
        <v>0</v>
      </c>
      <c r="L220" s="77">
        <v>0</v>
      </c>
      <c r="M220" s="77">
        <v>0</v>
      </c>
      <c r="N220" s="77">
        <v>0</v>
      </c>
      <c r="O220" s="76">
        <v>0</v>
      </c>
      <c r="P220" s="77">
        <f t="shared" si="71"/>
        <v>0</v>
      </c>
      <c r="Q220" s="77">
        <v>0</v>
      </c>
      <c r="R220" s="77">
        <v>0</v>
      </c>
      <c r="S220" s="77">
        <v>0</v>
      </c>
      <c r="T220" s="76">
        <v>0</v>
      </c>
      <c r="U220" s="77">
        <v>0</v>
      </c>
      <c r="V220" s="77">
        <v>0</v>
      </c>
      <c r="W220" s="77">
        <v>0</v>
      </c>
      <c r="X220" s="77">
        <v>0</v>
      </c>
      <c r="Y220" s="76">
        <v>0</v>
      </c>
      <c r="Z220" s="77">
        <v>0</v>
      </c>
      <c r="AA220" s="77">
        <v>0</v>
      </c>
      <c r="AB220" s="77">
        <v>0</v>
      </c>
      <c r="AC220" s="77">
        <v>0</v>
      </c>
    </row>
    <row r="221" spans="1:29" s="80" customFormat="1" ht="99" customHeight="1" outlineLevel="1" x14ac:dyDescent="0.2">
      <c r="A221" s="74" t="s">
        <v>1296</v>
      </c>
      <c r="B221" s="91" t="s">
        <v>832</v>
      </c>
      <c r="C221" s="38">
        <f t="shared" si="68"/>
        <v>0</v>
      </c>
      <c r="D221" s="55">
        <f t="shared" si="70"/>
        <v>1349</v>
      </c>
      <c r="E221" s="51">
        <v>0</v>
      </c>
      <c r="F221" s="89">
        <f t="shared" si="69"/>
        <v>1349</v>
      </c>
      <c r="G221" s="89">
        <v>0</v>
      </c>
      <c r="H221" s="52">
        <v>1284</v>
      </c>
      <c r="I221" s="52">
        <v>65</v>
      </c>
      <c r="J221" s="38">
        <v>0</v>
      </c>
      <c r="K221" s="77">
        <v>0</v>
      </c>
      <c r="L221" s="77">
        <v>0</v>
      </c>
      <c r="M221" s="77">
        <v>0</v>
      </c>
      <c r="N221" s="77">
        <v>0</v>
      </c>
      <c r="O221" s="76">
        <v>0</v>
      </c>
      <c r="P221" s="77">
        <f t="shared" si="71"/>
        <v>0</v>
      </c>
      <c r="Q221" s="77">
        <v>0</v>
      </c>
      <c r="R221" s="77">
        <v>0</v>
      </c>
      <c r="S221" s="77">
        <v>0</v>
      </c>
      <c r="T221" s="76">
        <v>0</v>
      </c>
      <c r="U221" s="77">
        <v>0</v>
      </c>
      <c r="V221" s="77">
        <v>0</v>
      </c>
      <c r="W221" s="77">
        <v>0</v>
      </c>
      <c r="X221" s="77">
        <v>0</v>
      </c>
      <c r="Y221" s="76">
        <v>0</v>
      </c>
      <c r="Z221" s="77">
        <v>0</v>
      </c>
      <c r="AA221" s="77">
        <v>0</v>
      </c>
      <c r="AB221" s="77">
        <v>0</v>
      </c>
      <c r="AC221" s="77">
        <v>0</v>
      </c>
    </row>
    <row r="222" spans="1:29" s="80" customFormat="1" ht="69" customHeight="1" outlineLevel="1" x14ac:dyDescent="0.2">
      <c r="A222" s="74" t="s">
        <v>1297</v>
      </c>
      <c r="B222" s="91" t="s">
        <v>658</v>
      </c>
      <c r="C222" s="38">
        <f t="shared" si="68"/>
        <v>0</v>
      </c>
      <c r="D222" s="55">
        <f t="shared" si="70"/>
        <v>142</v>
      </c>
      <c r="E222" s="51">
        <v>0</v>
      </c>
      <c r="F222" s="89">
        <f t="shared" si="69"/>
        <v>142</v>
      </c>
      <c r="G222" s="89">
        <v>0</v>
      </c>
      <c r="H222" s="52">
        <v>135</v>
      </c>
      <c r="I222" s="52">
        <v>7</v>
      </c>
      <c r="J222" s="38">
        <v>0</v>
      </c>
      <c r="K222" s="77">
        <v>0</v>
      </c>
      <c r="L222" s="77">
        <v>0</v>
      </c>
      <c r="M222" s="77">
        <v>0</v>
      </c>
      <c r="N222" s="77">
        <v>0</v>
      </c>
      <c r="O222" s="76">
        <v>0</v>
      </c>
      <c r="P222" s="77">
        <f t="shared" si="71"/>
        <v>0</v>
      </c>
      <c r="Q222" s="77">
        <v>0</v>
      </c>
      <c r="R222" s="77">
        <v>0</v>
      </c>
      <c r="S222" s="77">
        <v>0</v>
      </c>
      <c r="T222" s="76">
        <v>0</v>
      </c>
      <c r="U222" s="77">
        <v>0</v>
      </c>
      <c r="V222" s="77">
        <v>0</v>
      </c>
      <c r="W222" s="77">
        <v>0</v>
      </c>
      <c r="X222" s="77">
        <v>0</v>
      </c>
      <c r="Y222" s="76">
        <v>0</v>
      </c>
      <c r="Z222" s="77">
        <v>0</v>
      </c>
      <c r="AA222" s="77">
        <v>0</v>
      </c>
      <c r="AB222" s="77">
        <v>0</v>
      </c>
      <c r="AC222" s="77">
        <v>0</v>
      </c>
    </row>
    <row r="223" spans="1:29" s="80" customFormat="1" ht="76.900000000000006" customHeight="1" outlineLevel="1" x14ac:dyDescent="0.2">
      <c r="A223" s="74" t="s">
        <v>1298</v>
      </c>
      <c r="B223" s="91" t="s">
        <v>833</v>
      </c>
      <c r="C223" s="38">
        <f t="shared" si="68"/>
        <v>0</v>
      </c>
      <c r="D223" s="55">
        <f t="shared" si="70"/>
        <v>3782</v>
      </c>
      <c r="E223" s="51">
        <v>0</v>
      </c>
      <c r="F223" s="89">
        <f>G223+H223+I223</f>
        <v>3782</v>
      </c>
      <c r="G223" s="89">
        <v>0</v>
      </c>
      <c r="H223" s="52">
        <v>3601</v>
      </c>
      <c r="I223" s="52">
        <v>181</v>
      </c>
      <c r="J223" s="38">
        <v>0</v>
      </c>
      <c r="K223" s="77">
        <v>0</v>
      </c>
      <c r="L223" s="77">
        <v>0</v>
      </c>
      <c r="M223" s="77">
        <v>0</v>
      </c>
      <c r="N223" s="77">
        <v>0</v>
      </c>
      <c r="O223" s="76">
        <v>0</v>
      </c>
      <c r="P223" s="77">
        <f t="shared" si="71"/>
        <v>0</v>
      </c>
      <c r="Q223" s="77">
        <v>0</v>
      </c>
      <c r="R223" s="77">
        <v>0</v>
      </c>
      <c r="S223" s="77">
        <v>0</v>
      </c>
      <c r="T223" s="76">
        <v>0</v>
      </c>
      <c r="U223" s="77">
        <v>0</v>
      </c>
      <c r="V223" s="77">
        <v>0</v>
      </c>
      <c r="W223" s="77">
        <v>0</v>
      </c>
      <c r="X223" s="77">
        <v>0</v>
      </c>
      <c r="Y223" s="76">
        <v>0</v>
      </c>
      <c r="Z223" s="77">
        <v>0</v>
      </c>
      <c r="AA223" s="77">
        <v>0</v>
      </c>
      <c r="AB223" s="77">
        <v>0</v>
      </c>
      <c r="AC223" s="77">
        <v>0</v>
      </c>
    </row>
    <row r="224" spans="1:29" s="80" customFormat="1" ht="75" customHeight="1" outlineLevel="1" x14ac:dyDescent="0.2">
      <c r="A224" s="74" t="s">
        <v>1299</v>
      </c>
      <c r="B224" s="91" t="s">
        <v>659</v>
      </c>
      <c r="C224" s="38">
        <f t="shared" si="68"/>
        <v>0</v>
      </c>
      <c r="D224" s="55">
        <f t="shared" si="70"/>
        <v>3661</v>
      </c>
      <c r="E224" s="51">
        <v>0</v>
      </c>
      <c r="F224" s="89">
        <f t="shared" si="69"/>
        <v>3661</v>
      </c>
      <c r="G224" s="89">
        <v>0</v>
      </c>
      <c r="H224" s="52">
        <v>3485</v>
      </c>
      <c r="I224" s="52">
        <v>176</v>
      </c>
      <c r="J224" s="38">
        <v>0</v>
      </c>
      <c r="K224" s="77">
        <v>0</v>
      </c>
      <c r="L224" s="77">
        <v>0</v>
      </c>
      <c r="M224" s="77">
        <v>0</v>
      </c>
      <c r="N224" s="77">
        <v>0</v>
      </c>
      <c r="O224" s="76">
        <v>0</v>
      </c>
      <c r="P224" s="77">
        <f t="shared" si="71"/>
        <v>0</v>
      </c>
      <c r="Q224" s="77">
        <v>0</v>
      </c>
      <c r="R224" s="77">
        <v>0</v>
      </c>
      <c r="S224" s="77">
        <v>0</v>
      </c>
      <c r="T224" s="76">
        <v>0</v>
      </c>
      <c r="U224" s="77">
        <v>0</v>
      </c>
      <c r="V224" s="77">
        <v>0</v>
      </c>
      <c r="W224" s="77">
        <v>0</v>
      </c>
      <c r="X224" s="77">
        <v>0</v>
      </c>
      <c r="Y224" s="76">
        <v>0</v>
      </c>
      <c r="Z224" s="77">
        <v>0</v>
      </c>
      <c r="AA224" s="77">
        <v>0</v>
      </c>
      <c r="AB224" s="77">
        <v>0</v>
      </c>
      <c r="AC224" s="77">
        <v>0</v>
      </c>
    </row>
    <row r="225" spans="1:29" s="80" customFormat="1" ht="81" customHeight="1" outlineLevel="1" x14ac:dyDescent="0.2">
      <c r="A225" s="74" t="s">
        <v>1300</v>
      </c>
      <c r="B225" s="91" t="s">
        <v>834</v>
      </c>
      <c r="C225" s="38">
        <f t="shared" si="68"/>
        <v>0</v>
      </c>
      <c r="D225" s="55">
        <f t="shared" si="70"/>
        <v>1132</v>
      </c>
      <c r="E225" s="51">
        <v>0</v>
      </c>
      <c r="F225" s="89">
        <f t="shared" si="69"/>
        <v>1132</v>
      </c>
      <c r="G225" s="89">
        <v>0</v>
      </c>
      <c r="H225" s="52">
        <v>1078</v>
      </c>
      <c r="I225" s="52">
        <v>54</v>
      </c>
      <c r="J225" s="38">
        <v>0</v>
      </c>
      <c r="K225" s="77">
        <v>0</v>
      </c>
      <c r="L225" s="77">
        <v>0</v>
      </c>
      <c r="M225" s="77">
        <v>0</v>
      </c>
      <c r="N225" s="77">
        <v>0</v>
      </c>
      <c r="O225" s="76">
        <v>0</v>
      </c>
      <c r="P225" s="77">
        <f t="shared" si="71"/>
        <v>0</v>
      </c>
      <c r="Q225" s="77">
        <v>0</v>
      </c>
      <c r="R225" s="77">
        <v>0</v>
      </c>
      <c r="S225" s="77">
        <v>0</v>
      </c>
      <c r="T225" s="76">
        <v>0</v>
      </c>
      <c r="U225" s="77">
        <v>0</v>
      </c>
      <c r="V225" s="77">
        <v>0</v>
      </c>
      <c r="W225" s="77">
        <v>0</v>
      </c>
      <c r="X225" s="77">
        <v>0</v>
      </c>
      <c r="Y225" s="76">
        <v>0</v>
      </c>
      <c r="Z225" s="77">
        <v>0</v>
      </c>
      <c r="AA225" s="77">
        <v>0</v>
      </c>
      <c r="AB225" s="77">
        <v>0</v>
      </c>
      <c r="AC225" s="77">
        <v>0</v>
      </c>
    </row>
    <row r="226" spans="1:29" s="80" customFormat="1" ht="69.599999999999994" customHeight="1" outlineLevel="1" x14ac:dyDescent="0.2">
      <c r="A226" s="74" t="s">
        <v>1301</v>
      </c>
      <c r="B226" s="91" t="s">
        <v>660</v>
      </c>
      <c r="C226" s="38">
        <f t="shared" si="68"/>
        <v>0</v>
      </c>
      <c r="D226" s="55">
        <f t="shared" si="70"/>
        <v>1475</v>
      </c>
      <c r="E226" s="51">
        <v>0</v>
      </c>
      <c r="F226" s="89">
        <f>G226+H226+I226</f>
        <v>1475</v>
      </c>
      <c r="G226" s="89">
        <v>0</v>
      </c>
      <c r="H226" s="52">
        <v>1404</v>
      </c>
      <c r="I226" s="52">
        <v>71</v>
      </c>
      <c r="J226" s="38">
        <v>0</v>
      </c>
      <c r="K226" s="77">
        <v>0</v>
      </c>
      <c r="L226" s="77">
        <v>0</v>
      </c>
      <c r="M226" s="77">
        <v>0</v>
      </c>
      <c r="N226" s="77">
        <v>0</v>
      </c>
      <c r="O226" s="76">
        <v>0</v>
      </c>
      <c r="P226" s="77">
        <f t="shared" si="71"/>
        <v>0</v>
      </c>
      <c r="Q226" s="77">
        <v>0</v>
      </c>
      <c r="R226" s="77">
        <v>0</v>
      </c>
      <c r="S226" s="77">
        <v>0</v>
      </c>
      <c r="T226" s="76">
        <v>0</v>
      </c>
      <c r="U226" s="77">
        <v>0</v>
      </c>
      <c r="V226" s="77">
        <v>0</v>
      </c>
      <c r="W226" s="77">
        <v>0</v>
      </c>
      <c r="X226" s="77">
        <v>0</v>
      </c>
      <c r="Y226" s="76">
        <v>0</v>
      </c>
      <c r="Z226" s="77">
        <v>0</v>
      </c>
      <c r="AA226" s="77">
        <v>0</v>
      </c>
      <c r="AB226" s="77">
        <v>0</v>
      </c>
      <c r="AC226" s="77">
        <v>0</v>
      </c>
    </row>
    <row r="227" spans="1:29" s="80" customFormat="1" ht="57" customHeight="1" outlineLevel="1" x14ac:dyDescent="0.2">
      <c r="A227" s="74" t="s">
        <v>1302</v>
      </c>
      <c r="B227" s="91" t="s">
        <v>661</v>
      </c>
      <c r="C227" s="38">
        <f t="shared" si="68"/>
        <v>0</v>
      </c>
      <c r="D227" s="55">
        <f t="shared" si="70"/>
        <v>1148</v>
      </c>
      <c r="E227" s="51">
        <v>0</v>
      </c>
      <c r="F227" s="89">
        <f>G227+H227+I227</f>
        <v>1148</v>
      </c>
      <c r="G227" s="89">
        <v>0</v>
      </c>
      <c r="H227" s="52">
        <v>1093</v>
      </c>
      <c r="I227" s="52">
        <v>55</v>
      </c>
      <c r="J227" s="38">
        <v>0</v>
      </c>
      <c r="K227" s="77">
        <v>0</v>
      </c>
      <c r="L227" s="77">
        <v>0</v>
      </c>
      <c r="M227" s="77">
        <v>0</v>
      </c>
      <c r="N227" s="77">
        <v>0</v>
      </c>
      <c r="O227" s="76">
        <v>0</v>
      </c>
      <c r="P227" s="77">
        <f t="shared" si="71"/>
        <v>0</v>
      </c>
      <c r="Q227" s="77">
        <v>0</v>
      </c>
      <c r="R227" s="77">
        <v>0</v>
      </c>
      <c r="S227" s="77">
        <v>0</v>
      </c>
      <c r="T227" s="76">
        <v>0</v>
      </c>
      <c r="U227" s="77">
        <v>0</v>
      </c>
      <c r="V227" s="77">
        <v>0</v>
      </c>
      <c r="W227" s="77">
        <v>0</v>
      </c>
      <c r="X227" s="77">
        <v>0</v>
      </c>
      <c r="Y227" s="76">
        <v>0</v>
      </c>
      <c r="Z227" s="77">
        <v>0</v>
      </c>
      <c r="AA227" s="77">
        <v>0</v>
      </c>
      <c r="AB227" s="77">
        <v>0</v>
      </c>
      <c r="AC227" s="77">
        <v>0</v>
      </c>
    </row>
    <row r="228" spans="1:29" s="80" customFormat="1" ht="63" customHeight="1" outlineLevel="1" x14ac:dyDescent="0.2">
      <c r="A228" s="74" t="s">
        <v>1303</v>
      </c>
      <c r="B228" s="91" t="s">
        <v>835</v>
      </c>
      <c r="C228" s="38">
        <f t="shared" si="68"/>
        <v>0</v>
      </c>
      <c r="D228" s="55">
        <f t="shared" si="70"/>
        <v>828</v>
      </c>
      <c r="E228" s="51">
        <v>0</v>
      </c>
      <c r="F228" s="89">
        <f t="shared" si="69"/>
        <v>828</v>
      </c>
      <c r="G228" s="89">
        <v>0</v>
      </c>
      <c r="H228" s="52">
        <v>788</v>
      </c>
      <c r="I228" s="52">
        <v>40</v>
      </c>
      <c r="J228" s="38">
        <v>0</v>
      </c>
      <c r="K228" s="77">
        <v>0</v>
      </c>
      <c r="L228" s="77">
        <v>0</v>
      </c>
      <c r="M228" s="77">
        <v>0</v>
      </c>
      <c r="N228" s="77">
        <v>0</v>
      </c>
      <c r="O228" s="76">
        <v>0</v>
      </c>
      <c r="P228" s="77">
        <f t="shared" si="71"/>
        <v>0</v>
      </c>
      <c r="Q228" s="77">
        <v>0</v>
      </c>
      <c r="R228" s="77">
        <v>0</v>
      </c>
      <c r="S228" s="77">
        <v>0</v>
      </c>
      <c r="T228" s="76">
        <v>0</v>
      </c>
      <c r="U228" s="77">
        <v>0</v>
      </c>
      <c r="V228" s="77">
        <v>0</v>
      </c>
      <c r="W228" s="77">
        <v>0</v>
      </c>
      <c r="X228" s="77">
        <v>0</v>
      </c>
      <c r="Y228" s="76">
        <v>0</v>
      </c>
      <c r="Z228" s="77">
        <v>0</v>
      </c>
      <c r="AA228" s="77">
        <v>0</v>
      </c>
      <c r="AB228" s="77">
        <v>0</v>
      </c>
      <c r="AC228" s="77">
        <v>0</v>
      </c>
    </row>
    <row r="229" spans="1:29" s="80" customFormat="1" ht="115.9" customHeight="1" outlineLevel="1" x14ac:dyDescent="0.2">
      <c r="A229" s="74" t="s">
        <v>1304</v>
      </c>
      <c r="B229" s="91" t="s">
        <v>662</v>
      </c>
      <c r="C229" s="38">
        <f t="shared" si="68"/>
        <v>0</v>
      </c>
      <c r="D229" s="55">
        <f t="shared" si="70"/>
        <v>5055</v>
      </c>
      <c r="E229" s="51">
        <v>0</v>
      </c>
      <c r="F229" s="89">
        <f t="shared" si="69"/>
        <v>5055</v>
      </c>
      <c r="G229" s="89">
        <v>0</v>
      </c>
      <c r="H229" s="52">
        <v>4812</v>
      </c>
      <c r="I229" s="52">
        <v>243</v>
      </c>
      <c r="J229" s="38">
        <v>0</v>
      </c>
      <c r="K229" s="77">
        <v>0</v>
      </c>
      <c r="L229" s="77">
        <v>0</v>
      </c>
      <c r="M229" s="77">
        <v>0</v>
      </c>
      <c r="N229" s="77">
        <v>0</v>
      </c>
      <c r="O229" s="76">
        <v>0</v>
      </c>
      <c r="P229" s="77">
        <f t="shared" si="71"/>
        <v>0</v>
      </c>
      <c r="Q229" s="77">
        <v>0</v>
      </c>
      <c r="R229" s="77">
        <v>0</v>
      </c>
      <c r="S229" s="77">
        <v>0</v>
      </c>
      <c r="T229" s="76">
        <v>0</v>
      </c>
      <c r="U229" s="77">
        <v>0</v>
      </c>
      <c r="V229" s="77">
        <v>0</v>
      </c>
      <c r="W229" s="77">
        <v>0</v>
      </c>
      <c r="X229" s="77">
        <v>0</v>
      </c>
      <c r="Y229" s="76">
        <v>0</v>
      </c>
      <c r="Z229" s="77">
        <v>0</v>
      </c>
      <c r="AA229" s="77">
        <v>0</v>
      </c>
      <c r="AB229" s="77">
        <v>0</v>
      </c>
      <c r="AC229" s="77">
        <v>0</v>
      </c>
    </row>
    <row r="230" spans="1:29" s="80" customFormat="1" ht="99.75" customHeight="1" outlineLevel="1" x14ac:dyDescent="0.2">
      <c r="A230" s="74" t="s">
        <v>1305</v>
      </c>
      <c r="B230" s="91" t="s">
        <v>836</v>
      </c>
      <c r="C230" s="38">
        <f t="shared" si="68"/>
        <v>0</v>
      </c>
      <c r="D230" s="55">
        <f t="shared" si="70"/>
        <v>897</v>
      </c>
      <c r="E230" s="51">
        <v>0</v>
      </c>
      <c r="F230" s="89">
        <f t="shared" si="69"/>
        <v>897</v>
      </c>
      <c r="G230" s="89">
        <v>0</v>
      </c>
      <c r="H230" s="52">
        <v>854</v>
      </c>
      <c r="I230" s="52">
        <v>43</v>
      </c>
      <c r="J230" s="38">
        <v>0</v>
      </c>
      <c r="K230" s="77">
        <v>0</v>
      </c>
      <c r="L230" s="77">
        <v>0</v>
      </c>
      <c r="M230" s="77">
        <v>0</v>
      </c>
      <c r="N230" s="77">
        <v>0</v>
      </c>
      <c r="O230" s="76">
        <v>0</v>
      </c>
      <c r="P230" s="77">
        <f t="shared" si="71"/>
        <v>0</v>
      </c>
      <c r="Q230" s="77">
        <v>0</v>
      </c>
      <c r="R230" s="77">
        <v>0</v>
      </c>
      <c r="S230" s="77">
        <v>0</v>
      </c>
      <c r="T230" s="76">
        <v>0</v>
      </c>
      <c r="U230" s="77">
        <v>0</v>
      </c>
      <c r="V230" s="77">
        <v>0</v>
      </c>
      <c r="W230" s="77">
        <v>0</v>
      </c>
      <c r="X230" s="77">
        <v>0</v>
      </c>
      <c r="Y230" s="76">
        <v>0</v>
      </c>
      <c r="Z230" s="77">
        <v>0</v>
      </c>
      <c r="AA230" s="77">
        <v>0</v>
      </c>
      <c r="AB230" s="77">
        <v>0</v>
      </c>
      <c r="AC230" s="77">
        <v>0</v>
      </c>
    </row>
    <row r="231" spans="1:29" s="80" customFormat="1" ht="106.9" customHeight="1" outlineLevel="1" x14ac:dyDescent="0.2">
      <c r="A231" s="74" t="s">
        <v>1306</v>
      </c>
      <c r="B231" s="91" t="s">
        <v>663</v>
      </c>
      <c r="C231" s="38">
        <f t="shared" si="68"/>
        <v>0</v>
      </c>
      <c r="D231" s="55">
        <f t="shared" si="70"/>
        <v>551</v>
      </c>
      <c r="E231" s="51">
        <v>0</v>
      </c>
      <c r="F231" s="89">
        <f t="shared" ref="F231:F246" si="72">G231+H231+I231</f>
        <v>551</v>
      </c>
      <c r="G231" s="89">
        <v>0</v>
      </c>
      <c r="H231" s="52">
        <v>525</v>
      </c>
      <c r="I231" s="52">
        <v>26</v>
      </c>
      <c r="J231" s="38">
        <v>0</v>
      </c>
      <c r="K231" s="77">
        <v>0</v>
      </c>
      <c r="L231" s="77">
        <v>0</v>
      </c>
      <c r="M231" s="77">
        <v>0</v>
      </c>
      <c r="N231" s="77">
        <v>0</v>
      </c>
      <c r="O231" s="76">
        <v>0</v>
      </c>
      <c r="P231" s="77">
        <f t="shared" si="71"/>
        <v>0</v>
      </c>
      <c r="Q231" s="77">
        <v>0</v>
      </c>
      <c r="R231" s="77">
        <v>0</v>
      </c>
      <c r="S231" s="77">
        <v>0</v>
      </c>
      <c r="T231" s="76">
        <v>0</v>
      </c>
      <c r="U231" s="77">
        <v>0</v>
      </c>
      <c r="V231" s="77">
        <v>0</v>
      </c>
      <c r="W231" s="77">
        <v>0</v>
      </c>
      <c r="X231" s="77">
        <v>0</v>
      </c>
      <c r="Y231" s="76">
        <v>0</v>
      </c>
      <c r="Z231" s="77">
        <v>0</v>
      </c>
      <c r="AA231" s="77">
        <v>0</v>
      </c>
      <c r="AB231" s="77">
        <v>0</v>
      </c>
      <c r="AC231" s="77">
        <v>0</v>
      </c>
    </row>
    <row r="232" spans="1:29" s="80" customFormat="1" ht="39" customHeight="1" outlineLevel="1" x14ac:dyDescent="0.2">
      <c r="A232" s="74" t="s">
        <v>1307</v>
      </c>
      <c r="B232" s="91" t="s">
        <v>665</v>
      </c>
      <c r="C232" s="38">
        <f>E232+J232+O232+T232+Y232</f>
        <v>0</v>
      </c>
      <c r="D232" s="55">
        <f>F232+K232+P232+U232+Z232</f>
        <v>221</v>
      </c>
      <c r="E232" s="51">
        <v>0</v>
      </c>
      <c r="F232" s="89">
        <f t="shared" si="72"/>
        <v>221</v>
      </c>
      <c r="G232" s="89">
        <v>0</v>
      </c>
      <c r="H232" s="52">
        <v>210</v>
      </c>
      <c r="I232" s="52">
        <v>11</v>
      </c>
      <c r="J232" s="38">
        <v>0</v>
      </c>
      <c r="K232" s="77">
        <v>0</v>
      </c>
      <c r="L232" s="77">
        <v>0</v>
      </c>
      <c r="M232" s="77">
        <v>0</v>
      </c>
      <c r="N232" s="77">
        <v>0</v>
      </c>
      <c r="O232" s="76">
        <v>0</v>
      </c>
      <c r="P232" s="77">
        <f>S232</f>
        <v>0</v>
      </c>
      <c r="Q232" s="77">
        <v>0</v>
      </c>
      <c r="R232" s="77">
        <v>0</v>
      </c>
      <c r="S232" s="77">
        <v>0</v>
      </c>
      <c r="T232" s="76">
        <v>0</v>
      </c>
      <c r="U232" s="77">
        <v>0</v>
      </c>
      <c r="V232" s="77">
        <v>0</v>
      </c>
      <c r="W232" s="77">
        <v>0</v>
      </c>
      <c r="X232" s="77">
        <v>0</v>
      </c>
      <c r="Y232" s="76">
        <v>0</v>
      </c>
      <c r="Z232" s="77">
        <v>0</v>
      </c>
      <c r="AA232" s="77">
        <v>0</v>
      </c>
      <c r="AB232" s="77">
        <v>0</v>
      </c>
      <c r="AC232" s="77">
        <v>0</v>
      </c>
    </row>
    <row r="233" spans="1:29" s="80" customFormat="1" ht="105" customHeight="1" outlineLevel="1" x14ac:dyDescent="0.2">
      <c r="A233" s="74" t="s">
        <v>1308</v>
      </c>
      <c r="B233" s="91" t="s">
        <v>669</v>
      </c>
      <c r="C233" s="38">
        <f>E233+J233+O233+T233+Y233</f>
        <v>0</v>
      </c>
      <c r="D233" s="55">
        <f>F233+K233+P233+U233+Z233</f>
        <v>1624</v>
      </c>
      <c r="E233" s="51">
        <v>0</v>
      </c>
      <c r="F233" s="89">
        <f t="shared" si="72"/>
        <v>1624</v>
      </c>
      <c r="G233" s="89">
        <v>0</v>
      </c>
      <c r="H233" s="52">
        <v>1546</v>
      </c>
      <c r="I233" s="52">
        <v>78</v>
      </c>
      <c r="J233" s="38">
        <v>0</v>
      </c>
      <c r="K233" s="77">
        <v>0</v>
      </c>
      <c r="L233" s="77">
        <v>0</v>
      </c>
      <c r="M233" s="77">
        <v>0</v>
      </c>
      <c r="N233" s="77">
        <v>0</v>
      </c>
      <c r="O233" s="76">
        <v>0</v>
      </c>
      <c r="P233" s="77">
        <f>S233</f>
        <v>0</v>
      </c>
      <c r="Q233" s="77">
        <v>0</v>
      </c>
      <c r="R233" s="77">
        <v>0</v>
      </c>
      <c r="S233" s="77">
        <v>0</v>
      </c>
      <c r="T233" s="76">
        <v>0</v>
      </c>
      <c r="U233" s="77">
        <v>0</v>
      </c>
      <c r="V233" s="77">
        <v>0</v>
      </c>
      <c r="W233" s="77">
        <v>0</v>
      </c>
      <c r="X233" s="77">
        <v>0</v>
      </c>
      <c r="Y233" s="76">
        <v>0</v>
      </c>
      <c r="Z233" s="77">
        <v>0</v>
      </c>
      <c r="AA233" s="77">
        <v>0</v>
      </c>
      <c r="AB233" s="77">
        <v>0</v>
      </c>
      <c r="AC233" s="77">
        <v>0</v>
      </c>
    </row>
    <row r="234" spans="1:29" s="80" customFormat="1" ht="57" customHeight="1" outlineLevel="1" x14ac:dyDescent="0.2">
      <c r="A234" s="74" t="s">
        <v>1309</v>
      </c>
      <c r="B234" s="91" t="s">
        <v>664</v>
      </c>
      <c r="C234" s="38">
        <f t="shared" ref="C234:C253" si="73">E234+J234+O234+T234+Y234</f>
        <v>0</v>
      </c>
      <c r="D234" s="55">
        <f t="shared" si="70"/>
        <v>164</v>
      </c>
      <c r="E234" s="51">
        <v>0</v>
      </c>
      <c r="F234" s="89">
        <f t="shared" si="72"/>
        <v>164</v>
      </c>
      <c r="G234" s="89">
        <v>0</v>
      </c>
      <c r="H234" s="52">
        <v>156</v>
      </c>
      <c r="I234" s="52">
        <v>8</v>
      </c>
      <c r="J234" s="38">
        <v>0</v>
      </c>
      <c r="K234" s="77">
        <v>0</v>
      </c>
      <c r="L234" s="77">
        <v>0</v>
      </c>
      <c r="M234" s="77">
        <v>0</v>
      </c>
      <c r="N234" s="77">
        <v>0</v>
      </c>
      <c r="O234" s="76">
        <v>0</v>
      </c>
      <c r="P234" s="77">
        <f t="shared" si="71"/>
        <v>0</v>
      </c>
      <c r="Q234" s="77">
        <v>0</v>
      </c>
      <c r="R234" s="77">
        <v>0</v>
      </c>
      <c r="S234" s="77">
        <v>0</v>
      </c>
      <c r="T234" s="76">
        <v>0</v>
      </c>
      <c r="U234" s="77">
        <v>0</v>
      </c>
      <c r="V234" s="77">
        <v>0</v>
      </c>
      <c r="W234" s="77">
        <v>0</v>
      </c>
      <c r="X234" s="77">
        <v>0</v>
      </c>
      <c r="Y234" s="76">
        <v>0</v>
      </c>
      <c r="Z234" s="77">
        <v>0</v>
      </c>
      <c r="AA234" s="77">
        <v>0</v>
      </c>
      <c r="AB234" s="77">
        <v>0</v>
      </c>
      <c r="AC234" s="77">
        <v>0</v>
      </c>
    </row>
    <row r="235" spans="1:29" s="80" customFormat="1" ht="49.9" customHeight="1" outlineLevel="1" x14ac:dyDescent="0.2">
      <c r="A235" s="74" t="s">
        <v>1310</v>
      </c>
      <c r="B235" s="91" t="s">
        <v>666</v>
      </c>
      <c r="C235" s="38">
        <f t="shared" si="73"/>
        <v>0</v>
      </c>
      <c r="D235" s="55">
        <f t="shared" ref="D235:D246" si="74">F235+K235+P235+U235+Z235</f>
        <v>108</v>
      </c>
      <c r="E235" s="51">
        <v>0</v>
      </c>
      <c r="F235" s="89">
        <f t="shared" si="72"/>
        <v>108</v>
      </c>
      <c r="G235" s="89">
        <v>0</v>
      </c>
      <c r="H235" s="52">
        <v>102</v>
      </c>
      <c r="I235" s="52">
        <v>6</v>
      </c>
      <c r="J235" s="38">
        <v>0</v>
      </c>
      <c r="K235" s="77">
        <v>0</v>
      </c>
      <c r="L235" s="77">
        <v>0</v>
      </c>
      <c r="M235" s="77">
        <v>0</v>
      </c>
      <c r="N235" s="77">
        <v>0</v>
      </c>
      <c r="O235" s="76">
        <v>0</v>
      </c>
      <c r="P235" s="77">
        <f t="shared" ref="P235:P245" si="75">S235</f>
        <v>0</v>
      </c>
      <c r="Q235" s="77">
        <v>0</v>
      </c>
      <c r="R235" s="77">
        <v>0</v>
      </c>
      <c r="S235" s="77">
        <v>0</v>
      </c>
      <c r="T235" s="76">
        <v>0</v>
      </c>
      <c r="U235" s="77">
        <v>0</v>
      </c>
      <c r="V235" s="77">
        <v>0</v>
      </c>
      <c r="W235" s="77">
        <v>0</v>
      </c>
      <c r="X235" s="77">
        <v>0</v>
      </c>
      <c r="Y235" s="76">
        <v>0</v>
      </c>
      <c r="Z235" s="77">
        <v>0</v>
      </c>
      <c r="AA235" s="77">
        <v>0</v>
      </c>
      <c r="AB235" s="77">
        <v>0</v>
      </c>
      <c r="AC235" s="77">
        <v>0</v>
      </c>
    </row>
    <row r="236" spans="1:29" s="80" customFormat="1" ht="52.9" customHeight="1" outlineLevel="1" x14ac:dyDescent="0.2">
      <c r="A236" s="74" t="s">
        <v>1311</v>
      </c>
      <c r="B236" s="91" t="s">
        <v>667</v>
      </c>
      <c r="C236" s="38">
        <f t="shared" si="73"/>
        <v>0</v>
      </c>
      <c r="D236" s="55">
        <f t="shared" si="74"/>
        <v>398</v>
      </c>
      <c r="E236" s="51">
        <v>0</v>
      </c>
      <c r="F236" s="89">
        <f t="shared" si="72"/>
        <v>398</v>
      </c>
      <c r="G236" s="89">
        <v>0</v>
      </c>
      <c r="H236" s="52">
        <v>379</v>
      </c>
      <c r="I236" s="52">
        <v>19</v>
      </c>
      <c r="J236" s="38">
        <v>0</v>
      </c>
      <c r="K236" s="77">
        <v>0</v>
      </c>
      <c r="L236" s="77">
        <v>0</v>
      </c>
      <c r="M236" s="77">
        <v>0</v>
      </c>
      <c r="N236" s="77">
        <v>0</v>
      </c>
      <c r="O236" s="76">
        <v>0</v>
      </c>
      <c r="P236" s="77">
        <f t="shared" si="75"/>
        <v>0</v>
      </c>
      <c r="Q236" s="77">
        <v>0</v>
      </c>
      <c r="R236" s="77">
        <v>0</v>
      </c>
      <c r="S236" s="77">
        <v>0</v>
      </c>
      <c r="T236" s="76">
        <v>0</v>
      </c>
      <c r="U236" s="77">
        <v>0</v>
      </c>
      <c r="V236" s="77">
        <v>0</v>
      </c>
      <c r="W236" s="77">
        <v>0</v>
      </c>
      <c r="X236" s="77">
        <v>0</v>
      </c>
      <c r="Y236" s="76">
        <v>0</v>
      </c>
      <c r="Z236" s="77">
        <v>0</v>
      </c>
      <c r="AA236" s="77">
        <v>0</v>
      </c>
      <c r="AB236" s="77">
        <v>0</v>
      </c>
      <c r="AC236" s="77">
        <v>0</v>
      </c>
    </row>
    <row r="237" spans="1:29" s="80" customFormat="1" ht="49.9" customHeight="1" outlineLevel="1" x14ac:dyDescent="0.2">
      <c r="A237" s="74" t="s">
        <v>1312</v>
      </c>
      <c r="B237" s="91" t="s">
        <v>668</v>
      </c>
      <c r="C237" s="38">
        <f t="shared" si="73"/>
        <v>0</v>
      </c>
      <c r="D237" s="55">
        <f t="shared" si="74"/>
        <v>173</v>
      </c>
      <c r="E237" s="51">
        <v>0</v>
      </c>
      <c r="F237" s="89">
        <f t="shared" si="72"/>
        <v>173</v>
      </c>
      <c r="G237" s="89">
        <v>0</v>
      </c>
      <c r="H237" s="52">
        <v>165</v>
      </c>
      <c r="I237" s="52">
        <v>8</v>
      </c>
      <c r="J237" s="38">
        <v>0</v>
      </c>
      <c r="K237" s="77">
        <v>0</v>
      </c>
      <c r="L237" s="77">
        <v>0</v>
      </c>
      <c r="M237" s="77">
        <v>0</v>
      </c>
      <c r="N237" s="77">
        <v>0</v>
      </c>
      <c r="O237" s="76">
        <v>0</v>
      </c>
      <c r="P237" s="77">
        <f t="shared" si="75"/>
        <v>0</v>
      </c>
      <c r="Q237" s="77">
        <v>0</v>
      </c>
      <c r="R237" s="77">
        <v>0</v>
      </c>
      <c r="S237" s="77">
        <v>0</v>
      </c>
      <c r="T237" s="76">
        <v>0</v>
      </c>
      <c r="U237" s="77">
        <v>0</v>
      </c>
      <c r="V237" s="77">
        <v>0</v>
      </c>
      <c r="W237" s="77">
        <v>0</v>
      </c>
      <c r="X237" s="77">
        <v>0</v>
      </c>
      <c r="Y237" s="76">
        <v>0</v>
      </c>
      <c r="Z237" s="77">
        <v>0</v>
      </c>
      <c r="AA237" s="77">
        <v>0</v>
      </c>
      <c r="AB237" s="77">
        <v>0</v>
      </c>
      <c r="AC237" s="77">
        <v>0</v>
      </c>
    </row>
    <row r="238" spans="1:29" s="80" customFormat="1" ht="67.900000000000006" customHeight="1" outlineLevel="1" x14ac:dyDescent="0.2">
      <c r="A238" s="74" t="s">
        <v>1313</v>
      </c>
      <c r="B238" s="91" t="s">
        <v>670</v>
      </c>
      <c r="C238" s="38">
        <f t="shared" si="73"/>
        <v>0</v>
      </c>
      <c r="D238" s="55">
        <f t="shared" si="74"/>
        <v>6317</v>
      </c>
      <c r="E238" s="51">
        <v>0</v>
      </c>
      <c r="F238" s="89">
        <f t="shared" si="72"/>
        <v>6317</v>
      </c>
      <c r="G238" s="89">
        <v>0</v>
      </c>
      <c r="H238" s="52">
        <v>6014</v>
      </c>
      <c r="I238" s="52">
        <v>303</v>
      </c>
      <c r="J238" s="38">
        <v>0</v>
      </c>
      <c r="K238" s="77">
        <v>0</v>
      </c>
      <c r="L238" s="77">
        <v>0</v>
      </c>
      <c r="M238" s="77">
        <v>0</v>
      </c>
      <c r="N238" s="77">
        <v>0</v>
      </c>
      <c r="O238" s="76">
        <v>0</v>
      </c>
      <c r="P238" s="77">
        <f t="shared" si="75"/>
        <v>0</v>
      </c>
      <c r="Q238" s="77">
        <v>0</v>
      </c>
      <c r="R238" s="77">
        <v>0</v>
      </c>
      <c r="S238" s="77">
        <v>0</v>
      </c>
      <c r="T238" s="76">
        <v>0</v>
      </c>
      <c r="U238" s="77">
        <v>0</v>
      </c>
      <c r="V238" s="77">
        <v>0</v>
      </c>
      <c r="W238" s="77">
        <v>0</v>
      </c>
      <c r="X238" s="77">
        <v>0</v>
      </c>
      <c r="Y238" s="76">
        <v>0</v>
      </c>
      <c r="Z238" s="77">
        <v>0</v>
      </c>
      <c r="AA238" s="77">
        <v>0</v>
      </c>
      <c r="AB238" s="77">
        <v>0</v>
      </c>
      <c r="AC238" s="77">
        <v>0</v>
      </c>
    </row>
    <row r="239" spans="1:29" s="80" customFormat="1" ht="132.75" customHeight="1" outlineLevel="1" x14ac:dyDescent="0.2">
      <c r="A239" s="347" t="s">
        <v>1314</v>
      </c>
      <c r="B239" s="416" t="s">
        <v>1808</v>
      </c>
      <c r="C239" s="38">
        <f t="shared" si="73"/>
        <v>0</v>
      </c>
      <c r="D239" s="55">
        <f t="shared" si="74"/>
        <v>1544</v>
      </c>
      <c r="E239" s="51">
        <v>0</v>
      </c>
      <c r="F239" s="89">
        <f t="shared" si="72"/>
        <v>330</v>
      </c>
      <c r="G239" s="89">
        <v>0</v>
      </c>
      <c r="H239" s="52">
        <v>0</v>
      </c>
      <c r="I239" s="52">
        <v>330</v>
      </c>
      <c r="J239" s="38">
        <v>0</v>
      </c>
      <c r="K239" s="77">
        <f>L239+M239+N239</f>
        <v>277</v>
      </c>
      <c r="L239" s="77">
        <v>0</v>
      </c>
      <c r="M239" s="77">
        <v>0</v>
      </c>
      <c r="N239" s="77">
        <f>300-23</f>
        <v>277</v>
      </c>
      <c r="O239" s="76">
        <v>0</v>
      </c>
      <c r="P239" s="346">
        <f t="shared" si="75"/>
        <v>537</v>
      </c>
      <c r="Q239" s="346">
        <v>0</v>
      </c>
      <c r="R239" s="346">
        <v>0</v>
      </c>
      <c r="S239" s="346">
        <f>400-200+337</f>
        <v>537</v>
      </c>
      <c r="T239" s="76">
        <v>0</v>
      </c>
      <c r="U239" s="77">
        <f>X239+W239+V239</f>
        <v>200</v>
      </c>
      <c r="V239" s="77">
        <v>0</v>
      </c>
      <c r="W239" s="77">
        <v>0</v>
      </c>
      <c r="X239" s="77">
        <f>400-200</f>
        <v>200</v>
      </c>
      <c r="Y239" s="76">
        <v>0</v>
      </c>
      <c r="Z239" s="77">
        <f>AC239+AB239+AA239</f>
        <v>200</v>
      </c>
      <c r="AA239" s="77">
        <v>0</v>
      </c>
      <c r="AB239" s="77">
        <v>0</v>
      </c>
      <c r="AC239" s="77">
        <f>400-200</f>
        <v>200</v>
      </c>
    </row>
    <row r="240" spans="1:29" s="80" customFormat="1" ht="32.25" customHeight="1" outlineLevel="1" x14ac:dyDescent="0.2">
      <c r="A240" s="74" t="s">
        <v>1315</v>
      </c>
      <c r="B240" s="91" t="s">
        <v>795</v>
      </c>
      <c r="C240" s="38">
        <f t="shared" si="73"/>
        <v>0</v>
      </c>
      <c r="D240" s="55">
        <f t="shared" si="74"/>
        <v>0</v>
      </c>
      <c r="E240" s="51">
        <v>0</v>
      </c>
      <c r="F240" s="89">
        <f t="shared" si="72"/>
        <v>0</v>
      </c>
      <c r="G240" s="89">
        <v>0</v>
      </c>
      <c r="H240" s="52">
        <v>0</v>
      </c>
      <c r="I240" s="52">
        <v>0</v>
      </c>
      <c r="J240" s="38">
        <v>0</v>
      </c>
      <c r="K240" s="77">
        <f>L240+M240+N240</f>
        <v>0</v>
      </c>
      <c r="L240" s="77">
        <v>0</v>
      </c>
      <c r="M240" s="77">
        <v>0</v>
      </c>
      <c r="N240" s="77">
        <v>0</v>
      </c>
      <c r="O240" s="76">
        <v>0</v>
      </c>
      <c r="P240" s="346">
        <f t="shared" si="75"/>
        <v>0</v>
      </c>
      <c r="Q240" s="346">
        <v>0</v>
      </c>
      <c r="R240" s="346">
        <v>0</v>
      </c>
      <c r="S240" s="346">
        <v>0</v>
      </c>
      <c r="T240" s="76">
        <v>0</v>
      </c>
      <c r="U240" s="346">
        <f>X240+W240+V240</f>
        <v>0</v>
      </c>
      <c r="V240" s="346">
        <v>0</v>
      </c>
      <c r="W240" s="346">
        <v>0</v>
      </c>
      <c r="X240" s="346">
        <f>8256-8256</f>
        <v>0</v>
      </c>
      <c r="Y240" s="345">
        <v>0</v>
      </c>
      <c r="Z240" s="346">
        <f>AA240+AB240+AC240+AD240</f>
        <v>0</v>
      </c>
      <c r="AA240" s="346">
        <v>0</v>
      </c>
      <c r="AB240" s="346">
        <v>0</v>
      </c>
      <c r="AC240" s="346">
        <f>8256-8256</f>
        <v>0</v>
      </c>
    </row>
    <row r="241" spans="1:30" s="80" customFormat="1" ht="79.5" customHeight="1" outlineLevel="1" x14ac:dyDescent="0.2">
      <c r="A241" s="74" t="s">
        <v>1316</v>
      </c>
      <c r="B241" s="91" t="s">
        <v>29</v>
      </c>
      <c r="C241" s="38">
        <f t="shared" si="73"/>
        <v>0</v>
      </c>
      <c r="D241" s="55">
        <f t="shared" si="74"/>
        <v>672</v>
      </c>
      <c r="E241" s="51">
        <v>0</v>
      </c>
      <c r="F241" s="89">
        <f t="shared" si="72"/>
        <v>97</v>
      </c>
      <c r="G241" s="89">
        <v>0</v>
      </c>
      <c r="H241" s="52">
        <v>0</v>
      </c>
      <c r="I241" s="52">
        <v>97</v>
      </c>
      <c r="J241" s="38">
        <v>0</v>
      </c>
      <c r="K241" s="77">
        <f>L241+M241+N241</f>
        <v>174</v>
      </c>
      <c r="L241" s="77">
        <v>0</v>
      </c>
      <c r="M241" s="77">
        <v>0</v>
      </c>
      <c r="N241" s="77">
        <f>143+31</f>
        <v>174</v>
      </c>
      <c r="O241" s="76">
        <v>0</v>
      </c>
      <c r="P241" s="346">
        <f t="shared" si="75"/>
        <v>282</v>
      </c>
      <c r="Q241" s="346">
        <v>0</v>
      </c>
      <c r="R241" s="346">
        <v>0</v>
      </c>
      <c r="S241" s="346">
        <f>119+169-6</f>
        <v>282</v>
      </c>
      <c r="T241" s="76">
        <v>0</v>
      </c>
      <c r="U241" s="77">
        <f>V241+W241+X241</f>
        <v>119</v>
      </c>
      <c r="V241" s="77">
        <v>0</v>
      </c>
      <c r="W241" s="77">
        <v>0</v>
      </c>
      <c r="X241" s="77">
        <v>119</v>
      </c>
      <c r="Y241" s="76">
        <v>0</v>
      </c>
      <c r="Z241" s="77">
        <v>0</v>
      </c>
      <c r="AA241" s="77">
        <v>0</v>
      </c>
      <c r="AB241" s="77">
        <v>0</v>
      </c>
      <c r="AC241" s="77">
        <v>0</v>
      </c>
    </row>
    <row r="242" spans="1:30" s="80" customFormat="1" ht="114" customHeight="1" outlineLevel="1" x14ac:dyDescent="0.2">
      <c r="A242" s="74" t="s">
        <v>1317</v>
      </c>
      <c r="B242" s="91" t="s">
        <v>812</v>
      </c>
      <c r="C242" s="38">
        <f t="shared" si="73"/>
        <v>0</v>
      </c>
      <c r="D242" s="55">
        <f t="shared" si="74"/>
        <v>30</v>
      </c>
      <c r="E242" s="51">
        <v>0</v>
      </c>
      <c r="F242" s="89">
        <f t="shared" si="72"/>
        <v>30</v>
      </c>
      <c r="G242" s="89">
        <v>0</v>
      </c>
      <c r="H242" s="52">
        <v>0</v>
      </c>
      <c r="I242" s="52">
        <v>30</v>
      </c>
      <c r="J242" s="38">
        <v>0</v>
      </c>
      <c r="K242" s="77">
        <v>0</v>
      </c>
      <c r="L242" s="77">
        <v>0</v>
      </c>
      <c r="M242" s="77">
        <v>0</v>
      </c>
      <c r="N242" s="77">
        <v>0</v>
      </c>
      <c r="O242" s="76">
        <v>0</v>
      </c>
      <c r="P242" s="77">
        <f t="shared" si="75"/>
        <v>0</v>
      </c>
      <c r="Q242" s="77">
        <v>0</v>
      </c>
      <c r="R242" s="77">
        <v>0</v>
      </c>
      <c r="S242" s="77">
        <v>0</v>
      </c>
      <c r="T242" s="76">
        <v>0</v>
      </c>
      <c r="U242" s="77">
        <v>0</v>
      </c>
      <c r="V242" s="77">
        <v>0</v>
      </c>
      <c r="W242" s="77">
        <v>0</v>
      </c>
      <c r="X242" s="77">
        <v>0</v>
      </c>
      <c r="Y242" s="76">
        <v>0</v>
      </c>
      <c r="Z242" s="77">
        <v>0</v>
      </c>
      <c r="AA242" s="77">
        <v>0</v>
      </c>
      <c r="AB242" s="77">
        <v>0</v>
      </c>
      <c r="AC242" s="77">
        <v>0</v>
      </c>
    </row>
    <row r="243" spans="1:30" s="80" customFormat="1" ht="60" outlineLevel="1" x14ac:dyDescent="0.2">
      <c r="A243" s="74" t="s">
        <v>1318</v>
      </c>
      <c r="B243" s="91" t="s">
        <v>856</v>
      </c>
      <c r="C243" s="38">
        <f t="shared" si="73"/>
        <v>0</v>
      </c>
      <c r="D243" s="55">
        <f t="shared" si="74"/>
        <v>0</v>
      </c>
      <c r="E243" s="51">
        <v>0</v>
      </c>
      <c r="F243" s="89">
        <f t="shared" si="72"/>
        <v>0</v>
      </c>
      <c r="G243" s="89">
        <v>0</v>
      </c>
      <c r="H243" s="52">
        <v>0</v>
      </c>
      <c r="I243" s="52">
        <v>0</v>
      </c>
      <c r="J243" s="38">
        <v>0</v>
      </c>
      <c r="K243" s="77">
        <v>0</v>
      </c>
      <c r="L243" s="77">
        <v>0</v>
      </c>
      <c r="M243" s="77">
        <v>0</v>
      </c>
      <c r="N243" s="77">
        <v>0</v>
      </c>
      <c r="O243" s="76">
        <v>0</v>
      </c>
      <c r="P243" s="346">
        <f t="shared" si="75"/>
        <v>0</v>
      </c>
      <c r="Q243" s="346">
        <v>0</v>
      </c>
      <c r="R243" s="346">
        <v>0</v>
      </c>
      <c r="S243" s="346">
        <f>6277-1151-592-572-222-3740</f>
        <v>0</v>
      </c>
      <c r="T243" s="76">
        <v>0</v>
      </c>
      <c r="U243" s="77">
        <v>0</v>
      </c>
      <c r="V243" s="77">
        <v>0</v>
      </c>
      <c r="W243" s="77">
        <v>0</v>
      </c>
      <c r="X243" s="77">
        <v>0</v>
      </c>
      <c r="Y243" s="76">
        <v>0</v>
      </c>
      <c r="Z243" s="77">
        <v>0</v>
      </c>
      <c r="AA243" s="77">
        <v>0</v>
      </c>
      <c r="AB243" s="77">
        <v>0</v>
      </c>
      <c r="AC243" s="77">
        <v>0</v>
      </c>
    </row>
    <row r="244" spans="1:30" s="80" customFormat="1" ht="73.5" customHeight="1" outlineLevel="1" x14ac:dyDescent="0.2">
      <c r="A244" s="74" t="s">
        <v>1319</v>
      </c>
      <c r="B244" s="91" t="s">
        <v>30</v>
      </c>
      <c r="C244" s="38">
        <f t="shared" si="73"/>
        <v>0</v>
      </c>
      <c r="D244" s="55">
        <f t="shared" si="74"/>
        <v>1751</v>
      </c>
      <c r="E244" s="51">
        <v>0</v>
      </c>
      <c r="F244" s="89">
        <f t="shared" si="72"/>
        <v>0</v>
      </c>
      <c r="G244" s="89">
        <v>0</v>
      </c>
      <c r="H244" s="52">
        <v>0</v>
      </c>
      <c r="I244" s="52">
        <v>0</v>
      </c>
      <c r="J244" s="38">
        <v>0</v>
      </c>
      <c r="K244" s="77">
        <f t="shared" ref="K244:K253" si="76">L244+M244+N244</f>
        <v>534</v>
      </c>
      <c r="L244" s="77">
        <v>0</v>
      </c>
      <c r="M244" s="77">
        <v>0</v>
      </c>
      <c r="N244" s="77">
        <f>565-31</f>
        <v>534</v>
      </c>
      <c r="O244" s="76">
        <v>0</v>
      </c>
      <c r="P244" s="77">
        <f t="shared" si="75"/>
        <v>217</v>
      </c>
      <c r="Q244" s="77">
        <v>0</v>
      </c>
      <c r="R244" s="77">
        <v>0</v>
      </c>
      <c r="S244" s="77">
        <f>317-101+1</f>
        <v>217</v>
      </c>
      <c r="T244" s="76">
        <v>0</v>
      </c>
      <c r="U244" s="77">
        <f>V244+W244+X244</f>
        <v>500</v>
      </c>
      <c r="V244" s="77">
        <v>0</v>
      </c>
      <c r="W244" s="77">
        <v>0</v>
      </c>
      <c r="X244" s="77">
        <v>500</v>
      </c>
      <c r="Y244" s="76">
        <v>0</v>
      </c>
      <c r="Z244" s="77">
        <f>AA244+AB244+AC244</f>
        <v>500</v>
      </c>
      <c r="AA244" s="77">
        <v>0</v>
      </c>
      <c r="AB244" s="77">
        <v>0</v>
      </c>
      <c r="AC244" s="77">
        <v>500</v>
      </c>
    </row>
    <row r="245" spans="1:30" s="80" customFormat="1" ht="48" outlineLevel="1" x14ac:dyDescent="0.2">
      <c r="A245" s="74" t="s">
        <v>1320</v>
      </c>
      <c r="B245" s="91" t="s">
        <v>857</v>
      </c>
      <c r="C245" s="38">
        <f t="shared" si="73"/>
        <v>0</v>
      </c>
      <c r="D245" s="55">
        <f t="shared" si="74"/>
        <v>0</v>
      </c>
      <c r="E245" s="51">
        <v>0</v>
      </c>
      <c r="F245" s="89">
        <f t="shared" si="72"/>
        <v>0</v>
      </c>
      <c r="G245" s="89">
        <v>0</v>
      </c>
      <c r="H245" s="52">
        <v>0</v>
      </c>
      <c r="I245" s="52">
        <v>0</v>
      </c>
      <c r="J245" s="38">
        <v>0</v>
      </c>
      <c r="K245" s="101">
        <f t="shared" si="76"/>
        <v>0</v>
      </c>
      <c r="L245" s="101">
        <v>0</v>
      </c>
      <c r="M245" s="101">
        <v>0</v>
      </c>
      <c r="N245" s="101">
        <f>7540-7540</f>
        <v>0</v>
      </c>
      <c r="O245" s="76">
        <v>0</v>
      </c>
      <c r="P245" s="77">
        <f t="shared" si="75"/>
        <v>0</v>
      </c>
      <c r="Q245" s="77">
        <v>0</v>
      </c>
      <c r="R245" s="77">
        <v>0</v>
      </c>
      <c r="S245" s="77">
        <v>0</v>
      </c>
      <c r="T245" s="76">
        <v>0</v>
      </c>
      <c r="U245" s="77">
        <f>V245+W245+X245</f>
        <v>0</v>
      </c>
      <c r="V245" s="77">
        <v>0</v>
      </c>
      <c r="W245" s="77">
        <v>0</v>
      </c>
      <c r="X245" s="77">
        <v>0</v>
      </c>
      <c r="Y245" s="76">
        <v>0</v>
      </c>
      <c r="Z245" s="77">
        <v>0</v>
      </c>
      <c r="AA245" s="77">
        <v>0</v>
      </c>
      <c r="AB245" s="77">
        <v>0</v>
      </c>
      <c r="AC245" s="77">
        <v>0</v>
      </c>
    </row>
    <row r="246" spans="1:30" s="80" customFormat="1" ht="61.5" customHeight="1" outlineLevel="1" x14ac:dyDescent="0.2">
      <c r="A246" s="74" t="s">
        <v>1321</v>
      </c>
      <c r="B246" s="91" t="s">
        <v>844</v>
      </c>
      <c r="C246" s="38">
        <f t="shared" si="73"/>
        <v>0</v>
      </c>
      <c r="D246" s="55">
        <f t="shared" si="74"/>
        <v>872</v>
      </c>
      <c r="E246" s="51">
        <v>0</v>
      </c>
      <c r="F246" s="89">
        <f t="shared" si="72"/>
        <v>0</v>
      </c>
      <c r="G246" s="89">
        <v>0</v>
      </c>
      <c r="H246" s="52">
        <v>0</v>
      </c>
      <c r="I246" s="89">
        <v>0</v>
      </c>
      <c r="J246" s="38">
        <v>0</v>
      </c>
      <c r="K246" s="77">
        <f t="shared" si="76"/>
        <v>872</v>
      </c>
      <c r="L246" s="77">
        <v>0</v>
      </c>
      <c r="M246" s="77">
        <v>0</v>
      </c>
      <c r="N246" s="77">
        <v>872</v>
      </c>
      <c r="O246" s="76">
        <v>0</v>
      </c>
      <c r="P246" s="77">
        <f>Q246+R246+S246</f>
        <v>0</v>
      </c>
      <c r="Q246" s="77">
        <v>0</v>
      </c>
      <c r="R246" s="77">
        <v>0</v>
      </c>
      <c r="S246" s="77">
        <v>0</v>
      </c>
      <c r="T246" s="76">
        <v>0</v>
      </c>
      <c r="U246" s="77">
        <f>V246+W246+X246</f>
        <v>0</v>
      </c>
      <c r="V246" s="77">
        <v>0</v>
      </c>
      <c r="W246" s="77">
        <v>0</v>
      </c>
      <c r="X246" s="77">
        <v>0</v>
      </c>
      <c r="Y246" s="76">
        <v>0</v>
      </c>
      <c r="Z246" s="77">
        <f>AA246+AB246+AC246</f>
        <v>0</v>
      </c>
      <c r="AA246" s="77">
        <v>0</v>
      </c>
      <c r="AB246" s="77">
        <v>0</v>
      </c>
      <c r="AC246" s="77">
        <v>0</v>
      </c>
    </row>
    <row r="247" spans="1:30" s="73" customFormat="1" ht="57.75" customHeight="1" outlineLevel="1" x14ac:dyDescent="0.2">
      <c r="A247" s="49" t="s">
        <v>1826</v>
      </c>
      <c r="B247" s="75" t="s">
        <v>1628</v>
      </c>
      <c r="C247" s="76">
        <f t="shared" si="73"/>
        <v>0</v>
      </c>
      <c r="D247" s="52">
        <f t="shared" ref="D247:E250" si="77">F247+K247+P247+U247+Z247</f>
        <v>17252</v>
      </c>
      <c r="E247" s="51">
        <f t="shared" si="77"/>
        <v>0</v>
      </c>
      <c r="F247" s="52">
        <f t="shared" ref="F247:F252" si="78">G247+H247+I247</f>
        <v>0</v>
      </c>
      <c r="G247" s="52">
        <v>0</v>
      </c>
      <c r="H247" s="52">
        <v>0</v>
      </c>
      <c r="I247" s="52">
        <v>0</v>
      </c>
      <c r="J247" s="76">
        <v>0</v>
      </c>
      <c r="K247" s="77">
        <f t="shared" si="76"/>
        <v>0</v>
      </c>
      <c r="L247" s="77">
        <v>0</v>
      </c>
      <c r="M247" s="77">
        <v>0</v>
      </c>
      <c r="N247" s="77">
        <v>0</v>
      </c>
      <c r="O247" s="76">
        <v>0</v>
      </c>
      <c r="P247" s="346">
        <f t="shared" ref="P247:P252" si="79">Q247+R247+S247</f>
        <v>3745</v>
      </c>
      <c r="Q247" s="346">
        <v>0</v>
      </c>
      <c r="R247" s="346">
        <v>0</v>
      </c>
      <c r="S247" s="346">
        <f>3782-37</f>
        <v>3745</v>
      </c>
      <c r="T247" s="79">
        <v>0</v>
      </c>
      <c r="U247" s="78">
        <v>0</v>
      </c>
      <c r="V247" s="78">
        <v>0</v>
      </c>
      <c r="W247" s="78">
        <v>0</v>
      </c>
      <c r="X247" s="78">
        <v>0</v>
      </c>
      <c r="Y247" s="76">
        <v>0</v>
      </c>
      <c r="Z247" s="77">
        <f t="shared" ref="Z247:Z252" si="80">AA247+AB247+AC247</f>
        <v>13507</v>
      </c>
      <c r="AA247" s="77">
        <v>0</v>
      </c>
      <c r="AB247" s="77">
        <v>0</v>
      </c>
      <c r="AC247" s="77">
        <v>13507</v>
      </c>
    </row>
    <row r="248" spans="1:30" s="73" customFormat="1" ht="71.45" customHeight="1" outlineLevel="1" x14ac:dyDescent="0.2">
      <c r="A248" s="74" t="s">
        <v>1322</v>
      </c>
      <c r="B248" s="75" t="s">
        <v>1683</v>
      </c>
      <c r="C248" s="76">
        <f t="shared" si="73"/>
        <v>7.51</v>
      </c>
      <c r="D248" s="52">
        <f t="shared" si="77"/>
        <v>25000</v>
      </c>
      <c r="E248" s="51">
        <f t="shared" si="77"/>
        <v>0</v>
      </c>
      <c r="F248" s="52">
        <f t="shared" si="78"/>
        <v>0</v>
      </c>
      <c r="G248" s="52">
        <v>0</v>
      </c>
      <c r="H248" s="52">
        <v>0</v>
      </c>
      <c r="I248" s="52">
        <v>0</v>
      </c>
      <c r="J248" s="76">
        <v>0</v>
      </c>
      <c r="K248" s="77">
        <f t="shared" si="76"/>
        <v>0</v>
      </c>
      <c r="L248" s="77">
        <v>0</v>
      </c>
      <c r="M248" s="77">
        <v>0</v>
      </c>
      <c r="N248" s="77">
        <v>0</v>
      </c>
      <c r="O248" s="345">
        <v>7.51</v>
      </c>
      <c r="P248" s="346">
        <f t="shared" si="79"/>
        <v>25000</v>
      </c>
      <c r="Q248" s="346">
        <v>0</v>
      </c>
      <c r="R248" s="346">
        <v>0</v>
      </c>
      <c r="S248" s="346">
        <v>25000</v>
      </c>
      <c r="T248" s="79">
        <v>0</v>
      </c>
      <c r="U248" s="78">
        <v>0</v>
      </c>
      <c r="V248" s="78">
        <v>0</v>
      </c>
      <c r="W248" s="78">
        <v>0</v>
      </c>
      <c r="X248" s="78">
        <v>0</v>
      </c>
      <c r="Y248" s="76">
        <v>0</v>
      </c>
      <c r="Z248" s="77">
        <f t="shared" si="80"/>
        <v>0</v>
      </c>
      <c r="AA248" s="77">
        <v>0</v>
      </c>
      <c r="AB248" s="77">
        <v>0</v>
      </c>
      <c r="AC248" s="77">
        <v>0</v>
      </c>
    </row>
    <row r="249" spans="1:30" s="73" customFormat="1" ht="71.45" customHeight="1" outlineLevel="1" x14ac:dyDescent="0.2">
      <c r="A249" s="74" t="s">
        <v>1323</v>
      </c>
      <c r="B249" s="75" t="s">
        <v>1685</v>
      </c>
      <c r="C249" s="76">
        <f t="shared" si="73"/>
        <v>94.9</v>
      </c>
      <c r="D249" s="52">
        <f t="shared" si="77"/>
        <v>318471</v>
      </c>
      <c r="E249" s="51">
        <f t="shared" si="77"/>
        <v>0</v>
      </c>
      <c r="F249" s="52">
        <f t="shared" si="78"/>
        <v>0</v>
      </c>
      <c r="G249" s="52">
        <v>0</v>
      </c>
      <c r="H249" s="52">
        <v>0</v>
      </c>
      <c r="I249" s="52">
        <v>0</v>
      </c>
      <c r="J249" s="76">
        <v>0</v>
      </c>
      <c r="K249" s="77">
        <f t="shared" si="76"/>
        <v>0</v>
      </c>
      <c r="L249" s="77">
        <v>0</v>
      </c>
      <c r="M249" s="77">
        <v>0</v>
      </c>
      <c r="N249" s="77">
        <v>0</v>
      </c>
      <c r="O249" s="345">
        <v>94.9</v>
      </c>
      <c r="P249" s="346">
        <f t="shared" si="79"/>
        <v>318471</v>
      </c>
      <c r="Q249" s="346">
        <v>0</v>
      </c>
      <c r="R249" s="346">
        <v>300000</v>
      </c>
      <c r="S249" s="346">
        <v>18471</v>
      </c>
      <c r="T249" s="79">
        <v>0</v>
      </c>
      <c r="U249" s="78">
        <v>0</v>
      </c>
      <c r="V249" s="78">
        <v>0</v>
      </c>
      <c r="W249" s="78">
        <v>0</v>
      </c>
      <c r="X249" s="78">
        <v>0</v>
      </c>
      <c r="Y249" s="76">
        <v>0</v>
      </c>
      <c r="Z249" s="77">
        <f t="shared" si="80"/>
        <v>0</v>
      </c>
      <c r="AA249" s="77">
        <v>0</v>
      </c>
      <c r="AB249" s="77">
        <v>0</v>
      </c>
      <c r="AC249" s="77">
        <v>0</v>
      </c>
    </row>
    <row r="250" spans="1:30" s="73" customFormat="1" ht="71.45" customHeight="1" outlineLevel="1" x14ac:dyDescent="0.2">
      <c r="A250" s="74" t="s">
        <v>1324</v>
      </c>
      <c r="B250" s="75" t="s">
        <v>1689</v>
      </c>
      <c r="C250" s="76">
        <f t="shared" si="73"/>
        <v>6.56</v>
      </c>
      <c r="D250" s="52">
        <f t="shared" si="77"/>
        <v>21815</v>
      </c>
      <c r="E250" s="51">
        <f t="shared" si="77"/>
        <v>0</v>
      </c>
      <c r="F250" s="52">
        <f t="shared" si="78"/>
        <v>0</v>
      </c>
      <c r="G250" s="52">
        <v>0</v>
      </c>
      <c r="H250" s="52">
        <v>0</v>
      </c>
      <c r="I250" s="52">
        <v>0</v>
      </c>
      <c r="J250" s="76">
        <v>0</v>
      </c>
      <c r="K250" s="77">
        <f t="shared" si="76"/>
        <v>0</v>
      </c>
      <c r="L250" s="77">
        <v>0</v>
      </c>
      <c r="M250" s="77">
        <v>0</v>
      </c>
      <c r="N250" s="77">
        <v>0</v>
      </c>
      <c r="O250" s="345">
        <f>10.35-3.79</f>
        <v>6.56</v>
      </c>
      <c r="P250" s="346">
        <f t="shared" si="79"/>
        <v>21815</v>
      </c>
      <c r="Q250" s="346">
        <v>0</v>
      </c>
      <c r="R250" s="346">
        <v>20550</v>
      </c>
      <c r="S250" s="346">
        <v>1265</v>
      </c>
      <c r="T250" s="79">
        <v>0</v>
      </c>
      <c r="U250" s="78">
        <v>0</v>
      </c>
      <c r="V250" s="78">
        <v>0</v>
      </c>
      <c r="W250" s="78">
        <v>0</v>
      </c>
      <c r="X250" s="78">
        <v>0</v>
      </c>
      <c r="Y250" s="76">
        <v>0</v>
      </c>
      <c r="Z250" s="77">
        <f t="shared" si="80"/>
        <v>0</v>
      </c>
      <c r="AA250" s="77">
        <v>0</v>
      </c>
      <c r="AB250" s="77">
        <v>0</v>
      </c>
      <c r="AC250" s="77">
        <v>0</v>
      </c>
    </row>
    <row r="251" spans="1:30" s="73" customFormat="1" ht="71.45" customHeight="1" outlineLevel="1" x14ac:dyDescent="0.2">
      <c r="A251" s="74" t="s">
        <v>1325</v>
      </c>
      <c r="B251" s="75" t="s">
        <v>1690</v>
      </c>
      <c r="C251" s="76">
        <f t="shared" si="73"/>
        <v>4.3</v>
      </c>
      <c r="D251" s="52">
        <f>F251+K251+P251+U251+Z251</f>
        <v>14279</v>
      </c>
      <c r="E251" s="51">
        <f>G251+L251+Q251+V251+AA251</f>
        <v>0</v>
      </c>
      <c r="F251" s="52">
        <f t="shared" si="78"/>
        <v>0</v>
      </c>
      <c r="G251" s="52">
        <v>0</v>
      </c>
      <c r="H251" s="52">
        <v>0</v>
      </c>
      <c r="I251" s="52">
        <v>0</v>
      </c>
      <c r="J251" s="76">
        <v>0</v>
      </c>
      <c r="K251" s="77">
        <f t="shared" si="76"/>
        <v>0</v>
      </c>
      <c r="L251" s="77">
        <v>0</v>
      </c>
      <c r="M251" s="77">
        <v>0</v>
      </c>
      <c r="N251" s="77">
        <v>0</v>
      </c>
      <c r="O251" s="345">
        <v>4.3</v>
      </c>
      <c r="P251" s="346">
        <f t="shared" si="79"/>
        <v>14279</v>
      </c>
      <c r="Q251" s="346">
        <v>0</v>
      </c>
      <c r="R251" s="346">
        <v>13450</v>
      </c>
      <c r="S251" s="346">
        <v>829</v>
      </c>
      <c r="T251" s="79">
        <v>0</v>
      </c>
      <c r="U251" s="78">
        <v>0</v>
      </c>
      <c r="V251" s="78">
        <v>0</v>
      </c>
      <c r="W251" s="78">
        <v>0</v>
      </c>
      <c r="X251" s="78">
        <v>0</v>
      </c>
      <c r="Y251" s="76">
        <v>0</v>
      </c>
      <c r="Z251" s="77">
        <f t="shared" si="80"/>
        <v>0</v>
      </c>
      <c r="AA251" s="77">
        <v>0</v>
      </c>
      <c r="AB251" s="77">
        <v>0</v>
      </c>
      <c r="AC251" s="77">
        <v>0</v>
      </c>
    </row>
    <row r="252" spans="1:30" s="73" customFormat="1" ht="86.25" customHeight="1" outlineLevel="1" x14ac:dyDescent="0.2">
      <c r="A252" s="74" t="s">
        <v>1326</v>
      </c>
      <c r="B252" s="75" t="s">
        <v>1703</v>
      </c>
      <c r="C252" s="76">
        <f t="shared" si="73"/>
        <v>45</v>
      </c>
      <c r="D252" s="52">
        <f>F252+K252+P252+U252+Z252</f>
        <v>90000</v>
      </c>
      <c r="E252" s="51">
        <f>G252+L252+Q252+V252+AA252</f>
        <v>0</v>
      </c>
      <c r="F252" s="52">
        <f t="shared" si="78"/>
        <v>0</v>
      </c>
      <c r="G252" s="52">
        <v>0</v>
      </c>
      <c r="H252" s="52">
        <v>0</v>
      </c>
      <c r="I252" s="52">
        <v>0</v>
      </c>
      <c r="J252" s="76">
        <v>0</v>
      </c>
      <c r="K252" s="77">
        <f t="shared" si="76"/>
        <v>0</v>
      </c>
      <c r="L252" s="77">
        <v>0</v>
      </c>
      <c r="M252" s="77">
        <v>0</v>
      </c>
      <c r="N252" s="77">
        <v>0</v>
      </c>
      <c r="O252" s="345">
        <v>45</v>
      </c>
      <c r="P252" s="346">
        <f t="shared" si="79"/>
        <v>90000</v>
      </c>
      <c r="Q252" s="346">
        <v>0</v>
      </c>
      <c r="R252" s="346">
        <v>0</v>
      </c>
      <c r="S252" s="346">
        <v>90000</v>
      </c>
      <c r="T252" s="79">
        <v>0</v>
      </c>
      <c r="U252" s="78">
        <v>0</v>
      </c>
      <c r="V252" s="78">
        <v>0</v>
      </c>
      <c r="W252" s="78">
        <v>0</v>
      </c>
      <c r="X252" s="78">
        <v>0</v>
      </c>
      <c r="Y252" s="76">
        <v>0</v>
      </c>
      <c r="Z252" s="77">
        <f t="shared" si="80"/>
        <v>0</v>
      </c>
      <c r="AA252" s="77">
        <v>0</v>
      </c>
      <c r="AB252" s="77">
        <v>0</v>
      </c>
      <c r="AC252" s="77">
        <v>0</v>
      </c>
    </row>
    <row r="253" spans="1:30" s="80" customFormat="1" ht="18.75" customHeight="1" outlineLevel="1" x14ac:dyDescent="0.2">
      <c r="A253" s="74"/>
      <c r="B253" s="91" t="s">
        <v>587</v>
      </c>
      <c r="C253" s="38">
        <f t="shared" si="73"/>
        <v>0</v>
      </c>
      <c r="D253" s="55">
        <f>F253+K253+P253+U253+Z253+0.4</f>
        <v>12277.4</v>
      </c>
      <c r="E253" s="51">
        <v>0</v>
      </c>
      <c r="F253" s="89">
        <f>G253+H253+I253</f>
        <v>12277</v>
      </c>
      <c r="G253" s="89">
        <v>0</v>
      </c>
      <c r="H253" s="52">
        <f>11554+132+2+1</f>
        <v>11689</v>
      </c>
      <c r="I253" s="52">
        <f>583+7-3+1</f>
        <v>588</v>
      </c>
      <c r="J253" s="38">
        <v>0</v>
      </c>
      <c r="K253" s="77">
        <f t="shared" si="76"/>
        <v>0</v>
      </c>
      <c r="L253" s="77">
        <v>0</v>
      </c>
      <c r="M253" s="77">
        <v>0</v>
      </c>
      <c r="N253" s="77">
        <v>0</v>
      </c>
      <c r="O253" s="76">
        <v>0</v>
      </c>
      <c r="P253" s="77">
        <f>S253</f>
        <v>0</v>
      </c>
      <c r="Q253" s="77">
        <v>0</v>
      </c>
      <c r="R253" s="77">
        <v>0</v>
      </c>
      <c r="S253" s="77">
        <v>0</v>
      </c>
      <c r="T253" s="76">
        <v>0</v>
      </c>
      <c r="U253" s="77">
        <v>0</v>
      </c>
      <c r="V253" s="77">
        <v>0</v>
      </c>
      <c r="W253" s="77">
        <v>0</v>
      </c>
      <c r="X253" s="77">
        <v>0</v>
      </c>
      <c r="Y253" s="76">
        <v>0</v>
      </c>
      <c r="Z253" s="77">
        <v>0</v>
      </c>
      <c r="AA253" s="77">
        <v>0</v>
      </c>
      <c r="AB253" s="77">
        <v>0</v>
      </c>
      <c r="AC253" s="77">
        <v>0</v>
      </c>
    </row>
    <row r="254" spans="1:30" s="80" customFormat="1" ht="30" customHeight="1" outlineLevel="1" x14ac:dyDescent="0.2">
      <c r="A254" s="489" t="s">
        <v>849</v>
      </c>
      <c r="B254" s="489"/>
      <c r="C254" s="489"/>
      <c r="D254" s="489"/>
      <c r="E254" s="489"/>
      <c r="F254" s="489"/>
      <c r="G254" s="489"/>
      <c r="H254" s="489"/>
      <c r="I254" s="489"/>
      <c r="J254" s="489"/>
      <c r="K254" s="489"/>
      <c r="L254" s="489"/>
      <c r="M254" s="489"/>
      <c r="N254" s="489"/>
      <c r="O254" s="489"/>
      <c r="P254" s="489"/>
      <c r="Q254" s="489"/>
      <c r="R254" s="489"/>
      <c r="S254" s="489"/>
      <c r="T254" s="489"/>
      <c r="U254" s="489"/>
      <c r="V254" s="489"/>
      <c r="W254" s="489"/>
      <c r="X254" s="489"/>
      <c r="Y254" s="489"/>
      <c r="Z254" s="489"/>
      <c r="AA254" s="489"/>
      <c r="AB254" s="489"/>
      <c r="AC254" s="489"/>
    </row>
    <row r="255" spans="1:30" s="73" customFormat="1" ht="39" customHeight="1" outlineLevel="1" x14ac:dyDescent="0.2">
      <c r="A255" s="74" t="s">
        <v>1326</v>
      </c>
      <c r="B255" s="95" t="s">
        <v>602</v>
      </c>
      <c r="C255" s="38">
        <f t="shared" ref="C255:C265" si="81">E255+J255+O255+T255+Y255</f>
        <v>33.700000000000003</v>
      </c>
      <c r="D255" s="55">
        <f t="shared" ref="D255:D265" si="82">F255+K255+P255+U255+Z255</f>
        <v>80424</v>
      </c>
      <c r="E255" s="38">
        <v>33.700000000000003</v>
      </c>
      <c r="F255" s="89">
        <f t="shared" ref="F255:F266" si="83">G255+H255+I255</f>
        <v>80424</v>
      </c>
      <c r="G255" s="89">
        <v>0</v>
      </c>
      <c r="H255" s="52">
        <v>76564</v>
      </c>
      <c r="I255" s="52">
        <v>3860</v>
      </c>
      <c r="J255" s="38">
        <v>0</v>
      </c>
      <c r="K255" s="77">
        <f>L255+M255+N255</f>
        <v>0</v>
      </c>
      <c r="L255" s="77">
        <v>0</v>
      </c>
      <c r="M255" s="77">
        <v>0</v>
      </c>
      <c r="N255" s="77">
        <v>0</v>
      </c>
      <c r="O255" s="76">
        <v>0</v>
      </c>
      <c r="P255" s="77">
        <f t="shared" ref="P255:P269" si="84">Q255+R255+S255</f>
        <v>0</v>
      </c>
      <c r="Q255" s="77">
        <v>0</v>
      </c>
      <c r="R255" s="77">
        <v>0</v>
      </c>
      <c r="S255" s="77">
        <v>0</v>
      </c>
      <c r="T255" s="76">
        <v>0</v>
      </c>
      <c r="U255" s="77">
        <f t="shared" ref="U255:U266" si="85">V255+W255+X255</f>
        <v>0</v>
      </c>
      <c r="V255" s="77">
        <v>0</v>
      </c>
      <c r="W255" s="77">
        <v>0</v>
      </c>
      <c r="X255" s="77">
        <v>0</v>
      </c>
      <c r="Y255" s="76">
        <v>0</v>
      </c>
      <c r="Z255" s="77">
        <f t="shared" ref="Z255:Z266" si="86">AA255+AB255+AC255</f>
        <v>0</v>
      </c>
      <c r="AA255" s="77">
        <v>0</v>
      </c>
      <c r="AB255" s="77">
        <v>0</v>
      </c>
      <c r="AC255" s="77">
        <v>0</v>
      </c>
      <c r="AD255" s="73" t="s">
        <v>706</v>
      </c>
    </row>
    <row r="256" spans="1:30" s="80" customFormat="1" ht="51" customHeight="1" outlineLevel="1" x14ac:dyDescent="0.2">
      <c r="A256" s="74" t="s">
        <v>1327</v>
      </c>
      <c r="B256" s="91" t="s">
        <v>563</v>
      </c>
      <c r="C256" s="38">
        <f t="shared" si="81"/>
        <v>14.33</v>
      </c>
      <c r="D256" s="55">
        <f t="shared" si="82"/>
        <v>31759</v>
      </c>
      <c r="E256" s="51">
        <v>14.33</v>
      </c>
      <c r="F256" s="89">
        <f t="shared" si="83"/>
        <v>31759</v>
      </c>
      <c r="G256" s="89">
        <v>0</v>
      </c>
      <c r="H256" s="52">
        <v>30235</v>
      </c>
      <c r="I256" s="89">
        <v>1524</v>
      </c>
      <c r="J256" s="38">
        <v>0</v>
      </c>
      <c r="K256" s="77">
        <f t="shared" ref="K256:K299" si="87">L256+M256+N256</f>
        <v>0</v>
      </c>
      <c r="L256" s="77">
        <v>0</v>
      </c>
      <c r="M256" s="77">
        <v>0</v>
      </c>
      <c r="N256" s="77">
        <v>0</v>
      </c>
      <c r="O256" s="76">
        <v>0</v>
      </c>
      <c r="P256" s="77">
        <f t="shared" si="84"/>
        <v>0</v>
      </c>
      <c r="Q256" s="77">
        <v>0</v>
      </c>
      <c r="R256" s="77">
        <v>0</v>
      </c>
      <c r="S256" s="77">
        <v>0</v>
      </c>
      <c r="T256" s="76">
        <v>0</v>
      </c>
      <c r="U256" s="77">
        <f t="shared" si="85"/>
        <v>0</v>
      </c>
      <c r="V256" s="77">
        <v>0</v>
      </c>
      <c r="W256" s="77">
        <v>0</v>
      </c>
      <c r="X256" s="77">
        <v>0</v>
      </c>
      <c r="Y256" s="76">
        <v>0</v>
      </c>
      <c r="Z256" s="77">
        <f t="shared" si="86"/>
        <v>0</v>
      </c>
      <c r="AA256" s="77">
        <v>0</v>
      </c>
      <c r="AB256" s="77">
        <v>0</v>
      </c>
      <c r="AC256" s="77">
        <v>0</v>
      </c>
    </row>
    <row r="257" spans="1:29" s="73" customFormat="1" ht="63.6" customHeight="1" outlineLevel="1" x14ac:dyDescent="0.2">
      <c r="A257" s="74" t="s">
        <v>1328</v>
      </c>
      <c r="B257" s="95" t="s">
        <v>603</v>
      </c>
      <c r="C257" s="38">
        <f t="shared" si="81"/>
        <v>12.3</v>
      </c>
      <c r="D257" s="55">
        <f t="shared" si="82"/>
        <v>24595</v>
      </c>
      <c r="E257" s="96">
        <v>12.3</v>
      </c>
      <c r="F257" s="89">
        <f t="shared" si="83"/>
        <v>24595</v>
      </c>
      <c r="G257" s="89">
        <v>0</v>
      </c>
      <c r="H257" s="52">
        <v>23414</v>
      </c>
      <c r="I257" s="52">
        <v>1181</v>
      </c>
      <c r="J257" s="38">
        <v>0</v>
      </c>
      <c r="K257" s="77">
        <f t="shared" si="87"/>
        <v>0</v>
      </c>
      <c r="L257" s="77">
        <v>0</v>
      </c>
      <c r="M257" s="77">
        <v>0</v>
      </c>
      <c r="N257" s="77">
        <v>0</v>
      </c>
      <c r="O257" s="76">
        <v>0</v>
      </c>
      <c r="P257" s="77">
        <f t="shared" si="84"/>
        <v>0</v>
      </c>
      <c r="Q257" s="77">
        <v>0</v>
      </c>
      <c r="R257" s="77">
        <v>0</v>
      </c>
      <c r="S257" s="77">
        <v>0</v>
      </c>
      <c r="T257" s="76">
        <v>0</v>
      </c>
      <c r="U257" s="77">
        <f t="shared" si="85"/>
        <v>0</v>
      </c>
      <c r="V257" s="77">
        <v>0</v>
      </c>
      <c r="W257" s="77">
        <v>0</v>
      </c>
      <c r="X257" s="77">
        <v>0</v>
      </c>
      <c r="Y257" s="76">
        <v>0</v>
      </c>
      <c r="Z257" s="77">
        <f t="shared" si="86"/>
        <v>0</v>
      </c>
      <c r="AA257" s="77">
        <v>0</v>
      </c>
      <c r="AB257" s="77">
        <v>0</v>
      </c>
      <c r="AC257" s="77">
        <v>0</v>
      </c>
    </row>
    <row r="258" spans="1:29" s="73" customFormat="1" ht="84" customHeight="1" outlineLevel="1" x14ac:dyDescent="0.2">
      <c r="A258" s="74" t="s">
        <v>1329</v>
      </c>
      <c r="B258" s="95" t="s">
        <v>604</v>
      </c>
      <c r="C258" s="38">
        <f t="shared" si="81"/>
        <v>39.11</v>
      </c>
      <c r="D258" s="55">
        <f t="shared" si="82"/>
        <v>90005</v>
      </c>
      <c r="E258" s="96">
        <v>39.11</v>
      </c>
      <c r="F258" s="89">
        <f t="shared" si="83"/>
        <v>90005</v>
      </c>
      <c r="G258" s="89">
        <v>0</v>
      </c>
      <c r="H258" s="52">
        <v>85685</v>
      </c>
      <c r="I258" s="52">
        <v>4320</v>
      </c>
      <c r="J258" s="38">
        <v>0</v>
      </c>
      <c r="K258" s="77">
        <f t="shared" si="87"/>
        <v>0</v>
      </c>
      <c r="L258" s="77">
        <v>0</v>
      </c>
      <c r="M258" s="77">
        <v>0</v>
      </c>
      <c r="N258" s="77">
        <v>0</v>
      </c>
      <c r="O258" s="76">
        <v>0</v>
      </c>
      <c r="P258" s="77">
        <f t="shared" si="84"/>
        <v>0</v>
      </c>
      <c r="Q258" s="77">
        <v>0</v>
      </c>
      <c r="R258" s="77">
        <v>0</v>
      </c>
      <c r="S258" s="77">
        <v>0</v>
      </c>
      <c r="T258" s="76">
        <v>0</v>
      </c>
      <c r="U258" s="77">
        <f t="shared" si="85"/>
        <v>0</v>
      </c>
      <c r="V258" s="77">
        <v>0</v>
      </c>
      <c r="W258" s="77">
        <v>0</v>
      </c>
      <c r="X258" s="77">
        <v>0</v>
      </c>
      <c r="Y258" s="76">
        <v>0</v>
      </c>
      <c r="Z258" s="77">
        <f t="shared" si="86"/>
        <v>0</v>
      </c>
      <c r="AA258" s="77">
        <v>0</v>
      </c>
      <c r="AB258" s="77">
        <v>0</v>
      </c>
      <c r="AC258" s="77">
        <v>0</v>
      </c>
    </row>
    <row r="259" spans="1:29" s="80" customFormat="1" ht="36" customHeight="1" outlineLevel="1" x14ac:dyDescent="0.2">
      <c r="A259" s="74" t="s">
        <v>1330</v>
      </c>
      <c r="B259" s="91" t="s">
        <v>566</v>
      </c>
      <c r="C259" s="38">
        <f t="shared" si="81"/>
        <v>6.66</v>
      </c>
      <c r="D259" s="55">
        <f t="shared" si="82"/>
        <v>14226</v>
      </c>
      <c r="E259" s="51">
        <v>6.66</v>
      </c>
      <c r="F259" s="89">
        <f t="shared" si="83"/>
        <v>14226</v>
      </c>
      <c r="G259" s="89">
        <v>0</v>
      </c>
      <c r="H259" s="52">
        <v>13543</v>
      </c>
      <c r="I259" s="89">
        <v>683</v>
      </c>
      <c r="J259" s="38">
        <v>0</v>
      </c>
      <c r="K259" s="77">
        <f t="shared" si="87"/>
        <v>0</v>
      </c>
      <c r="L259" s="77">
        <v>0</v>
      </c>
      <c r="M259" s="77">
        <v>0</v>
      </c>
      <c r="N259" s="77">
        <v>0</v>
      </c>
      <c r="O259" s="76">
        <v>0</v>
      </c>
      <c r="P259" s="77">
        <f t="shared" si="84"/>
        <v>0</v>
      </c>
      <c r="Q259" s="77">
        <v>0</v>
      </c>
      <c r="R259" s="77">
        <v>0</v>
      </c>
      <c r="S259" s="77">
        <v>0</v>
      </c>
      <c r="T259" s="76">
        <v>0</v>
      </c>
      <c r="U259" s="77">
        <f t="shared" si="85"/>
        <v>0</v>
      </c>
      <c r="V259" s="77">
        <v>0</v>
      </c>
      <c r="W259" s="77">
        <v>0</v>
      </c>
      <c r="X259" s="77">
        <v>0</v>
      </c>
      <c r="Y259" s="76">
        <v>0</v>
      </c>
      <c r="Z259" s="77">
        <f t="shared" si="86"/>
        <v>0</v>
      </c>
      <c r="AA259" s="77">
        <v>0</v>
      </c>
      <c r="AB259" s="77">
        <v>0</v>
      </c>
      <c r="AC259" s="77">
        <v>0</v>
      </c>
    </row>
    <row r="260" spans="1:29" s="73" customFormat="1" ht="49.15" customHeight="1" outlineLevel="1" x14ac:dyDescent="0.2">
      <c r="A260" s="74" t="s">
        <v>1331</v>
      </c>
      <c r="B260" s="95" t="s">
        <v>605</v>
      </c>
      <c r="C260" s="38">
        <f t="shared" si="81"/>
        <v>26.66</v>
      </c>
      <c r="D260" s="55">
        <f t="shared" si="82"/>
        <v>67036</v>
      </c>
      <c r="E260" s="96">
        <v>26.66</v>
      </c>
      <c r="F260" s="89">
        <f t="shared" si="83"/>
        <v>67036</v>
      </c>
      <c r="G260" s="89">
        <v>0</v>
      </c>
      <c r="H260" s="52">
        <v>63818</v>
      </c>
      <c r="I260" s="52">
        <v>3218</v>
      </c>
      <c r="J260" s="38">
        <v>0</v>
      </c>
      <c r="K260" s="77">
        <f t="shared" si="87"/>
        <v>0</v>
      </c>
      <c r="L260" s="77">
        <v>0</v>
      </c>
      <c r="M260" s="77">
        <v>0</v>
      </c>
      <c r="N260" s="77">
        <v>0</v>
      </c>
      <c r="O260" s="76">
        <v>0</v>
      </c>
      <c r="P260" s="77">
        <f t="shared" si="84"/>
        <v>0</v>
      </c>
      <c r="Q260" s="77">
        <v>0</v>
      </c>
      <c r="R260" s="77">
        <v>0</v>
      </c>
      <c r="S260" s="77">
        <v>0</v>
      </c>
      <c r="T260" s="76">
        <v>0</v>
      </c>
      <c r="U260" s="77">
        <f t="shared" si="85"/>
        <v>0</v>
      </c>
      <c r="V260" s="77">
        <v>0</v>
      </c>
      <c r="W260" s="77">
        <v>0</v>
      </c>
      <c r="X260" s="77">
        <v>0</v>
      </c>
      <c r="Y260" s="76">
        <v>0</v>
      </c>
      <c r="Z260" s="77">
        <f t="shared" si="86"/>
        <v>0</v>
      </c>
      <c r="AA260" s="77">
        <v>0</v>
      </c>
      <c r="AB260" s="77">
        <v>0</v>
      </c>
      <c r="AC260" s="77">
        <v>0</v>
      </c>
    </row>
    <row r="261" spans="1:29" s="73" customFormat="1" ht="53.45" customHeight="1" outlineLevel="1" x14ac:dyDescent="0.2">
      <c r="A261" s="74" t="s">
        <v>1675</v>
      </c>
      <c r="B261" s="95" t="s">
        <v>565</v>
      </c>
      <c r="C261" s="38">
        <f t="shared" si="81"/>
        <v>51.6</v>
      </c>
      <c r="D261" s="55">
        <f t="shared" si="82"/>
        <v>106911</v>
      </c>
      <c r="E261" s="96">
        <v>51.6</v>
      </c>
      <c r="F261" s="89">
        <f t="shared" si="83"/>
        <v>106911</v>
      </c>
      <c r="G261" s="89">
        <v>0</v>
      </c>
      <c r="H261" s="52">
        <v>101779</v>
      </c>
      <c r="I261" s="52">
        <v>5132</v>
      </c>
      <c r="J261" s="38">
        <v>0</v>
      </c>
      <c r="K261" s="77">
        <f t="shared" si="87"/>
        <v>0</v>
      </c>
      <c r="L261" s="77">
        <v>0</v>
      </c>
      <c r="M261" s="77">
        <v>0</v>
      </c>
      <c r="N261" s="77">
        <v>0</v>
      </c>
      <c r="O261" s="76">
        <v>0</v>
      </c>
      <c r="P261" s="77">
        <f t="shared" si="84"/>
        <v>0</v>
      </c>
      <c r="Q261" s="77">
        <v>0</v>
      </c>
      <c r="R261" s="77">
        <v>0</v>
      </c>
      <c r="S261" s="77">
        <v>0</v>
      </c>
      <c r="T261" s="76">
        <v>0</v>
      </c>
      <c r="U261" s="77">
        <f t="shared" si="85"/>
        <v>0</v>
      </c>
      <c r="V261" s="77">
        <v>0</v>
      </c>
      <c r="W261" s="77">
        <v>0</v>
      </c>
      <c r="X261" s="77">
        <v>0</v>
      </c>
      <c r="Y261" s="76">
        <v>0</v>
      </c>
      <c r="Z261" s="77">
        <f t="shared" si="86"/>
        <v>0</v>
      </c>
      <c r="AA261" s="77">
        <v>0</v>
      </c>
      <c r="AB261" s="77">
        <v>0</v>
      </c>
      <c r="AC261" s="77">
        <v>0</v>
      </c>
    </row>
    <row r="262" spans="1:29" s="73" customFormat="1" ht="47.45" customHeight="1" outlineLevel="1" x14ac:dyDescent="0.2">
      <c r="A262" s="74" t="s">
        <v>1332</v>
      </c>
      <c r="B262" s="95" t="s">
        <v>606</v>
      </c>
      <c r="C262" s="38">
        <f t="shared" si="81"/>
        <v>29.7</v>
      </c>
      <c r="D262" s="55">
        <f t="shared" si="82"/>
        <v>76629</v>
      </c>
      <c r="E262" s="38">
        <v>29.7</v>
      </c>
      <c r="F262" s="89">
        <f t="shared" si="83"/>
        <v>76629</v>
      </c>
      <c r="G262" s="89">
        <v>0</v>
      </c>
      <c r="H262" s="52">
        <v>72951</v>
      </c>
      <c r="I262" s="52">
        <v>3678</v>
      </c>
      <c r="J262" s="38">
        <v>0</v>
      </c>
      <c r="K262" s="77">
        <f t="shared" si="87"/>
        <v>0</v>
      </c>
      <c r="L262" s="77">
        <v>0</v>
      </c>
      <c r="M262" s="77">
        <v>0</v>
      </c>
      <c r="N262" s="77">
        <v>0</v>
      </c>
      <c r="O262" s="76">
        <v>0</v>
      </c>
      <c r="P262" s="77">
        <f t="shared" si="84"/>
        <v>0</v>
      </c>
      <c r="Q262" s="77">
        <v>0</v>
      </c>
      <c r="R262" s="77">
        <v>0</v>
      </c>
      <c r="S262" s="77">
        <v>0</v>
      </c>
      <c r="T262" s="76">
        <v>0</v>
      </c>
      <c r="U262" s="77">
        <f t="shared" si="85"/>
        <v>0</v>
      </c>
      <c r="V262" s="77">
        <v>0</v>
      </c>
      <c r="W262" s="77">
        <v>0</v>
      </c>
      <c r="X262" s="77">
        <v>0</v>
      </c>
      <c r="Y262" s="76">
        <v>0</v>
      </c>
      <c r="Z262" s="77">
        <f t="shared" si="86"/>
        <v>0</v>
      </c>
      <c r="AA262" s="77">
        <v>0</v>
      </c>
      <c r="AB262" s="77">
        <v>0</v>
      </c>
      <c r="AC262" s="77">
        <v>0</v>
      </c>
    </row>
    <row r="263" spans="1:29" s="73" customFormat="1" ht="28.5" customHeight="1" outlineLevel="1" x14ac:dyDescent="0.2">
      <c r="A263" s="74" t="s">
        <v>1333</v>
      </c>
      <c r="B263" s="95" t="s">
        <v>607</v>
      </c>
      <c r="C263" s="38">
        <f t="shared" si="81"/>
        <v>32.51</v>
      </c>
      <c r="D263" s="55">
        <f t="shared" si="82"/>
        <v>109670</v>
      </c>
      <c r="E263" s="96">
        <v>32.51</v>
      </c>
      <c r="F263" s="89">
        <f t="shared" si="83"/>
        <v>109670</v>
      </c>
      <c r="G263" s="89">
        <v>0</v>
      </c>
      <c r="H263" s="52">
        <v>104406</v>
      </c>
      <c r="I263" s="52">
        <v>5264</v>
      </c>
      <c r="J263" s="38">
        <v>0</v>
      </c>
      <c r="K263" s="77">
        <f t="shared" si="87"/>
        <v>0</v>
      </c>
      <c r="L263" s="77">
        <v>0</v>
      </c>
      <c r="M263" s="77">
        <v>0</v>
      </c>
      <c r="N263" s="77">
        <v>0</v>
      </c>
      <c r="O263" s="76">
        <v>0</v>
      </c>
      <c r="P263" s="77">
        <f t="shared" si="84"/>
        <v>0</v>
      </c>
      <c r="Q263" s="77">
        <v>0</v>
      </c>
      <c r="R263" s="77">
        <v>0</v>
      </c>
      <c r="S263" s="77">
        <v>0</v>
      </c>
      <c r="T263" s="76">
        <v>0</v>
      </c>
      <c r="U263" s="77">
        <f t="shared" si="85"/>
        <v>0</v>
      </c>
      <c r="V263" s="77">
        <v>0</v>
      </c>
      <c r="W263" s="77">
        <v>0</v>
      </c>
      <c r="X263" s="77">
        <v>0</v>
      </c>
      <c r="Y263" s="76">
        <v>0</v>
      </c>
      <c r="Z263" s="77">
        <f t="shared" si="86"/>
        <v>0</v>
      </c>
      <c r="AA263" s="77">
        <v>0</v>
      </c>
      <c r="AB263" s="77">
        <v>0</v>
      </c>
      <c r="AC263" s="77">
        <v>0</v>
      </c>
    </row>
    <row r="264" spans="1:29" s="80" customFormat="1" ht="30" customHeight="1" outlineLevel="1" x14ac:dyDescent="0.2">
      <c r="A264" s="74" t="s">
        <v>1334</v>
      </c>
      <c r="B264" s="91" t="s">
        <v>608</v>
      </c>
      <c r="C264" s="38">
        <f t="shared" si="81"/>
        <v>2.0699999999999998</v>
      </c>
      <c r="D264" s="55">
        <f t="shared" si="82"/>
        <v>3457</v>
      </c>
      <c r="E264" s="51">
        <v>2.0699999999999998</v>
      </c>
      <c r="F264" s="89">
        <f t="shared" si="83"/>
        <v>3457</v>
      </c>
      <c r="G264" s="89">
        <v>0</v>
      </c>
      <c r="H264" s="52">
        <v>3291</v>
      </c>
      <c r="I264" s="89">
        <v>166</v>
      </c>
      <c r="J264" s="38">
        <v>0</v>
      </c>
      <c r="K264" s="77">
        <f t="shared" si="87"/>
        <v>0</v>
      </c>
      <c r="L264" s="77">
        <v>0</v>
      </c>
      <c r="M264" s="77">
        <v>0</v>
      </c>
      <c r="N264" s="77">
        <v>0</v>
      </c>
      <c r="O264" s="76">
        <v>0</v>
      </c>
      <c r="P264" s="77">
        <f t="shared" si="84"/>
        <v>0</v>
      </c>
      <c r="Q264" s="77">
        <v>0</v>
      </c>
      <c r="R264" s="77">
        <v>0</v>
      </c>
      <c r="S264" s="77">
        <v>0</v>
      </c>
      <c r="T264" s="76">
        <v>0</v>
      </c>
      <c r="U264" s="77">
        <f t="shared" si="85"/>
        <v>0</v>
      </c>
      <c r="V264" s="77">
        <v>0</v>
      </c>
      <c r="W264" s="77">
        <v>0</v>
      </c>
      <c r="X264" s="77">
        <v>0</v>
      </c>
      <c r="Y264" s="76">
        <v>0</v>
      </c>
      <c r="Z264" s="77">
        <f t="shared" si="86"/>
        <v>0</v>
      </c>
      <c r="AA264" s="77">
        <v>0</v>
      </c>
      <c r="AB264" s="77">
        <v>0</v>
      </c>
      <c r="AC264" s="77">
        <v>0</v>
      </c>
    </row>
    <row r="265" spans="1:29" s="80" customFormat="1" ht="61.5" customHeight="1" outlineLevel="1" x14ac:dyDescent="0.2">
      <c r="A265" s="74" t="s">
        <v>1335</v>
      </c>
      <c r="B265" s="91" t="s">
        <v>844</v>
      </c>
      <c r="C265" s="38">
        <f t="shared" si="81"/>
        <v>95.759999999999991</v>
      </c>
      <c r="D265" s="55">
        <f t="shared" si="82"/>
        <v>153358</v>
      </c>
      <c r="E265" s="51">
        <v>45.6</v>
      </c>
      <c r="F265" s="89">
        <f t="shared" si="83"/>
        <v>74058</v>
      </c>
      <c r="G265" s="89">
        <v>0</v>
      </c>
      <c r="H265" s="52">
        <v>70503</v>
      </c>
      <c r="I265" s="89">
        <v>3555</v>
      </c>
      <c r="J265" s="38">
        <v>50.16</v>
      </c>
      <c r="K265" s="77">
        <f t="shared" si="87"/>
        <v>79300</v>
      </c>
      <c r="L265" s="77">
        <v>0</v>
      </c>
      <c r="M265" s="77">
        <v>74701</v>
      </c>
      <c r="N265" s="77">
        <v>4599</v>
      </c>
      <c r="O265" s="76">
        <v>0</v>
      </c>
      <c r="P265" s="77">
        <f t="shared" si="84"/>
        <v>0</v>
      </c>
      <c r="Q265" s="77">
        <v>0</v>
      </c>
      <c r="R265" s="77">
        <v>0</v>
      </c>
      <c r="S265" s="77">
        <v>0</v>
      </c>
      <c r="T265" s="76">
        <v>0</v>
      </c>
      <c r="U265" s="77">
        <f t="shared" si="85"/>
        <v>0</v>
      </c>
      <c r="V265" s="77">
        <v>0</v>
      </c>
      <c r="W265" s="77">
        <v>0</v>
      </c>
      <c r="X265" s="77">
        <v>0</v>
      </c>
      <c r="Y265" s="76">
        <v>0</v>
      </c>
      <c r="Z265" s="77">
        <f t="shared" si="86"/>
        <v>0</v>
      </c>
      <c r="AA265" s="77">
        <v>0</v>
      </c>
      <c r="AB265" s="77">
        <v>0</v>
      </c>
      <c r="AC265" s="77">
        <v>0</v>
      </c>
    </row>
    <row r="266" spans="1:29" s="80" customFormat="1" ht="36.75" customHeight="1" outlineLevel="1" x14ac:dyDescent="0.2">
      <c r="A266" s="74" t="s">
        <v>1336</v>
      </c>
      <c r="B266" s="91" t="s">
        <v>564</v>
      </c>
      <c r="C266" s="38">
        <f t="shared" ref="C266:D268" si="88">E266+J266+O266+T266+Y266</f>
        <v>1.59</v>
      </c>
      <c r="D266" s="55">
        <f t="shared" si="88"/>
        <v>3910</v>
      </c>
      <c r="E266" s="51">
        <v>1.59</v>
      </c>
      <c r="F266" s="89">
        <f t="shared" si="83"/>
        <v>3910</v>
      </c>
      <c r="G266" s="89">
        <v>0</v>
      </c>
      <c r="H266" s="52">
        <v>3722</v>
      </c>
      <c r="I266" s="89">
        <v>188</v>
      </c>
      <c r="J266" s="38">
        <v>0</v>
      </c>
      <c r="K266" s="77">
        <f t="shared" si="87"/>
        <v>0</v>
      </c>
      <c r="L266" s="77">
        <v>0</v>
      </c>
      <c r="M266" s="77">
        <v>0</v>
      </c>
      <c r="N266" s="77">
        <v>0</v>
      </c>
      <c r="O266" s="76">
        <v>0</v>
      </c>
      <c r="P266" s="77">
        <f t="shared" si="84"/>
        <v>0</v>
      </c>
      <c r="Q266" s="77">
        <v>0</v>
      </c>
      <c r="R266" s="77">
        <v>0</v>
      </c>
      <c r="S266" s="77">
        <v>0</v>
      </c>
      <c r="T266" s="76">
        <v>0</v>
      </c>
      <c r="U266" s="77">
        <f t="shared" si="85"/>
        <v>0</v>
      </c>
      <c r="V266" s="77">
        <v>0</v>
      </c>
      <c r="W266" s="77">
        <v>0</v>
      </c>
      <c r="X266" s="77">
        <v>0</v>
      </c>
      <c r="Y266" s="76">
        <v>0</v>
      </c>
      <c r="Z266" s="77">
        <f t="shared" si="86"/>
        <v>0</v>
      </c>
      <c r="AA266" s="77">
        <v>0</v>
      </c>
      <c r="AB266" s="77">
        <v>0</v>
      </c>
      <c r="AC266" s="77">
        <v>0</v>
      </c>
    </row>
    <row r="267" spans="1:29" s="80" customFormat="1" ht="27.75" customHeight="1" outlineLevel="1" x14ac:dyDescent="0.2">
      <c r="A267" s="74" t="s">
        <v>1337</v>
      </c>
      <c r="B267" s="91" t="s">
        <v>953</v>
      </c>
      <c r="C267" s="38">
        <f t="shared" si="88"/>
        <v>34.46</v>
      </c>
      <c r="D267" s="55">
        <f t="shared" si="88"/>
        <v>115326</v>
      </c>
      <c r="E267" s="51">
        <v>0</v>
      </c>
      <c r="F267" s="89">
        <f>G267+H267+I267</f>
        <v>0</v>
      </c>
      <c r="G267" s="89">
        <v>0</v>
      </c>
      <c r="H267" s="52">
        <v>0</v>
      </c>
      <c r="I267" s="52">
        <v>0</v>
      </c>
      <c r="J267" s="38">
        <v>0</v>
      </c>
      <c r="K267" s="77">
        <f>L267+M267+N267</f>
        <v>0</v>
      </c>
      <c r="L267" s="77">
        <v>0</v>
      </c>
      <c r="M267" s="77">
        <v>0</v>
      </c>
      <c r="N267" s="77">
        <v>0</v>
      </c>
      <c r="O267" s="345">
        <v>34.46</v>
      </c>
      <c r="P267" s="346">
        <f t="shared" si="84"/>
        <v>115326</v>
      </c>
      <c r="Q267" s="346">
        <v>0</v>
      </c>
      <c r="R267" s="346">
        <v>108637</v>
      </c>
      <c r="S267" s="346">
        <v>6689</v>
      </c>
      <c r="T267" s="38">
        <v>0</v>
      </c>
      <c r="U267" s="77">
        <f>V267+W267+X267</f>
        <v>0</v>
      </c>
      <c r="V267" s="77">
        <v>0</v>
      </c>
      <c r="W267" s="77">
        <v>0</v>
      </c>
      <c r="X267" s="77">
        <v>0</v>
      </c>
      <c r="Y267" s="76">
        <v>0</v>
      </c>
      <c r="Z267" s="77">
        <v>0</v>
      </c>
      <c r="AA267" s="77">
        <v>0</v>
      </c>
      <c r="AB267" s="77">
        <v>0</v>
      </c>
      <c r="AC267" s="77">
        <v>0</v>
      </c>
    </row>
    <row r="268" spans="1:29" s="80" customFormat="1" ht="27.75" customHeight="1" outlineLevel="1" x14ac:dyDescent="0.2">
      <c r="A268" s="74" t="s">
        <v>1338</v>
      </c>
      <c r="B268" s="91" t="s">
        <v>952</v>
      </c>
      <c r="C268" s="38">
        <f t="shared" si="88"/>
        <v>16.23</v>
      </c>
      <c r="D268" s="55">
        <f t="shared" si="88"/>
        <v>58667</v>
      </c>
      <c r="E268" s="51">
        <v>0</v>
      </c>
      <c r="F268" s="89">
        <f>G268+H268+I268</f>
        <v>0</v>
      </c>
      <c r="G268" s="89">
        <v>0</v>
      </c>
      <c r="H268" s="52">
        <v>0</v>
      </c>
      <c r="I268" s="52">
        <v>0</v>
      </c>
      <c r="J268" s="38">
        <v>0</v>
      </c>
      <c r="K268" s="77">
        <f>L268+M268+N268</f>
        <v>0</v>
      </c>
      <c r="L268" s="77">
        <v>0</v>
      </c>
      <c r="M268" s="77">
        <v>0</v>
      </c>
      <c r="N268" s="77">
        <v>0</v>
      </c>
      <c r="O268" s="345">
        <v>16.23</v>
      </c>
      <c r="P268" s="346">
        <f t="shared" si="84"/>
        <v>58667</v>
      </c>
      <c r="Q268" s="346">
        <v>0</v>
      </c>
      <c r="R268" s="346">
        <v>55264</v>
      </c>
      <c r="S268" s="346">
        <v>3403</v>
      </c>
      <c r="T268" s="38">
        <v>0</v>
      </c>
      <c r="U268" s="77">
        <f>V268+W268+X268</f>
        <v>0</v>
      </c>
      <c r="V268" s="77">
        <v>0</v>
      </c>
      <c r="W268" s="77">
        <v>0</v>
      </c>
      <c r="X268" s="77">
        <v>0</v>
      </c>
      <c r="Y268" s="76">
        <v>0</v>
      </c>
      <c r="Z268" s="77">
        <v>0</v>
      </c>
      <c r="AA268" s="77">
        <v>0</v>
      </c>
      <c r="AB268" s="77">
        <v>0</v>
      </c>
      <c r="AC268" s="77">
        <v>0</v>
      </c>
    </row>
    <row r="269" spans="1:29" s="80" customFormat="1" ht="27.75" customHeight="1" outlineLevel="1" x14ac:dyDescent="0.2">
      <c r="A269" s="74" t="s">
        <v>1339</v>
      </c>
      <c r="B269" s="91" t="s">
        <v>691</v>
      </c>
      <c r="C269" s="38">
        <f t="shared" ref="C269:C274" si="89">E269+J269+O269+T269+Y269</f>
        <v>26.05</v>
      </c>
      <c r="D269" s="55">
        <f t="shared" ref="D269:D274" si="90">F269+K269+P269+U269+Z269</f>
        <v>70285</v>
      </c>
      <c r="E269" s="51">
        <v>0</v>
      </c>
      <c r="F269" s="89">
        <f t="shared" ref="F269:F274" si="91">G269+H269+I269</f>
        <v>0</v>
      </c>
      <c r="G269" s="89">
        <v>0</v>
      </c>
      <c r="H269" s="52">
        <v>0</v>
      </c>
      <c r="I269" s="52">
        <v>0</v>
      </c>
      <c r="J269" s="38">
        <v>26.05</v>
      </c>
      <c r="K269" s="77">
        <f t="shared" si="87"/>
        <v>70285</v>
      </c>
      <c r="L269" s="77">
        <v>0</v>
      </c>
      <c r="M269" s="77">
        <v>66208</v>
      </c>
      <c r="N269" s="77">
        <v>4077</v>
      </c>
      <c r="O269" s="76">
        <v>0</v>
      </c>
      <c r="P269" s="77">
        <f t="shared" si="84"/>
        <v>0</v>
      </c>
      <c r="Q269" s="77">
        <v>0</v>
      </c>
      <c r="R269" s="77">
        <v>0</v>
      </c>
      <c r="S269" s="77">
        <v>0</v>
      </c>
      <c r="T269" s="76">
        <v>0</v>
      </c>
      <c r="U269" s="77">
        <f t="shared" ref="U269:U274" si="92">V269+W269+X269</f>
        <v>0</v>
      </c>
      <c r="V269" s="77">
        <v>0</v>
      </c>
      <c r="W269" s="77">
        <v>0</v>
      </c>
      <c r="X269" s="77">
        <v>0</v>
      </c>
      <c r="Y269" s="76">
        <v>0</v>
      </c>
      <c r="Z269" s="77">
        <f t="shared" ref="Z269:Z274" si="93">AA269+AB269+AC269</f>
        <v>0</v>
      </c>
      <c r="AA269" s="77">
        <v>0</v>
      </c>
      <c r="AB269" s="77">
        <v>0</v>
      </c>
      <c r="AC269" s="77">
        <v>0</v>
      </c>
    </row>
    <row r="270" spans="1:29" s="80" customFormat="1" ht="33" customHeight="1" outlineLevel="1" x14ac:dyDescent="0.2">
      <c r="A270" s="74" t="s">
        <v>1340</v>
      </c>
      <c r="B270" s="91" t="s">
        <v>692</v>
      </c>
      <c r="C270" s="38">
        <f t="shared" si="89"/>
        <v>62.48</v>
      </c>
      <c r="D270" s="55">
        <f t="shared" si="90"/>
        <v>179685</v>
      </c>
      <c r="E270" s="51">
        <v>0</v>
      </c>
      <c r="F270" s="89">
        <f t="shared" si="91"/>
        <v>0</v>
      </c>
      <c r="G270" s="89">
        <v>0</v>
      </c>
      <c r="H270" s="52">
        <v>0</v>
      </c>
      <c r="I270" s="52">
        <v>0</v>
      </c>
      <c r="J270" s="38">
        <v>62.48</v>
      </c>
      <c r="K270" s="77">
        <f t="shared" si="87"/>
        <v>179685</v>
      </c>
      <c r="L270" s="77">
        <v>0</v>
      </c>
      <c r="M270" s="77">
        <v>169263</v>
      </c>
      <c r="N270" s="77">
        <v>10422</v>
      </c>
      <c r="O270" s="76">
        <v>0</v>
      </c>
      <c r="P270" s="77">
        <f>Q270+R270+S270</f>
        <v>0</v>
      </c>
      <c r="Q270" s="77">
        <v>0</v>
      </c>
      <c r="R270" s="77">
        <v>0</v>
      </c>
      <c r="S270" s="77">
        <v>0</v>
      </c>
      <c r="T270" s="76">
        <v>0</v>
      </c>
      <c r="U270" s="77">
        <f t="shared" si="92"/>
        <v>0</v>
      </c>
      <c r="V270" s="77">
        <v>0</v>
      </c>
      <c r="W270" s="77">
        <v>0</v>
      </c>
      <c r="X270" s="77">
        <v>0</v>
      </c>
      <c r="Y270" s="76">
        <v>0</v>
      </c>
      <c r="Z270" s="77">
        <f t="shared" si="93"/>
        <v>0</v>
      </c>
      <c r="AA270" s="77">
        <v>0</v>
      </c>
      <c r="AB270" s="77">
        <v>0</v>
      </c>
      <c r="AC270" s="77">
        <v>0</v>
      </c>
    </row>
    <row r="271" spans="1:29" s="80" customFormat="1" ht="41.25" customHeight="1" outlineLevel="1" x14ac:dyDescent="0.2">
      <c r="A271" s="74" t="s">
        <v>1341</v>
      </c>
      <c r="B271" s="91" t="s">
        <v>693</v>
      </c>
      <c r="C271" s="38">
        <f t="shared" si="89"/>
        <v>10.210000000000001</v>
      </c>
      <c r="D271" s="55">
        <f t="shared" si="90"/>
        <v>27965</v>
      </c>
      <c r="E271" s="51">
        <v>0</v>
      </c>
      <c r="F271" s="89">
        <f t="shared" si="91"/>
        <v>0</v>
      </c>
      <c r="G271" s="89">
        <v>0</v>
      </c>
      <c r="H271" s="52">
        <v>0</v>
      </c>
      <c r="I271" s="52">
        <v>0</v>
      </c>
      <c r="J271" s="38">
        <v>10.210000000000001</v>
      </c>
      <c r="K271" s="77">
        <f t="shared" si="87"/>
        <v>27965</v>
      </c>
      <c r="L271" s="77">
        <v>0</v>
      </c>
      <c r="M271" s="77">
        <v>26343</v>
      </c>
      <c r="N271" s="77">
        <v>1622</v>
      </c>
      <c r="O271" s="76">
        <v>0</v>
      </c>
      <c r="P271" s="77">
        <f>Q271+R271+S271</f>
        <v>0</v>
      </c>
      <c r="Q271" s="77">
        <v>0</v>
      </c>
      <c r="R271" s="77">
        <v>0</v>
      </c>
      <c r="S271" s="77">
        <v>0</v>
      </c>
      <c r="T271" s="76">
        <v>0</v>
      </c>
      <c r="U271" s="77">
        <f t="shared" si="92"/>
        <v>0</v>
      </c>
      <c r="V271" s="77">
        <v>0</v>
      </c>
      <c r="W271" s="77">
        <v>0</v>
      </c>
      <c r="X271" s="77">
        <v>0</v>
      </c>
      <c r="Y271" s="76">
        <v>0</v>
      </c>
      <c r="Z271" s="77">
        <f t="shared" si="93"/>
        <v>0</v>
      </c>
      <c r="AA271" s="77">
        <v>0</v>
      </c>
      <c r="AB271" s="77">
        <v>0</v>
      </c>
      <c r="AC271" s="77">
        <v>0</v>
      </c>
    </row>
    <row r="272" spans="1:29" s="80" customFormat="1" ht="25.5" customHeight="1" outlineLevel="1" x14ac:dyDescent="0.2">
      <c r="A272" s="74" t="s">
        <v>1342</v>
      </c>
      <c r="B272" s="91" t="s">
        <v>694</v>
      </c>
      <c r="C272" s="38">
        <f t="shared" si="89"/>
        <v>41.93</v>
      </c>
      <c r="D272" s="55">
        <f t="shared" si="90"/>
        <v>105508</v>
      </c>
      <c r="E272" s="51">
        <v>0</v>
      </c>
      <c r="F272" s="89">
        <f t="shared" si="91"/>
        <v>0</v>
      </c>
      <c r="G272" s="89">
        <v>0</v>
      </c>
      <c r="H272" s="52">
        <v>0</v>
      </c>
      <c r="I272" s="52">
        <v>0</v>
      </c>
      <c r="J272" s="38">
        <v>41.93</v>
      </c>
      <c r="K272" s="77">
        <f t="shared" si="87"/>
        <v>105508</v>
      </c>
      <c r="L272" s="77">
        <v>0</v>
      </c>
      <c r="M272" s="77">
        <v>99388</v>
      </c>
      <c r="N272" s="77">
        <v>6120</v>
      </c>
      <c r="O272" s="76">
        <v>0</v>
      </c>
      <c r="P272" s="77">
        <f>Q272+R272+S272</f>
        <v>0</v>
      </c>
      <c r="Q272" s="77">
        <v>0</v>
      </c>
      <c r="R272" s="77">
        <v>0</v>
      </c>
      <c r="S272" s="77">
        <v>0</v>
      </c>
      <c r="T272" s="76">
        <v>0</v>
      </c>
      <c r="U272" s="77">
        <f t="shared" si="92"/>
        <v>0</v>
      </c>
      <c r="V272" s="77">
        <v>0</v>
      </c>
      <c r="W272" s="77">
        <v>0</v>
      </c>
      <c r="X272" s="77">
        <v>0</v>
      </c>
      <c r="Y272" s="76">
        <v>0</v>
      </c>
      <c r="Z272" s="77">
        <f t="shared" si="93"/>
        <v>0</v>
      </c>
      <c r="AA272" s="77">
        <v>0</v>
      </c>
      <c r="AB272" s="77">
        <v>0</v>
      </c>
      <c r="AC272" s="77">
        <v>0</v>
      </c>
    </row>
    <row r="273" spans="1:29" s="80" customFormat="1" ht="28.5" customHeight="1" outlineLevel="1" x14ac:dyDescent="0.2">
      <c r="A273" s="74" t="s">
        <v>1343</v>
      </c>
      <c r="B273" s="91" t="s">
        <v>695</v>
      </c>
      <c r="C273" s="38">
        <f t="shared" si="89"/>
        <v>10.67</v>
      </c>
      <c r="D273" s="55">
        <f t="shared" si="90"/>
        <v>24936</v>
      </c>
      <c r="E273" s="51">
        <v>0</v>
      </c>
      <c r="F273" s="89">
        <f t="shared" si="91"/>
        <v>0</v>
      </c>
      <c r="G273" s="89">
        <v>0</v>
      </c>
      <c r="H273" s="52">
        <v>0</v>
      </c>
      <c r="I273" s="52">
        <v>0</v>
      </c>
      <c r="J273" s="38">
        <v>10.67</v>
      </c>
      <c r="K273" s="77">
        <f t="shared" si="87"/>
        <v>24936</v>
      </c>
      <c r="L273" s="77">
        <v>0</v>
      </c>
      <c r="M273" s="77">
        <v>23490</v>
      </c>
      <c r="N273" s="77">
        <v>1446</v>
      </c>
      <c r="O273" s="76">
        <v>0</v>
      </c>
      <c r="P273" s="77">
        <f>Q273+R273+S273</f>
        <v>0</v>
      </c>
      <c r="Q273" s="77">
        <v>0</v>
      </c>
      <c r="R273" s="77">
        <v>0</v>
      </c>
      <c r="S273" s="77">
        <v>0</v>
      </c>
      <c r="T273" s="76">
        <v>0</v>
      </c>
      <c r="U273" s="77">
        <f t="shared" si="92"/>
        <v>0</v>
      </c>
      <c r="V273" s="77">
        <v>0</v>
      </c>
      <c r="W273" s="77">
        <v>0</v>
      </c>
      <c r="X273" s="77">
        <v>0</v>
      </c>
      <c r="Y273" s="76">
        <v>0</v>
      </c>
      <c r="Z273" s="77">
        <f t="shared" si="93"/>
        <v>0</v>
      </c>
      <c r="AA273" s="77">
        <v>0</v>
      </c>
      <c r="AB273" s="77">
        <v>0</v>
      </c>
      <c r="AC273" s="77">
        <v>0</v>
      </c>
    </row>
    <row r="274" spans="1:29" s="80" customFormat="1" ht="31.5" customHeight="1" outlineLevel="1" x14ac:dyDescent="0.2">
      <c r="A274" s="74" t="s">
        <v>1344</v>
      </c>
      <c r="B274" s="91" t="s">
        <v>696</v>
      </c>
      <c r="C274" s="38">
        <f t="shared" si="89"/>
        <v>7.85</v>
      </c>
      <c r="D274" s="55">
        <f t="shared" si="90"/>
        <v>22609</v>
      </c>
      <c r="E274" s="51">
        <v>0</v>
      </c>
      <c r="F274" s="89">
        <f t="shared" si="91"/>
        <v>0</v>
      </c>
      <c r="G274" s="89">
        <v>0</v>
      </c>
      <c r="H274" s="52">
        <v>0</v>
      </c>
      <c r="I274" s="52">
        <v>0</v>
      </c>
      <c r="J274" s="38">
        <v>7.85</v>
      </c>
      <c r="K274" s="77">
        <f t="shared" si="87"/>
        <v>22609</v>
      </c>
      <c r="L274" s="77">
        <v>0</v>
      </c>
      <c r="M274" s="77">
        <v>21298</v>
      </c>
      <c r="N274" s="77">
        <v>1311</v>
      </c>
      <c r="O274" s="76">
        <v>0</v>
      </c>
      <c r="P274" s="77">
        <f>Q274+R274+S274</f>
        <v>0</v>
      </c>
      <c r="Q274" s="77">
        <v>0</v>
      </c>
      <c r="R274" s="77">
        <v>0</v>
      </c>
      <c r="S274" s="77">
        <v>0</v>
      </c>
      <c r="T274" s="76">
        <v>0</v>
      </c>
      <c r="U274" s="77">
        <f t="shared" si="92"/>
        <v>0</v>
      </c>
      <c r="V274" s="77">
        <v>0</v>
      </c>
      <c r="W274" s="77">
        <v>0</v>
      </c>
      <c r="X274" s="77">
        <v>0</v>
      </c>
      <c r="Y274" s="76">
        <v>0</v>
      </c>
      <c r="Z274" s="77">
        <f t="shared" si="93"/>
        <v>0</v>
      </c>
      <c r="AA274" s="77">
        <v>0</v>
      </c>
      <c r="AB274" s="77">
        <v>0</v>
      </c>
      <c r="AC274" s="77">
        <v>0</v>
      </c>
    </row>
    <row r="275" spans="1:29" s="80" customFormat="1" ht="46.9" customHeight="1" outlineLevel="1" x14ac:dyDescent="0.2">
      <c r="A275" s="74" t="s">
        <v>1345</v>
      </c>
      <c r="B275" s="91" t="s">
        <v>697</v>
      </c>
      <c r="C275" s="38">
        <f t="shared" ref="C275:C282" si="94">E275+J275+O275+T275+Y275</f>
        <v>5.65</v>
      </c>
      <c r="D275" s="55">
        <f t="shared" ref="D275:D282" si="95">F275+K275+P275+U275+Z275</f>
        <v>15130</v>
      </c>
      <c r="E275" s="51">
        <v>0</v>
      </c>
      <c r="F275" s="89">
        <f t="shared" ref="F275:F282" si="96">G275+H275+I275</f>
        <v>0</v>
      </c>
      <c r="G275" s="89">
        <v>0</v>
      </c>
      <c r="H275" s="52">
        <v>0</v>
      </c>
      <c r="I275" s="52">
        <v>0</v>
      </c>
      <c r="J275" s="38">
        <v>5.65</v>
      </c>
      <c r="K275" s="77">
        <f t="shared" si="87"/>
        <v>15130</v>
      </c>
      <c r="L275" s="77">
        <v>0</v>
      </c>
      <c r="M275" s="77">
        <v>14253</v>
      </c>
      <c r="N275" s="77">
        <v>877</v>
      </c>
      <c r="O275" s="76">
        <v>0</v>
      </c>
      <c r="P275" s="77">
        <f t="shared" ref="P275:P282" si="97">Q275+R275+S275</f>
        <v>0</v>
      </c>
      <c r="Q275" s="77">
        <v>0</v>
      </c>
      <c r="R275" s="77">
        <v>0</v>
      </c>
      <c r="S275" s="77">
        <v>0</v>
      </c>
      <c r="T275" s="76">
        <v>0</v>
      </c>
      <c r="U275" s="77">
        <f t="shared" ref="U275:U282" si="98">V275+W275+X275</f>
        <v>0</v>
      </c>
      <c r="V275" s="77">
        <v>0</v>
      </c>
      <c r="W275" s="77">
        <v>0</v>
      </c>
      <c r="X275" s="77">
        <v>0</v>
      </c>
      <c r="Y275" s="76">
        <v>0</v>
      </c>
      <c r="Z275" s="77">
        <f t="shared" ref="Z275:Z282" si="99">AA275+AB275+AC275</f>
        <v>0</v>
      </c>
      <c r="AA275" s="77">
        <v>0</v>
      </c>
      <c r="AB275" s="77">
        <v>0</v>
      </c>
      <c r="AC275" s="77">
        <v>0</v>
      </c>
    </row>
    <row r="276" spans="1:29" s="80" customFormat="1" ht="40.5" customHeight="1" outlineLevel="1" x14ac:dyDescent="0.2">
      <c r="A276" s="74" t="s">
        <v>1346</v>
      </c>
      <c r="B276" s="91" t="s">
        <v>843</v>
      </c>
      <c r="C276" s="38">
        <f>E276+J276+O276+T276+Y276</f>
        <v>4.07</v>
      </c>
      <c r="D276" s="55">
        <f>F276+K276+P276+U276+Z276</f>
        <v>7603</v>
      </c>
      <c r="E276" s="51">
        <v>0</v>
      </c>
      <c r="F276" s="89">
        <f>G276+H276+I276</f>
        <v>0</v>
      </c>
      <c r="G276" s="89">
        <v>0</v>
      </c>
      <c r="H276" s="52">
        <v>0</v>
      </c>
      <c r="I276" s="52">
        <v>0</v>
      </c>
      <c r="J276" s="38">
        <v>4.07</v>
      </c>
      <c r="K276" s="77">
        <f t="shared" si="87"/>
        <v>7603</v>
      </c>
      <c r="L276" s="77">
        <v>0</v>
      </c>
      <c r="M276" s="77">
        <v>7162</v>
      </c>
      <c r="N276" s="77">
        <v>441</v>
      </c>
      <c r="O276" s="76">
        <v>0</v>
      </c>
      <c r="P276" s="77">
        <f>Q276+R276+S276</f>
        <v>0</v>
      </c>
      <c r="Q276" s="77">
        <v>0</v>
      </c>
      <c r="R276" s="77">
        <v>0</v>
      </c>
      <c r="S276" s="77">
        <v>0</v>
      </c>
      <c r="T276" s="76">
        <v>0</v>
      </c>
      <c r="U276" s="77">
        <f>V276+W276+X276</f>
        <v>0</v>
      </c>
      <c r="V276" s="77">
        <v>0</v>
      </c>
      <c r="W276" s="77">
        <v>0</v>
      </c>
      <c r="X276" s="77">
        <v>0</v>
      </c>
      <c r="Y276" s="76">
        <v>0</v>
      </c>
      <c r="Z276" s="77">
        <f>AA276+AB276+AC276</f>
        <v>0</v>
      </c>
      <c r="AA276" s="77">
        <v>0</v>
      </c>
      <c r="AB276" s="77">
        <v>0</v>
      </c>
      <c r="AC276" s="77">
        <v>0</v>
      </c>
    </row>
    <row r="277" spans="1:29" s="80" customFormat="1" ht="33" customHeight="1" outlineLevel="1" x14ac:dyDescent="0.2">
      <c r="A277" s="74" t="s">
        <v>1347</v>
      </c>
      <c r="B277" s="91" t="s">
        <v>698</v>
      </c>
      <c r="C277" s="38">
        <f t="shared" si="94"/>
        <v>0</v>
      </c>
      <c r="D277" s="55">
        <f t="shared" si="95"/>
        <v>0</v>
      </c>
      <c r="E277" s="51">
        <v>0</v>
      </c>
      <c r="F277" s="89">
        <f t="shared" si="96"/>
        <v>0</v>
      </c>
      <c r="G277" s="89">
        <v>0</v>
      </c>
      <c r="H277" s="52">
        <v>0</v>
      </c>
      <c r="I277" s="52">
        <v>0</v>
      </c>
      <c r="J277" s="38">
        <v>0</v>
      </c>
      <c r="K277" s="77">
        <f t="shared" si="87"/>
        <v>0</v>
      </c>
      <c r="L277" s="77">
        <v>0</v>
      </c>
      <c r="M277" s="77">
        <v>0</v>
      </c>
      <c r="N277" s="77">
        <v>0</v>
      </c>
      <c r="O277" s="76">
        <v>0</v>
      </c>
      <c r="P277" s="77">
        <f t="shared" si="97"/>
        <v>0</v>
      </c>
      <c r="Q277" s="77">
        <v>0</v>
      </c>
      <c r="R277" s="77">
        <v>0</v>
      </c>
      <c r="S277" s="77">
        <v>0</v>
      </c>
      <c r="T277" s="76">
        <v>0</v>
      </c>
      <c r="U277" s="77">
        <f t="shared" si="98"/>
        <v>0</v>
      </c>
      <c r="V277" s="77">
        <v>0</v>
      </c>
      <c r="W277" s="77">
        <v>0</v>
      </c>
      <c r="X277" s="77">
        <v>0</v>
      </c>
      <c r="Y277" s="76">
        <v>0</v>
      </c>
      <c r="Z277" s="77">
        <f t="shared" si="99"/>
        <v>0</v>
      </c>
      <c r="AA277" s="77">
        <v>0</v>
      </c>
      <c r="AB277" s="77">
        <v>0</v>
      </c>
      <c r="AC277" s="77">
        <v>0</v>
      </c>
    </row>
    <row r="278" spans="1:29" s="80" customFormat="1" ht="31.9" customHeight="1" outlineLevel="1" x14ac:dyDescent="0.2">
      <c r="A278" s="74" t="s">
        <v>1348</v>
      </c>
      <c r="B278" s="91" t="s">
        <v>1673</v>
      </c>
      <c r="C278" s="38">
        <f t="shared" si="94"/>
        <v>39.380000000000003</v>
      </c>
      <c r="D278" s="55">
        <f t="shared" si="95"/>
        <v>152318</v>
      </c>
      <c r="E278" s="51">
        <v>0</v>
      </c>
      <c r="F278" s="89">
        <f t="shared" si="96"/>
        <v>0</v>
      </c>
      <c r="G278" s="89">
        <v>0</v>
      </c>
      <c r="H278" s="52">
        <v>0</v>
      </c>
      <c r="I278" s="52">
        <v>0</v>
      </c>
      <c r="J278" s="38">
        <v>0</v>
      </c>
      <c r="K278" s="77">
        <f t="shared" si="87"/>
        <v>0</v>
      </c>
      <c r="L278" s="77">
        <v>0</v>
      </c>
      <c r="M278" s="77">
        <v>0</v>
      </c>
      <c r="N278" s="77">
        <v>0</v>
      </c>
      <c r="O278" s="345">
        <v>39.380000000000003</v>
      </c>
      <c r="P278" s="346">
        <f>Q278+R278+S278</f>
        <v>152318</v>
      </c>
      <c r="Q278" s="346">
        <v>0</v>
      </c>
      <c r="R278" s="346">
        <v>143483</v>
      </c>
      <c r="S278" s="346">
        <v>8835</v>
      </c>
      <c r="T278" s="76">
        <v>0</v>
      </c>
      <c r="U278" s="77">
        <f t="shared" si="98"/>
        <v>0</v>
      </c>
      <c r="V278" s="77">
        <v>0</v>
      </c>
      <c r="W278" s="77">
        <v>0</v>
      </c>
      <c r="X278" s="77">
        <v>0</v>
      </c>
      <c r="Y278" s="76">
        <v>0</v>
      </c>
      <c r="Z278" s="77">
        <f t="shared" si="99"/>
        <v>0</v>
      </c>
      <c r="AA278" s="77">
        <v>0</v>
      </c>
      <c r="AB278" s="77">
        <v>0</v>
      </c>
      <c r="AC278" s="77">
        <v>0</v>
      </c>
    </row>
    <row r="279" spans="1:29" s="80" customFormat="1" ht="39.75" customHeight="1" outlineLevel="1" x14ac:dyDescent="0.2">
      <c r="A279" s="74" t="s">
        <v>1349</v>
      </c>
      <c r="B279" s="91" t="s">
        <v>966</v>
      </c>
      <c r="C279" s="38">
        <f t="shared" si="94"/>
        <v>26</v>
      </c>
      <c r="D279" s="55">
        <f>F279+K279+P279+U279+Z279</f>
        <v>93731</v>
      </c>
      <c r="E279" s="51">
        <v>0</v>
      </c>
      <c r="F279" s="89">
        <f t="shared" si="96"/>
        <v>0</v>
      </c>
      <c r="G279" s="89">
        <v>0</v>
      </c>
      <c r="H279" s="52">
        <v>0</v>
      </c>
      <c r="I279" s="52">
        <v>0</v>
      </c>
      <c r="J279" s="38">
        <v>0</v>
      </c>
      <c r="K279" s="77">
        <f t="shared" si="87"/>
        <v>0</v>
      </c>
      <c r="L279" s="77">
        <v>0</v>
      </c>
      <c r="M279" s="77">
        <v>0</v>
      </c>
      <c r="N279" s="77">
        <v>0</v>
      </c>
      <c r="O279" s="345">
        <v>26</v>
      </c>
      <c r="P279" s="346">
        <f t="shared" si="97"/>
        <v>93731</v>
      </c>
      <c r="Q279" s="346">
        <v>0</v>
      </c>
      <c r="R279" s="346">
        <v>88295</v>
      </c>
      <c r="S279" s="346">
        <v>5436</v>
      </c>
      <c r="T279" s="76">
        <v>0</v>
      </c>
      <c r="U279" s="77">
        <f t="shared" si="98"/>
        <v>0</v>
      </c>
      <c r="V279" s="77">
        <v>0</v>
      </c>
      <c r="W279" s="77">
        <v>0</v>
      </c>
      <c r="X279" s="77">
        <v>0</v>
      </c>
      <c r="Y279" s="76">
        <v>0</v>
      </c>
      <c r="Z279" s="77">
        <f t="shared" si="99"/>
        <v>0</v>
      </c>
      <c r="AA279" s="77">
        <v>0</v>
      </c>
      <c r="AB279" s="77">
        <v>0</v>
      </c>
      <c r="AC279" s="77">
        <v>0</v>
      </c>
    </row>
    <row r="280" spans="1:29" s="80" customFormat="1" ht="37.9" customHeight="1" outlineLevel="1" x14ac:dyDescent="0.2">
      <c r="A280" s="74" t="s">
        <v>1350</v>
      </c>
      <c r="B280" s="91" t="s">
        <v>699</v>
      </c>
      <c r="C280" s="38">
        <f t="shared" si="94"/>
        <v>4.7</v>
      </c>
      <c r="D280" s="55">
        <f t="shared" si="95"/>
        <v>18637</v>
      </c>
      <c r="E280" s="51">
        <v>0</v>
      </c>
      <c r="F280" s="89">
        <f t="shared" si="96"/>
        <v>0</v>
      </c>
      <c r="G280" s="89">
        <v>0</v>
      </c>
      <c r="H280" s="52">
        <v>0</v>
      </c>
      <c r="I280" s="52">
        <v>0</v>
      </c>
      <c r="J280" s="38">
        <v>0</v>
      </c>
      <c r="K280" s="77">
        <f t="shared" si="87"/>
        <v>0</v>
      </c>
      <c r="L280" s="77">
        <v>0</v>
      </c>
      <c r="M280" s="77">
        <v>0</v>
      </c>
      <c r="N280" s="77">
        <v>0</v>
      </c>
      <c r="O280" s="345">
        <v>4.7</v>
      </c>
      <c r="P280" s="346">
        <f t="shared" si="97"/>
        <v>18637</v>
      </c>
      <c r="Q280" s="346">
        <v>0</v>
      </c>
      <c r="R280" s="346">
        <v>17556</v>
      </c>
      <c r="S280" s="346">
        <v>1081</v>
      </c>
      <c r="T280" s="76">
        <v>0</v>
      </c>
      <c r="U280" s="77">
        <f t="shared" si="98"/>
        <v>0</v>
      </c>
      <c r="V280" s="77">
        <v>0</v>
      </c>
      <c r="W280" s="77">
        <v>0</v>
      </c>
      <c r="X280" s="77">
        <v>0</v>
      </c>
      <c r="Y280" s="76">
        <v>0</v>
      </c>
      <c r="Z280" s="77">
        <f t="shared" si="99"/>
        <v>0</v>
      </c>
      <c r="AA280" s="77">
        <v>0</v>
      </c>
      <c r="AB280" s="77">
        <v>0</v>
      </c>
      <c r="AC280" s="77">
        <v>0</v>
      </c>
    </row>
    <row r="281" spans="1:29" s="80" customFormat="1" ht="33" customHeight="1" outlineLevel="1" x14ac:dyDescent="0.2">
      <c r="A281" s="74" t="s">
        <v>1351</v>
      </c>
      <c r="B281" s="91" t="s">
        <v>700</v>
      </c>
      <c r="C281" s="38">
        <f t="shared" si="94"/>
        <v>0</v>
      </c>
      <c r="D281" s="55">
        <f t="shared" si="95"/>
        <v>0</v>
      </c>
      <c r="E281" s="51">
        <v>0</v>
      </c>
      <c r="F281" s="89">
        <f t="shared" si="96"/>
        <v>0</v>
      </c>
      <c r="G281" s="89">
        <v>0</v>
      </c>
      <c r="H281" s="52">
        <v>0</v>
      </c>
      <c r="I281" s="52">
        <v>0</v>
      </c>
      <c r="J281" s="38">
        <v>0</v>
      </c>
      <c r="K281" s="77">
        <f t="shared" si="87"/>
        <v>0</v>
      </c>
      <c r="L281" s="77">
        <v>0</v>
      </c>
      <c r="M281" s="77">
        <v>0</v>
      </c>
      <c r="N281" s="77">
        <v>0</v>
      </c>
      <c r="O281" s="345">
        <v>0</v>
      </c>
      <c r="P281" s="346">
        <f t="shared" si="97"/>
        <v>0</v>
      </c>
      <c r="Q281" s="346">
        <v>0</v>
      </c>
      <c r="R281" s="346">
        <v>0</v>
      </c>
      <c r="S281" s="346">
        <v>0</v>
      </c>
      <c r="T281" s="76">
        <v>0</v>
      </c>
      <c r="U281" s="77">
        <f t="shared" si="98"/>
        <v>0</v>
      </c>
      <c r="V281" s="77">
        <v>0</v>
      </c>
      <c r="W281" s="77">
        <v>0</v>
      </c>
      <c r="X281" s="77">
        <v>0</v>
      </c>
      <c r="Y281" s="76">
        <v>0</v>
      </c>
      <c r="Z281" s="77">
        <f t="shared" si="99"/>
        <v>0</v>
      </c>
      <c r="AA281" s="77">
        <v>0</v>
      </c>
      <c r="AB281" s="77">
        <v>0</v>
      </c>
      <c r="AC281" s="77">
        <v>0</v>
      </c>
    </row>
    <row r="282" spans="1:29" s="80" customFormat="1" ht="36" customHeight="1" outlineLevel="1" x14ac:dyDescent="0.2">
      <c r="A282" s="74" t="s">
        <v>1352</v>
      </c>
      <c r="B282" s="91" t="s">
        <v>701</v>
      </c>
      <c r="C282" s="38">
        <f t="shared" si="94"/>
        <v>10.91</v>
      </c>
      <c r="D282" s="55">
        <f t="shared" si="95"/>
        <v>41397</v>
      </c>
      <c r="E282" s="51">
        <v>0</v>
      </c>
      <c r="F282" s="89">
        <f t="shared" si="96"/>
        <v>0</v>
      </c>
      <c r="G282" s="89">
        <v>0</v>
      </c>
      <c r="H282" s="52">
        <v>0</v>
      </c>
      <c r="I282" s="52">
        <v>0</v>
      </c>
      <c r="J282" s="38">
        <v>0</v>
      </c>
      <c r="K282" s="77">
        <f t="shared" si="87"/>
        <v>0</v>
      </c>
      <c r="L282" s="77">
        <v>0</v>
      </c>
      <c r="M282" s="77">
        <v>0</v>
      </c>
      <c r="N282" s="77">
        <v>0</v>
      </c>
      <c r="O282" s="345">
        <v>10.91</v>
      </c>
      <c r="P282" s="346">
        <f t="shared" si="97"/>
        <v>41397</v>
      </c>
      <c r="Q282" s="346">
        <v>0</v>
      </c>
      <c r="R282" s="346">
        <v>38996</v>
      </c>
      <c r="S282" s="346">
        <v>2401</v>
      </c>
      <c r="T282" s="76">
        <v>0</v>
      </c>
      <c r="U282" s="77">
        <f t="shared" si="98"/>
        <v>0</v>
      </c>
      <c r="V282" s="77">
        <v>0</v>
      </c>
      <c r="W282" s="77">
        <v>0</v>
      </c>
      <c r="X282" s="77">
        <v>0</v>
      </c>
      <c r="Y282" s="76">
        <v>0</v>
      </c>
      <c r="Z282" s="77">
        <f t="shared" si="99"/>
        <v>0</v>
      </c>
      <c r="AA282" s="77">
        <v>0</v>
      </c>
      <c r="AB282" s="77">
        <v>0</v>
      </c>
      <c r="AC282" s="77">
        <v>0</v>
      </c>
    </row>
    <row r="283" spans="1:29" s="80" customFormat="1" ht="36" customHeight="1" outlineLevel="1" x14ac:dyDescent="0.2">
      <c r="A283" s="74" t="s">
        <v>1353</v>
      </c>
      <c r="B283" s="91" t="s">
        <v>939</v>
      </c>
      <c r="C283" s="38">
        <f t="shared" ref="C283:C299" si="100">E283+J283+O283+T283+Y283</f>
        <v>87.6</v>
      </c>
      <c r="D283" s="55">
        <f t="shared" ref="D283:D299" si="101">F283+K283+P283+U283+Z283</f>
        <v>298316</v>
      </c>
      <c r="E283" s="51">
        <v>0</v>
      </c>
      <c r="F283" s="89">
        <f t="shared" ref="F283:F298" si="102">G283+H283+I283</f>
        <v>0</v>
      </c>
      <c r="G283" s="89">
        <v>0</v>
      </c>
      <c r="H283" s="52">
        <v>0</v>
      </c>
      <c r="I283" s="52">
        <v>0</v>
      </c>
      <c r="J283" s="38">
        <v>0</v>
      </c>
      <c r="K283" s="77">
        <f t="shared" ref="K283:K298" si="103">L283+M283+N283</f>
        <v>0</v>
      </c>
      <c r="L283" s="77">
        <v>0</v>
      </c>
      <c r="M283" s="77">
        <v>0</v>
      </c>
      <c r="N283" s="77">
        <v>0</v>
      </c>
      <c r="O283" s="76">
        <v>0</v>
      </c>
      <c r="P283" s="77">
        <f t="shared" ref="P283:P299" si="104">Q283+R283+S283</f>
        <v>0</v>
      </c>
      <c r="Q283" s="77">
        <v>0</v>
      </c>
      <c r="R283" s="77">
        <v>0</v>
      </c>
      <c r="S283" s="77">
        <v>0</v>
      </c>
      <c r="T283" s="345">
        <v>87.6</v>
      </c>
      <c r="U283" s="346">
        <f t="shared" ref="U283:U299" si="105">V283+W283+X283</f>
        <v>298316</v>
      </c>
      <c r="V283" s="346">
        <v>0</v>
      </c>
      <c r="W283" s="346">
        <v>289367</v>
      </c>
      <c r="X283" s="346">
        <v>8949</v>
      </c>
      <c r="Y283" s="76">
        <v>0</v>
      </c>
      <c r="Z283" s="77">
        <f t="shared" ref="Z283:Z299" si="106">AA283+AB283+AC283</f>
        <v>0</v>
      </c>
      <c r="AA283" s="77">
        <v>0</v>
      </c>
      <c r="AB283" s="77">
        <v>0</v>
      </c>
      <c r="AC283" s="77">
        <v>0</v>
      </c>
    </row>
    <row r="284" spans="1:29" s="80" customFormat="1" ht="36" customHeight="1" outlineLevel="1" x14ac:dyDescent="0.2">
      <c r="A284" s="74" t="s">
        <v>1354</v>
      </c>
      <c r="B284" s="91" t="s">
        <v>940</v>
      </c>
      <c r="C284" s="38">
        <f t="shared" si="100"/>
        <v>18.97</v>
      </c>
      <c r="D284" s="55">
        <f t="shared" si="101"/>
        <v>264419</v>
      </c>
      <c r="E284" s="51">
        <v>0</v>
      </c>
      <c r="F284" s="89">
        <f t="shared" si="102"/>
        <v>0</v>
      </c>
      <c r="G284" s="89">
        <v>0</v>
      </c>
      <c r="H284" s="52">
        <v>0</v>
      </c>
      <c r="I284" s="52">
        <v>0</v>
      </c>
      <c r="J284" s="38">
        <v>0</v>
      </c>
      <c r="K284" s="77">
        <f t="shared" si="103"/>
        <v>0</v>
      </c>
      <c r="L284" s="77">
        <v>0</v>
      </c>
      <c r="M284" s="77">
        <v>0</v>
      </c>
      <c r="N284" s="77">
        <v>0</v>
      </c>
      <c r="O284" s="76">
        <v>0</v>
      </c>
      <c r="P284" s="77">
        <f t="shared" si="104"/>
        <v>0</v>
      </c>
      <c r="Q284" s="77">
        <v>0</v>
      </c>
      <c r="R284" s="77">
        <v>0</v>
      </c>
      <c r="S284" s="77">
        <v>0</v>
      </c>
      <c r="T284" s="345">
        <v>18.97</v>
      </c>
      <c r="U284" s="346">
        <f t="shared" si="105"/>
        <v>264419</v>
      </c>
      <c r="V284" s="346">
        <v>0</v>
      </c>
      <c r="W284" s="346">
        <v>256486</v>
      </c>
      <c r="X284" s="346">
        <v>7933</v>
      </c>
      <c r="Y284" s="76">
        <v>0</v>
      </c>
      <c r="Z284" s="77">
        <f t="shared" si="106"/>
        <v>0</v>
      </c>
      <c r="AA284" s="77">
        <v>0</v>
      </c>
      <c r="AB284" s="77">
        <v>0</v>
      </c>
      <c r="AC284" s="77">
        <v>0</v>
      </c>
    </row>
    <row r="285" spans="1:29" s="80" customFormat="1" ht="36" customHeight="1" outlineLevel="1" x14ac:dyDescent="0.2">
      <c r="A285" s="74" t="s">
        <v>1355</v>
      </c>
      <c r="B285" s="91" t="s">
        <v>941</v>
      </c>
      <c r="C285" s="38">
        <f t="shared" si="100"/>
        <v>37.130000000000003</v>
      </c>
      <c r="D285" s="55">
        <f t="shared" si="101"/>
        <v>95971</v>
      </c>
      <c r="E285" s="51">
        <v>0</v>
      </c>
      <c r="F285" s="89">
        <f t="shared" si="102"/>
        <v>0</v>
      </c>
      <c r="G285" s="89">
        <v>0</v>
      </c>
      <c r="H285" s="52">
        <v>0</v>
      </c>
      <c r="I285" s="52">
        <v>0</v>
      </c>
      <c r="J285" s="38">
        <v>0</v>
      </c>
      <c r="K285" s="77">
        <f t="shared" si="103"/>
        <v>0</v>
      </c>
      <c r="L285" s="77">
        <v>0</v>
      </c>
      <c r="M285" s="77">
        <v>0</v>
      </c>
      <c r="N285" s="77">
        <v>0</v>
      </c>
      <c r="O285" s="76">
        <v>0</v>
      </c>
      <c r="P285" s="77">
        <f t="shared" si="104"/>
        <v>0</v>
      </c>
      <c r="Q285" s="77">
        <v>0</v>
      </c>
      <c r="R285" s="77">
        <v>0</v>
      </c>
      <c r="S285" s="77">
        <v>0</v>
      </c>
      <c r="T285" s="345">
        <v>37.130000000000003</v>
      </c>
      <c r="U285" s="346">
        <f t="shared" si="105"/>
        <v>95971</v>
      </c>
      <c r="V285" s="346">
        <v>0</v>
      </c>
      <c r="W285" s="346">
        <v>93092</v>
      </c>
      <c r="X285" s="346">
        <v>2879</v>
      </c>
      <c r="Y285" s="76">
        <v>0</v>
      </c>
      <c r="Z285" s="77">
        <f t="shared" si="106"/>
        <v>0</v>
      </c>
      <c r="AA285" s="77">
        <v>0</v>
      </c>
      <c r="AB285" s="77">
        <v>0</v>
      </c>
      <c r="AC285" s="77">
        <v>0</v>
      </c>
    </row>
    <row r="286" spans="1:29" s="80" customFormat="1" ht="52.5" customHeight="1" outlineLevel="1" x14ac:dyDescent="0.2">
      <c r="A286" s="74" t="s">
        <v>1356</v>
      </c>
      <c r="B286" s="91" t="s">
        <v>967</v>
      </c>
      <c r="C286" s="38">
        <f t="shared" si="100"/>
        <v>15.37</v>
      </c>
      <c r="D286" s="55">
        <f t="shared" si="101"/>
        <v>62944</v>
      </c>
      <c r="E286" s="51">
        <v>0</v>
      </c>
      <c r="F286" s="89">
        <f t="shared" si="102"/>
        <v>0</v>
      </c>
      <c r="G286" s="89">
        <v>0</v>
      </c>
      <c r="H286" s="52">
        <v>0</v>
      </c>
      <c r="I286" s="52">
        <v>0</v>
      </c>
      <c r="J286" s="38">
        <v>0</v>
      </c>
      <c r="K286" s="77">
        <f t="shared" si="103"/>
        <v>0</v>
      </c>
      <c r="L286" s="77">
        <v>0</v>
      </c>
      <c r="M286" s="77">
        <v>0</v>
      </c>
      <c r="N286" s="77">
        <v>0</v>
      </c>
      <c r="O286" s="76">
        <v>0</v>
      </c>
      <c r="P286" s="77">
        <f t="shared" si="104"/>
        <v>0</v>
      </c>
      <c r="Q286" s="77">
        <v>0</v>
      </c>
      <c r="R286" s="77">
        <v>0</v>
      </c>
      <c r="S286" s="77">
        <v>0</v>
      </c>
      <c r="T286" s="345">
        <v>15.37</v>
      </c>
      <c r="U286" s="346">
        <f t="shared" si="105"/>
        <v>62944</v>
      </c>
      <c r="V286" s="346">
        <v>0</v>
      </c>
      <c r="W286" s="346">
        <v>61055</v>
      </c>
      <c r="X286" s="586">
        <v>1889</v>
      </c>
      <c r="Y286" s="76">
        <v>0</v>
      </c>
      <c r="Z286" s="77">
        <f t="shared" si="106"/>
        <v>0</v>
      </c>
      <c r="AA286" s="77">
        <v>0</v>
      </c>
      <c r="AB286" s="77">
        <v>0</v>
      </c>
      <c r="AC286" s="77">
        <v>0</v>
      </c>
    </row>
    <row r="287" spans="1:29" s="80" customFormat="1" ht="96" customHeight="1" outlineLevel="1" x14ac:dyDescent="0.2">
      <c r="A287" s="102" t="s">
        <v>1357</v>
      </c>
      <c r="B287" s="103" t="s">
        <v>942</v>
      </c>
      <c r="C287" s="38">
        <f t="shared" si="100"/>
        <v>0</v>
      </c>
      <c r="D287" s="55">
        <f t="shared" si="101"/>
        <v>0</v>
      </c>
      <c r="E287" s="51">
        <v>0</v>
      </c>
      <c r="F287" s="89">
        <f t="shared" si="102"/>
        <v>0</v>
      </c>
      <c r="G287" s="89">
        <v>0</v>
      </c>
      <c r="H287" s="52">
        <v>0</v>
      </c>
      <c r="I287" s="52">
        <v>0</v>
      </c>
      <c r="J287" s="38">
        <v>0</v>
      </c>
      <c r="K287" s="77">
        <f t="shared" si="103"/>
        <v>0</v>
      </c>
      <c r="L287" s="77">
        <v>0</v>
      </c>
      <c r="M287" s="77">
        <v>0</v>
      </c>
      <c r="N287" s="77">
        <v>0</v>
      </c>
      <c r="O287" s="76">
        <v>0</v>
      </c>
      <c r="P287" s="77">
        <f t="shared" si="104"/>
        <v>0</v>
      </c>
      <c r="Q287" s="77">
        <v>0</v>
      </c>
      <c r="R287" s="77">
        <v>0</v>
      </c>
      <c r="S287" s="77">
        <v>0</v>
      </c>
      <c r="T287" s="76">
        <v>0</v>
      </c>
      <c r="U287" s="77">
        <f t="shared" si="105"/>
        <v>0</v>
      </c>
      <c r="V287" s="77">
        <v>0</v>
      </c>
      <c r="W287" s="77">
        <v>0</v>
      </c>
      <c r="X287" s="77">
        <v>0</v>
      </c>
      <c r="Y287" s="76">
        <v>0</v>
      </c>
      <c r="Z287" s="77">
        <f t="shared" si="106"/>
        <v>0</v>
      </c>
      <c r="AA287" s="77">
        <v>0</v>
      </c>
      <c r="AB287" s="77">
        <v>0</v>
      </c>
      <c r="AC287" s="77">
        <v>0</v>
      </c>
    </row>
    <row r="288" spans="1:29" s="80" customFormat="1" ht="36" customHeight="1" outlineLevel="1" x14ac:dyDescent="0.2">
      <c r="A288" s="74" t="s">
        <v>1358</v>
      </c>
      <c r="B288" s="91" t="s">
        <v>1674</v>
      </c>
      <c r="C288" s="38">
        <f t="shared" si="100"/>
        <v>72.099999999999994</v>
      </c>
      <c r="D288" s="55">
        <f t="shared" si="101"/>
        <v>263024</v>
      </c>
      <c r="E288" s="51">
        <v>0</v>
      </c>
      <c r="F288" s="89">
        <f t="shared" si="102"/>
        <v>0</v>
      </c>
      <c r="G288" s="89">
        <v>0</v>
      </c>
      <c r="H288" s="52">
        <v>0</v>
      </c>
      <c r="I288" s="52">
        <v>0</v>
      </c>
      <c r="J288" s="38">
        <v>0</v>
      </c>
      <c r="K288" s="77">
        <f t="shared" si="103"/>
        <v>0</v>
      </c>
      <c r="L288" s="77">
        <v>0</v>
      </c>
      <c r="M288" s="77">
        <v>0</v>
      </c>
      <c r="N288" s="77">
        <v>0</v>
      </c>
      <c r="O288" s="345">
        <f>71.96+0.14</f>
        <v>72.099999999999994</v>
      </c>
      <c r="P288" s="346">
        <f t="shared" si="104"/>
        <v>263024</v>
      </c>
      <c r="Q288" s="346">
        <v>0</v>
      </c>
      <c r="R288" s="346">
        <v>247769</v>
      </c>
      <c r="S288" s="346">
        <v>15255</v>
      </c>
      <c r="T288" s="76">
        <v>0</v>
      </c>
      <c r="U288" s="77">
        <f t="shared" si="105"/>
        <v>0</v>
      </c>
      <c r="V288" s="77">
        <v>0</v>
      </c>
      <c r="W288" s="77">
        <v>0</v>
      </c>
      <c r="X288" s="77">
        <v>0</v>
      </c>
      <c r="Y288" s="76">
        <v>0</v>
      </c>
      <c r="Z288" s="77">
        <f t="shared" si="106"/>
        <v>0</v>
      </c>
      <c r="AA288" s="77">
        <v>0</v>
      </c>
      <c r="AB288" s="77">
        <v>0</v>
      </c>
      <c r="AC288" s="77">
        <v>0</v>
      </c>
    </row>
    <row r="289" spans="1:31" s="80" customFormat="1" ht="36" outlineLevel="1" x14ac:dyDescent="0.2">
      <c r="A289" s="74" t="s">
        <v>1636</v>
      </c>
      <c r="B289" s="91" t="s">
        <v>975</v>
      </c>
      <c r="C289" s="38">
        <f t="shared" si="100"/>
        <v>21.39</v>
      </c>
      <c r="D289" s="55">
        <f t="shared" si="101"/>
        <v>48832</v>
      </c>
      <c r="E289" s="51">
        <v>0</v>
      </c>
      <c r="F289" s="89">
        <f t="shared" si="102"/>
        <v>0</v>
      </c>
      <c r="G289" s="89">
        <v>0</v>
      </c>
      <c r="H289" s="52">
        <v>0</v>
      </c>
      <c r="I289" s="89">
        <v>0</v>
      </c>
      <c r="J289" s="38">
        <v>21.39</v>
      </c>
      <c r="K289" s="77">
        <f t="shared" si="103"/>
        <v>48832</v>
      </c>
      <c r="L289" s="77">
        <v>0</v>
      </c>
      <c r="M289" s="77">
        <v>46000</v>
      </c>
      <c r="N289" s="77">
        <v>2832</v>
      </c>
      <c r="O289" s="76">
        <v>0</v>
      </c>
      <c r="P289" s="77">
        <f t="shared" si="104"/>
        <v>0</v>
      </c>
      <c r="Q289" s="77">
        <v>0</v>
      </c>
      <c r="R289" s="77">
        <v>0</v>
      </c>
      <c r="S289" s="77">
        <v>0</v>
      </c>
      <c r="T289" s="76">
        <v>0</v>
      </c>
      <c r="U289" s="77">
        <f t="shared" si="105"/>
        <v>0</v>
      </c>
      <c r="V289" s="77">
        <v>0</v>
      </c>
      <c r="W289" s="77">
        <v>0</v>
      </c>
      <c r="X289" s="77">
        <v>0</v>
      </c>
      <c r="Y289" s="76">
        <v>0</v>
      </c>
      <c r="Z289" s="77">
        <f t="shared" si="106"/>
        <v>0</v>
      </c>
      <c r="AA289" s="77">
        <v>0</v>
      </c>
      <c r="AB289" s="77">
        <v>0</v>
      </c>
      <c r="AC289" s="77">
        <v>0</v>
      </c>
    </row>
    <row r="290" spans="1:31" s="80" customFormat="1" ht="38.25" customHeight="1" outlineLevel="1" x14ac:dyDescent="0.2">
      <c r="A290" s="74" t="s">
        <v>1637</v>
      </c>
      <c r="B290" s="91" t="s">
        <v>1021</v>
      </c>
      <c r="C290" s="38">
        <f t="shared" si="100"/>
        <v>7.04</v>
      </c>
      <c r="D290" s="55">
        <f t="shared" si="101"/>
        <v>29826</v>
      </c>
      <c r="E290" s="51">
        <v>0</v>
      </c>
      <c r="F290" s="89">
        <f t="shared" si="102"/>
        <v>0</v>
      </c>
      <c r="G290" s="89">
        <v>0</v>
      </c>
      <c r="H290" s="52">
        <v>0</v>
      </c>
      <c r="I290" s="89">
        <v>0</v>
      </c>
      <c r="J290" s="104">
        <v>7.04</v>
      </c>
      <c r="K290" s="101">
        <f t="shared" si="103"/>
        <v>29826</v>
      </c>
      <c r="L290" s="101">
        <v>0</v>
      </c>
      <c r="M290" s="101">
        <v>28096</v>
      </c>
      <c r="N290" s="101">
        <v>1730</v>
      </c>
      <c r="O290" s="105">
        <v>0</v>
      </c>
      <c r="P290" s="77">
        <f t="shared" si="104"/>
        <v>0</v>
      </c>
      <c r="Q290" s="77">
        <v>0</v>
      </c>
      <c r="R290" s="77">
        <v>0</v>
      </c>
      <c r="S290" s="77">
        <v>0</v>
      </c>
      <c r="T290" s="76">
        <v>0</v>
      </c>
      <c r="U290" s="77">
        <f t="shared" si="105"/>
        <v>0</v>
      </c>
      <c r="V290" s="77">
        <v>0</v>
      </c>
      <c r="W290" s="77">
        <v>0</v>
      </c>
      <c r="X290" s="77">
        <v>0</v>
      </c>
      <c r="Y290" s="76">
        <v>0</v>
      </c>
      <c r="Z290" s="77">
        <f t="shared" si="106"/>
        <v>0</v>
      </c>
      <c r="AA290" s="77">
        <v>0</v>
      </c>
      <c r="AB290" s="77">
        <v>0</v>
      </c>
      <c r="AC290" s="77">
        <v>0</v>
      </c>
    </row>
    <row r="291" spans="1:31" s="80" customFormat="1" ht="36" customHeight="1" outlineLevel="1" x14ac:dyDescent="0.2">
      <c r="A291" s="74" t="s">
        <v>1638</v>
      </c>
      <c r="B291" s="91" t="s">
        <v>1018</v>
      </c>
      <c r="C291" s="38">
        <f t="shared" si="100"/>
        <v>8.4</v>
      </c>
      <c r="D291" s="55">
        <f t="shared" si="101"/>
        <v>27392</v>
      </c>
      <c r="E291" s="51">
        <v>0</v>
      </c>
      <c r="F291" s="89">
        <f t="shared" si="102"/>
        <v>0</v>
      </c>
      <c r="G291" s="89">
        <v>0</v>
      </c>
      <c r="H291" s="52">
        <v>0</v>
      </c>
      <c r="I291" s="52">
        <v>0</v>
      </c>
      <c r="J291" s="38">
        <v>8.4</v>
      </c>
      <c r="K291" s="77">
        <f t="shared" si="103"/>
        <v>27392</v>
      </c>
      <c r="L291" s="77">
        <v>0</v>
      </c>
      <c r="M291" s="77">
        <v>25803</v>
      </c>
      <c r="N291" s="77">
        <v>1589</v>
      </c>
      <c r="O291" s="76">
        <v>0</v>
      </c>
      <c r="P291" s="77">
        <f t="shared" si="104"/>
        <v>0</v>
      </c>
      <c r="Q291" s="77">
        <v>0</v>
      </c>
      <c r="R291" s="77">
        <v>0</v>
      </c>
      <c r="S291" s="77">
        <v>0</v>
      </c>
      <c r="T291" s="76">
        <v>0</v>
      </c>
      <c r="U291" s="77">
        <f t="shared" si="105"/>
        <v>0</v>
      </c>
      <c r="V291" s="77">
        <v>0</v>
      </c>
      <c r="W291" s="77">
        <v>0</v>
      </c>
      <c r="X291" s="77">
        <v>0</v>
      </c>
      <c r="Y291" s="76">
        <v>0</v>
      </c>
      <c r="Z291" s="77">
        <f t="shared" si="106"/>
        <v>0</v>
      </c>
      <c r="AA291" s="77">
        <v>0</v>
      </c>
      <c r="AB291" s="77">
        <v>0</v>
      </c>
      <c r="AC291" s="77">
        <v>0</v>
      </c>
    </row>
    <row r="292" spans="1:31" s="80" customFormat="1" ht="36" customHeight="1" outlineLevel="1" x14ac:dyDescent="0.2">
      <c r="A292" s="74" t="s">
        <v>1639</v>
      </c>
      <c r="B292" s="91" t="s">
        <v>1019</v>
      </c>
      <c r="C292" s="38">
        <f t="shared" si="100"/>
        <v>38.479999999999997</v>
      </c>
      <c r="D292" s="55">
        <f t="shared" si="101"/>
        <v>117730</v>
      </c>
      <c r="E292" s="51">
        <v>0</v>
      </c>
      <c r="F292" s="89">
        <f t="shared" si="102"/>
        <v>0</v>
      </c>
      <c r="G292" s="89">
        <v>0</v>
      </c>
      <c r="H292" s="52">
        <v>0</v>
      </c>
      <c r="I292" s="52">
        <v>0</v>
      </c>
      <c r="J292" s="38">
        <v>38.479999999999997</v>
      </c>
      <c r="K292" s="77">
        <f t="shared" si="103"/>
        <v>117730</v>
      </c>
      <c r="L292" s="77">
        <v>0</v>
      </c>
      <c r="M292" s="77">
        <v>110902</v>
      </c>
      <c r="N292" s="77">
        <v>6828</v>
      </c>
      <c r="O292" s="76">
        <v>0</v>
      </c>
      <c r="P292" s="77">
        <f t="shared" si="104"/>
        <v>0</v>
      </c>
      <c r="Q292" s="77">
        <v>0</v>
      </c>
      <c r="R292" s="77">
        <v>0</v>
      </c>
      <c r="S292" s="77">
        <v>0</v>
      </c>
      <c r="T292" s="76">
        <v>0</v>
      </c>
      <c r="U292" s="77">
        <f t="shared" si="105"/>
        <v>0</v>
      </c>
      <c r="V292" s="77">
        <v>0</v>
      </c>
      <c r="W292" s="77">
        <v>0</v>
      </c>
      <c r="X292" s="77">
        <v>0</v>
      </c>
      <c r="Y292" s="76">
        <v>0</v>
      </c>
      <c r="Z292" s="77">
        <f t="shared" si="106"/>
        <v>0</v>
      </c>
      <c r="AA292" s="77">
        <v>0</v>
      </c>
      <c r="AB292" s="77">
        <v>0</v>
      </c>
      <c r="AC292" s="77">
        <v>0</v>
      </c>
    </row>
    <row r="293" spans="1:31" s="80" customFormat="1" ht="36" customHeight="1" outlineLevel="1" x14ac:dyDescent="0.2">
      <c r="A293" s="74" t="s">
        <v>1640</v>
      </c>
      <c r="B293" s="91" t="s">
        <v>1020</v>
      </c>
      <c r="C293" s="38">
        <f t="shared" si="100"/>
        <v>56.7</v>
      </c>
      <c r="D293" s="55">
        <f t="shared" si="101"/>
        <v>173349</v>
      </c>
      <c r="E293" s="51">
        <v>0</v>
      </c>
      <c r="F293" s="89">
        <f t="shared" si="102"/>
        <v>0</v>
      </c>
      <c r="G293" s="89">
        <v>0</v>
      </c>
      <c r="H293" s="52">
        <v>0</v>
      </c>
      <c r="I293" s="52">
        <v>0</v>
      </c>
      <c r="J293" s="38">
        <v>56.7</v>
      </c>
      <c r="K293" s="77">
        <f t="shared" si="103"/>
        <v>173349</v>
      </c>
      <c r="L293" s="77">
        <v>0</v>
      </c>
      <c r="M293" s="77">
        <v>163295</v>
      </c>
      <c r="N293" s="77">
        <v>10054</v>
      </c>
      <c r="O293" s="76">
        <v>0</v>
      </c>
      <c r="P293" s="77">
        <f t="shared" si="104"/>
        <v>0</v>
      </c>
      <c r="Q293" s="77">
        <v>0</v>
      </c>
      <c r="R293" s="77">
        <v>0</v>
      </c>
      <c r="S293" s="77">
        <v>0</v>
      </c>
      <c r="T293" s="76">
        <v>0</v>
      </c>
      <c r="U293" s="77">
        <f t="shared" si="105"/>
        <v>0</v>
      </c>
      <c r="V293" s="77">
        <v>0</v>
      </c>
      <c r="W293" s="77">
        <v>0</v>
      </c>
      <c r="X293" s="77">
        <v>0</v>
      </c>
      <c r="Y293" s="76">
        <v>0</v>
      </c>
      <c r="Z293" s="77">
        <f t="shared" si="106"/>
        <v>0</v>
      </c>
      <c r="AA293" s="77">
        <v>0</v>
      </c>
      <c r="AB293" s="77">
        <v>0</v>
      </c>
      <c r="AC293" s="77">
        <v>0</v>
      </c>
    </row>
    <row r="294" spans="1:31" s="80" customFormat="1" ht="38.25" customHeight="1" outlineLevel="1" x14ac:dyDescent="0.2">
      <c r="A294" s="74" t="s">
        <v>1663</v>
      </c>
      <c r="B294" s="91" t="s">
        <v>1631</v>
      </c>
      <c r="C294" s="38">
        <f t="shared" si="100"/>
        <v>0</v>
      </c>
      <c r="D294" s="55">
        <f t="shared" si="101"/>
        <v>15106</v>
      </c>
      <c r="E294" s="51">
        <v>0</v>
      </c>
      <c r="F294" s="89">
        <f t="shared" si="102"/>
        <v>0</v>
      </c>
      <c r="G294" s="89">
        <v>0</v>
      </c>
      <c r="H294" s="52">
        <v>0</v>
      </c>
      <c r="I294" s="89">
        <v>0</v>
      </c>
      <c r="J294" s="104">
        <v>0</v>
      </c>
      <c r="K294" s="101">
        <f t="shared" si="103"/>
        <v>0</v>
      </c>
      <c r="L294" s="101">
        <v>0</v>
      </c>
      <c r="M294" s="101">
        <v>0</v>
      </c>
      <c r="N294" s="101">
        <v>0</v>
      </c>
      <c r="O294" s="105">
        <v>0</v>
      </c>
      <c r="P294" s="77">
        <f t="shared" si="104"/>
        <v>0</v>
      </c>
      <c r="Q294" s="77">
        <v>0</v>
      </c>
      <c r="R294" s="77">
        <v>0</v>
      </c>
      <c r="S294" s="77">
        <v>0</v>
      </c>
      <c r="T294" s="76">
        <v>0</v>
      </c>
      <c r="U294" s="77">
        <f t="shared" si="105"/>
        <v>0</v>
      </c>
      <c r="V294" s="77">
        <v>0</v>
      </c>
      <c r="W294" s="77">
        <v>0</v>
      </c>
      <c r="X294" s="77">
        <v>0</v>
      </c>
      <c r="Y294" s="76">
        <v>0</v>
      </c>
      <c r="Z294" s="77">
        <f t="shared" si="106"/>
        <v>15106</v>
      </c>
      <c r="AA294" s="77">
        <v>0</v>
      </c>
      <c r="AB294" s="77">
        <v>14219</v>
      </c>
      <c r="AC294" s="77">
        <v>887</v>
      </c>
    </row>
    <row r="295" spans="1:31" s="80" customFormat="1" ht="38.25" customHeight="1" outlineLevel="1" x14ac:dyDescent="0.2">
      <c r="A295" s="74" t="s">
        <v>1684</v>
      </c>
      <c r="B295" s="91" t="s">
        <v>1632</v>
      </c>
      <c r="C295" s="38">
        <f t="shared" si="100"/>
        <v>0</v>
      </c>
      <c r="D295" s="55">
        <f t="shared" si="101"/>
        <v>98429</v>
      </c>
      <c r="E295" s="51">
        <v>0</v>
      </c>
      <c r="F295" s="89">
        <f t="shared" si="102"/>
        <v>0</v>
      </c>
      <c r="G295" s="89">
        <v>0</v>
      </c>
      <c r="H295" s="52">
        <v>0</v>
      </c>
      <c r="I295" s="89">
        <v>0</v>
      </c>
      <c r="J295" s="104">
        <v>0</v>
      </c>
      <c r="K295" s="101">
        <f t="shared" si="103"/>
        <v>0</v>
      </c>
      <c r="L295" s="101">
        <v>0</v>
      </c>
      <c r="M295" s="101">
        <v>0</v>
      </c>
      <c r="N295" s="101">
        <v>0</v>
      </c>
      <c r="O295" s="105">
        <v>0</v>
      </c>
      <c r="P295" s="77">
        <f t="shared" si="104"/>
        <v>0</v>
      </c>
      <c r="Q295" s="77">
        <v>0</v>
      </c>
      <c r="R295" s="77">
        <v>0</v>
      </c>
      <c r="S295" s="77">
        <v>0</v>
      </c>
      <c r="T295" s="76">
        <v>0</v>
      </c>
      <c r="U295" s="77">
        <f t="shared" si="105"/>
        <v>0</v>
      </c>
      <c r="V295" s="77">
        <v>0</v>
      </c>
      <c r="W295" s="77">
        <v>0</v>
      </c>
      <c r="X295" s="77">
        <v>0</v>
      </c>
      <c r="Y295" s="76">
        <v>0</v>
      </c>
      <c r="Z295" s="77">
        <f t="shared" si="106"/>
        <v>98429</v>
      </c>
      <c r="AA295" s="77">
        <v>0</v>
      </c>
      <c r="AB295" s="77">
        <v>92720</v>
      </c>
      <c r="AC295" s="77">
        <v>5709</v>
      </c>
    </row>
    <row r="296" spans="1:31" s="80" customFormat="1" ht="38.25" customHeight="1" outlineLevel="1" x14ac:dyDescent="0.2">
      <c r="A296" s="74" t="s">
        <v>1686</v>
      </c>
      <c r="B296" s="91" t="s">
        <v>1633</v>
      </c>
      <c r="C296" s="38">
        <f t="shared" si="100"/>
        <v>0</v>
      </c>
      <c r="D296" s="55">
        <f t="shared" si="101"/>
        <v>67533</v>
      </c>
      <c r="E296" s="51">
        <v>0</v>
      </c>
      <c r="F296" s="89">
        <f t="shared" si="102"/>
        <v>0</v>
      </c>
      <c r="G296" s="89">
        <v>0</v>
      </c>
      <c r="H296" s="52">
        <v>0</v>
      </c>
      <c r="I296" s="89">
        <v>0</v>
      </c>
      <c r="J296" s="104">
        <v>0</v>
      </c>
      <c r="K296" s="101">
        <f t="shared" si="103"/>
        <v>0</v>
      </c>
      <c r="L296" s="101">
        <v>0</v>
      </c>
      <c r="M296" s="101">
        <v>0</v>
      </c>
      <c r="N296" s="101">
        <v>0</v>
      </c>
      <c r="O296" s="105">
        <v>0</v>
      </c>
      <c r="P296" s="77">
        <f t="shared" si="104"/>
        <v>0</v>
      </c>
      <c r="Q296" s="77">
        <v>0</v>
      </c>
      <c r="R296" s="77">
        <v>0</v>
      </c>
      <c r="S296" s="77">
        <v>0</v>
      </c>
      <c r="T296" s="76">
        <v>0</v>
      </c>
      <c r="U296" s="77">
        <f t="shared" si="105"/>
        <v>0</v>
      </c>
      <c r="V296" s="77">
        <v>0</v>
      </c>
      <c r="W296" s="77">
        <v>0</v>
      </c>
      <c r="X296" s="77">
        <v>0</v>
      </c>
      <c r="Y296" s="76">
        <v>0</v>
      </c>
      <c r="Z296" s="77">
        <f t="shared" si="106"/>
        <v>67533</v>
      </c>
      <c r="AA296" s="77">
        <v>0</v>
      </c>
      <c r="AB296" s="77">
        <v>63616</v>
      </c>
      <c r="AC296" s="77">
        <v>3917</v>
      </c>
    </row>
    <row r="297" spans="1:31" s="80" customFormat="1" ht="38.25" customHeight="1" outlineLevel="1" x14ac:dyDescent="0.2">
      <c r="A297" s="74" t="s">
        <v>1687</v>
      </c>
      <c r="B297" s="91" t="s">
        <v>1634</v>
      </c>
      <c r="C297" s="38">
        <f t="shared" si="100"/>
        <v>0</v>
      </c>
      <c r="D297" s="55">
        <f t="shared" si="101"/>
        <v>332400</v>
      </c>
      <c r="E297" s="51">
        <v>0</v>
      </c>
      <c r="F297" s="89">
        <f t="shared" si="102"/>
        <v>0</v>
      </c>
      <c r="G297" s="89">
        <v>0</v>
      </c>
      <c r="H297" s="52">
        <v>0</v>
      </c>
      <c r="I297" s="89">
        <v>0</v>
      </c>
      <c r="J297" s="104">
        <v>0</v>
      </c>
      <c r="K297" s="101">
        <f t="shared" si="103"/>
        <v>0</v>
      </c>
      <c r="L297" s="101">
        <v>0</v>
      </c>
      <c r="M297" s="101">
        <v>0</v>
      </c>
      <c r="N297" s="101">
        <v>0</v>
      </c>
      <c r="O297" s="105">
        <v>0</v>
      </c>
      <c r="P297" s="77">
        <f t="shared" si="104"/>
        <v>0</v>
      </c>
      <c r="Q297" s="77">
        <v>0</v>
      </c>
      <c r="R297" s="77">
        <v>0</v>
      </c>
      <c r="S297" s="77">
        <v>0</v>
      </c>
      <c r="T297" s="76">
        <v>0</v>
      </c>
      <c r="U297" s="77">
        <f t="shared" si="105"/>
        <v>0</v>
      </c>
      <c r="V297" s="77">
        <v>0</v>
      </c>
      <c r="W297" s="77">
        <v>0</v>
      </c>
      <c r="X297" s="77">
        <v>0</v>
      </c>
      <c r="Y297" s="76">
        <v>0</v>
      </c>
      <c r="Z297" s="77">
        <f t="shared" si="106"/>
        <v>332400</v>
      </c>
      <c r="AA297" s="77">
        <v>0</v>
      </c>
      <c r="AB297" s="77">
        <v>313121</v>
      </c>
      <c r="AC297" s="77">
        <v>19279</v>
      </c>
    </row>
    <row r="298" spans="1:31" s="80" customFormat="1" ht="38.25" customHeight="1" outlineLevel="1" x14ac:dyDescent="0.2">
      <c r="A298" s="74" t="s">
        <v>1691</v>
      </c>
      <c r="B298" s="91" t="s">
        <v>1635</v>
      </c>
      <c r="C298" s="38">
        <f t="shared" si="100"/>
        <v>0</v>
      </c>
      <c r="D298" s="55">
        <f t="shared" si="101"/>
        <v>229632</v>
      </c>
      <c r="E298" s="51">
        <v>0</v>
      </c>
      <c r="F298" s="89">
        <f t="shared" si="102"/>
        <v>0</v>
      </c>
      <c r="G298" s="89">
        <v>0</v>
      </c>
      <c r="H298" s="52">
        <v>0</v>
      </c>
      <c r="I298" s="89">
        <v>0</v>
      </c>
      <c r="J298" s="104">
        <v>0</v>
      </c>
      <c r="K298" s="101">
        <f t="shared" si="103"/>
        <v>0</v>
      </c>
      <c r="L298" s="101">
        <v>0</v>
      </c>
      <c r="M298" s="101">
        <v>0</v>
      </c>
      <c r="N298" s="101">
        <v>0</v>
      </c>
      <c r="O298" s="105">
        <v>0</v>
      </c>
      <c r="P298" s="77">
        <f t="shared" si="104"/>
        <v>0</v>
      </c>
      <c r="Q298" s="77">
        <v>0</v>
      </c>
      <c r="R298" s="77">
        <v>0</v>
      </c>
      <c r="S298" s="77">
        <v>0</v>
      </c>
      <c r="T298" s="76">
        <v>0</v>
      </c>
      <c r="U298" s="77">
        <f t="shared" si="105"/>
        <v>0</v>
      </c>
      <c r="V298" s="77">
        <v>0</v>
      </c>
      <c r="W298" s="77">
        <v>0</v>
      </c>
      <c r="X298" s="77">
        <v>0</v>
      </c>
      <c r="Y298" s="76">
        <v>0</v>
      </c>
      <c r="Z298" s="77">
        <f t="shared" si="106"/>
        <v>229632</v>
      </c>
      <c r="AA298" s="77">
        <v>0</v>
      </c>
      <c r="AB298" s="77">
        <v>216324</v>
      </c>
      <c r="AC298" s="77">
        <v>13308</v>
      </c>
    </row>
    <row r="299" spans="1:31" s="80" customFormat="1" ht="18.75" customHeight="1" outlineLevel="1" x14ac:dyDescent="0.2">
      <c r="A299" s="74"/>
      <c r="B299" s="91" t="s">
        <v>587</v>
      </c>
      <c r="C299" s="38">
        <f t="shared" si="100"/>
        <v>0</v>
      </c>
      <c r="D299" s="55">
        <f t="shared" si="101"/>
        <v>99</v>
      </c>
      <c r="E299" s="51">
        <v>0</v>
      </c>
      <c r="F299" s="89">
        <f>H299+I299</f>
        <v>0</v>
      </c>
      <c r="G299" s="89">
        <v>0</v>
      </c>
      <c r="H299" s="52">
        <v>0</v>
      </c>
      <c r="I299" s="52">
        <v>0</v>
      </c>
      <c r="J299" s="38">
        <v>0</v>
      </c>
      <c r="K299" s="77">
        <f t="shared" si="87"/>
        <v>99</v>
      </c>
      <c r="L299" s="77">
        <v>0</v>
      </c>
      <c r="M299" s="77">
        <v>0</v>
      </c>
      <c r="N299" s="77">
        <v>99</v>
      </c>
      <c r="O299" s="76">
        <v>0</v>
      </c>
      <c r="P299" s="77">
        <f t="shared" si="104"/>
        <v>0</v>
      </c>
      <c r="Q299" s="77">
        <v>0</v>
      </c>
      <c r="R299" s="77">
        <v>0</v>
      </c>
      <c r="S299" s="77">
        <v>0</v>
      </c>
      <c r="T299" s="345">
        <v>0</v>
      </c>
      <c r="U299" s="346">
        <f t="shared" si="105"/>
        <v>0</v>
      </c>
      <c r="V299" s="346">
        <v>0</v>
      </c>
      <c r="W299" s="346">
        <v>0</v>
      </c>
      <c r="X299" s="346">
        <v>0</v>
      </c>
      <c r="Y299" s="345">
        <v>0</v>
      </c>
      <c r="Z299" s="346">
        <f t="shared" si="106"/>
        <v>0</v>
      </c>
      <c r="AA299" s="346">
        <v>0</v>
      </c>
      <c r="AB299" s="346">
        <v>0</v>
      </c>
      <c r="AC299" s="346">
        <v>0</v>
      </c>
    </row>
    <row r="300" spans="1:31" s="108" customFormat="1" ht="42" customHeight="1" x14ac:dyDescent="0.2">
      <c r="A300" s="74"/>
      <c r="B300" s="86" t="s">
        <v>1359</v>
      </c>
      <c r="C300" s="106">
        <f t="shared" ref="C300:AC300" si="107">SUM(C128:C299)</f>
        <v>1192.2700000000004</v>
      </c>
      <c r="D300" s="88">
        <f t="shared" si="107"/>
        <v>4431636.4000000004</v>
      </c>
      <c r="E300" s="106">
        <f t="shared" si="107"/>
        <v>315.35999999999996</v>
      </c>
      <c r="F300" s="88">
        <f t="shared" si="107"/>
        <v>787419</v>
      </c>
      <c r="G300" s="88">
        <f t="shared" si="107"/>
        <v>0</v>
      </c>
      <c r="H300" s="88">
        <f t="shared" si="107"/>
        <v>745331</v>
      </c>
      <c r="I300" s="88">
        <f t="shared" si="107"/>
        <v>42088</v>
      </c>
      <c r="J300" s="106">
        <f t="shared" si="107"/>
        <v>355.79</v>
      </c>
      <c r="K300" s="88">
        <f t="shared" si="107"/>
        <v>934352</v>
      </c>
      <c r="L300" s="88">
        <f t="shared" si="107"/>
        <v>0</v>
      </c>
      <c r="M300" s="88">
        <f t="shared" si="107"/>
        <v>876202</v>
      </c>
      <c r="N300" s="88">
        <f t="shared" si="107"/>
        <v>58150</v>
      </c>
      <c r="O300" s="106">
        <f>SUM(O128:O299)</f>
        <v>362.05000000000007</v>
      </c>
      <c r="P300" s="406">
        <f t="shared" si="107"/>
        <v>1220581</v>
      </c>
      <c r="Q300" s="406">
        <f t="shared" si="107"/>
        <v>0</v>
      </c>
      <c r="R300" s="406">
        <f t="shared" si="107"/>
        <v>1034000</v>
      </c>
      <c r="S300" s="406">
        <f>SUM(S128:S299)</f>
        <v>186581</v>
      </c>
      <c r="T300" s="417">
        <f>SUM(T128:T299)</f>
        <v>159.07</v>
      </c>
      <c r="U300" s="406">
        <f t="shared" si="107"/>
        <v>727223</v>
      </c>
      <c r="V300" s="406">
        <f t="shared" si="107"/>
        <v>0</v>
      </c>
      <c r="W300" s="406">
        <f t="shared" si="107"/>
        <v>700000</v>
      </c>
      <c r="X300" s="406">
        <f>SUM(X128:X299)</f>
        <v>27223</v>
      </c>
      <c r="Y300" s="106">
        <f t="shared" si="107"/>
        <v>0</v>
      </c>
      <c r="Z300" s="88">
        <f t="shared" si="107"/>
        <v>762061</v>
      </c>
      <c r="AA300" s="107">
        <f t="shared" si="107"/>
        <v>0</v>
      </c>
      <c r="AB300" s="88">
        <f t="shared" si="107"/>
        <v>700000</v>
      </c>
      <c r="AC300" s="88">
        <f t="shared" si="107"/>
        <v>62061</v>
      </c>
      <c r="AD300" s="94"/>
    </row>
    <row r="301" spans="1:31" s="110" customFormat="1" ht="27" customHeight="1" x14ac:dyDescent="0.2">
      <c r="A301" s="109" t="s">
        <v>1060</v>
      </c>
      <c r="B301" s="485" t="s">
        <v>1360</v>
      </c>
      <c r="C301" s="486"/>
      <c r="D301" s="486"/>
      <c r="E301" s="486"/>
      <c r="F301" s="486"/>
      <c r="G301" s="486"/>
      <c r="H301" s="486"/>
      <c r="I301" s="486"/>
      <c r="J301" s="486"/>
      <c r="K301" s="486"/>
      <c r="L301" s="486"/>
      <c r="M301" s="486"/>
      <c r="N301" s="486"/>
      <c r="O301" s="486"/>
      <c r="P301" s="486"/>
      <c r="Q301" s="486"/>
      <c r="R301" s="486"/>
      <c r="S301" s="486"/>
      <c r="T301" s="486"/>
      <c r="U301" s="486"/>
      <c r="V301" s="486"/>
      <c r="W301" s="486"/>
      <c r="X301" s="486"/>
      <c r="Y301" s="486"/>
      <c r="Z301" s="486"/>
      <c r="AA301" s="486"/>
      <c r="AB301" s="486"/>
      <c r="AC301" s="487"/>
    </row>
    <row r="302" spans="1:31" s="108" customFormat="1" ht="78" customHeight="1" outlineLevel="1" x14ac:dyDescent="0.2">
      <c r="A302" s="92" t="s">
        <v>1361</v>
      </c>
      <c r="B302" s="111" t="s">
        <v>28</v>
      </c>
      <c r="C302" s="76">
        <f>E302+J302+O302+T302+Y302</f>
        <v>197.74000000000004</v>
      </c>
      <c r="D302" s="77">
        <f>F302+K302+P302+U302+Z302</f>
        <v>322900</v>
      </c>
      <c r="E302" s="76">
        <v>85.67</v>
      </c>
      <c r="F302" s="89">
        <f>G302+H302+I302</f>
        <v>142702</v>
      </c>
      <c r="G302" s="77">
        <v>0</v>
      </c>
      <c r="H302" s="77">
        <f>135000</f>
        <v>135000</v>
      </c>
      <c r="I302" s="77">
        <v>7702</v>
      </c>
      <c r="J302" s="76">
        <v>87.87</v>
      </c>
      <c r="K302" s="89">
        <f>SUM(L302:N302)</f>
        <v>132502</v>
      </c>
      <c r="L302" s="77">
        <v>0</v>
      </c>
      <c r="M302" s="77">
        <v>0</v>
      </c>
      <c r="N302" s="77">
        <f>132751-249</f>
        <v>132502</v>
      </c>
      <c r="O302" s="76">
        <f>5.8+18.4-5.8</f>
        <v>18.399999999999999</v>
      </c>
      <c r="P302" s="346">
        <f>Q302+R302+S302</f>
        <v>40000</v>
      </c>
      <c r="Q302" s="346">
        <v>0</v>
      </c>
      <c r="R302" s="346">
        <v>0</v>
      </c>
      <c r="S302" s="346">
        <f>47696-7696</f>
        <v>40000</v>
      </c>
      <c r="T302" s="345">
        <f>5.8-5.8</f>
        <v>0</v>
      </c>
      <c r="U302" s="346">
        <f>V302+W302+X302</f>
        <v>0</v>
      </c>
      <c r="V302" s="346">
        <v>0</v>
      </c>
      <c r="W302" s="346">
        <v>0</v>
      </c>
      <c r="X302" s="346">
        <f>7696-7696</f>
        <v>0</v>
      </c>
      <c r="Y302" s="76">
        <v>5.8</v>
      </c>
      <c r="Z302" s="77">
        <f>AA302+AB302+AC302</f>
        <v>7696</v>
      </c>
      <c r="AA302" s="77">
        <v>0</v>
      </c>
      <c r="AB302" s="77">
        <v>0</v>
      </c>
      <c r="AC302" s="77">
        <v>7696</v>
      </c>
      <c r="AE302" s="94"/>
    </row>
    <row r="303" spans="1:31" s="39" customFormat="1" ht="150.75" customHeight="1" outlineLevel="1" x14ac:dyDescent="0.2">
      <c r="A303" s="92" t="s">
        <v>1362</v>
      </c>
      <c r="B303" s="407" t="s">
        <v>1825</v>
      </c>
      <c r="C303" s="76">
        <v>0</v>
      </c>
      <c r="D303" s="77">
        <f>F303+K303+P303+U303+Z303</f>
        <v>699</v>
      </c>
      <c r="E303" s="76">
        <v>0</v>
      </c>
      <c r="F303" s="89">
        <v>0</v>
      </c>
      <c r="G303" s="77">
        <v>0</v>
      </c>
      <c r="H303" s="77">
        <v>0</v>
      </c>
      <c r="I303" s="77">
        <v>0</v>
      </c>
      <c r="J303" s="76">
        <v>0</v>
      </c>
      <c r="K303" s="89">
        <f>SUM(L303:N303)</f>
        <v>0</v>
      </c>
      <c r="L303" s="77">
        <v>0</v>
      </c>
      <c r="M303" s="77">
        <v>0</v>
      </c>
      <c r="N303" s="77">
        <v>0</v>
      </c>
      <c r="O303" s="76">
        <v>0</v>
      </c>
      <c r="P303" s="346">
        <f>Q303+R303+S303</f>
        <v>699</v>
      </c>
      <c r="Q303" s="346">
        <v>0</v>
      </c>
      <c r="R303" s="346">
        <v>0</v>
      </c>
      <c r="S303" s="346">
        <v>699</v>
      </c>
      <c r="T303" s="345">
        <v>0</v>
      </c>
      <c r="U303" s="77">
        <f>V303+W303+X303</f>
        <v>0</v>
      </c>
      <c r="V303" s="77">
        <v>0</v>
      </c>
      <c r="W303" s="77">
        <v>0</v>
      </c>
      <c r="X303" s="77">
        <v>0</v>
      </c>
      <c r="Y303" s="76">
        <v>0</v>
      </c>
      <c r="Z303" s="77">
        <f>AA303+AB303+AC303</f>
        <v>0</v>
      </c>
      <c r="AA303" s="77">
        <v>0</v>
      </c>
      <c r="AB303" s="77">
        <v>0</v>
      </c>
      <c r="AC303" s="77">
        <v>0</v>
      </c>
    </row>
    <row r="304" spans="1:31" s="108" customFormat="1" ht="53.25" customHeight="1" x14ac:dyDescent="0.2">
      <c r="A304" s="92"/>
      <c r="B304" s="112" t="s">
        <v>1363</v>
      </c>
      <c r="C304" s="87">
        <f>C302+C303</f>
        <v>197.74000000000004</v>
      </c>
      <c r="D304" s="48">
        <f>F304+K304+P304+U304+Z304</f>
        <v>323599</v>
      </c>
      <c r="E304" s="87">
        <f t="shared" ref="E304:J304" si="108">E302+E303</f>
        <v>85.67</v>
      </c>
      <c r="F304" s="88">
        <f>F302+F303</f>
        <v>142702</v>
      </c>
      <c r="G304" s="88">
        <f t="shared" si="108"/>
        <v>0</v>
      </c>
      <c r="H304" s="88">
        <f t="shared" si="108"/>
        <v>135000</v>
      </c>
      <c r="I304" s="88">
        <f t="shared" si="108"/>
        <v>7702</v>
      </c>
      <c r="J304" s="87">
        <f t="shared" si="108"/>
        <v>87.87</v>
      </c>
      <c r="K304" s="88">
        <f>SUM(L304:N304)</f>
        <v>132502</v>
      </c>
      <c r="L304" s="88">
        <f t="shared" ref="L304:AC304" si="109">L302+L303</f>
        <v>0</v>
      </c>
      <c r="M304" s="88">
        <f t="shared" si="109"/>
        <v>0</v>
      </c>
      <c r="N304" s="88">
        <f t="shared" si="109"/>
        <v>132502</v>
      </c>
      <c r="O304" s="87">
        <f t="shared" si="109"/>
        <v>18.399999999999999</v>
      </c>
      <c r="P304" s="406">
        <f>P302+P303</f>
        <v>40699</v>
      </c>
      <c r="Q304" s="406">
        <f t="shared" si="109"/>
        <v>0</v>
      </c>
      <c r="R304" s="406">
        <f t="shared" si="109"/>
        <v>0</v>
      </c>
      <c r="S304" s="406">
        <f t="shared" si="109"/>
        <v>40699</v>
      </c>
      <c r="T304" s="87">
        <f t="shared" si="109"/>
        <v>0</v>
      </c>
      <c r="U304" s="88">
        <f t="shared" si="109"/>
        <v>0</v>
      </c>
      <c r="V304" s="88">
        <f t="shared" si="109"/>
        <v>0</v>
      </c>
      <c r="W304" s="88">
        <f t="shared" si="109"/>
        <v>0</v>
      </c>
      <c r="X304" s="88">
        <f t="shared" si="109"/>
        <v>0</v>
      </c>
      <c r="Y304" s="87">
        <f t="shared" si="109"/>
        <v>5.8</v>
      </c>
      <c r="Z304" s="88">
        <f t="shared" si="109"/>
        <v>7696</v>
      </c>
      <c r="AA304" s="88">
        <f t="shared" si="109"/>
        <v>0</v>
      </c>
      <c r="AB304" s="88">
        <f t="shared" si="109"/>
        <v>0</v>
      </c>
      <c r="AC304" s="88">
        <f t="shared" si="109"/>
        <v>7696</v>
      </c>
      <c r="AD304" s="94"/>
    </row>
    <row r="305" spans="1:30" s="108" customFormat="1" ht="31.5" customHeight="1" x14ac:dyDescent="0.2">
      <c r="A305" s="113" t="s">
        <v>1061</v>
      </c>
      <c r="B305" s="479" t="s">
        <v>1364</v>
      </c>
      <c r="C305" s="480"/>
      <c r="D305" s="480"/>
      <c r="E305" s="480"/>
      <c r="F305" s="480"/>
      <c r="G305" s="480"/>
      <c r="H305" s="480"/>
      <c r="I305" s="480"/>
      <c r="J305" s="480"/>
      <c r="K305" s="480"/>
      <c r="L305" s="480"/>
      <c r="M305" s="480"/>
      <c r="N305" s="480"/>
      <c r="O305" s="480"/>
      <c r="P305" s="480"/>
      <c r="Q305" s="480"/>
      <c r="R305" s="480"/>
      <c r="S305" s="480"/>
      <c r="T305" s="480"/>
      <c r="U305" s="480"/>
      <c r="V305" s="480"/>
      <c r="W305" s="480"/>
      <c r="X305" s="480"/>
      <c r="Y305" s="480"/>
      <c r="Z305" s="480"/>
      <c r="AA305" s="480"/>
      <c r="AB305" s="480"/>
      <c r="AC305" s="481"/>
      <c r="AD305" s="94"/>
    </row>
    <row r="306" spans="1:30" s="108" customFormat="1" ht="25.15" customHeight="1" x14ac:dyDescent="0.2">
      <c r="A306" s="114"/>
      <c r="B306" s="115" t="s">
        <v>134</v>
      </c>
      <c r="C306" s="116"/>
      <c r="D306" s="117"/>
      <c r="E306" s="87"/>
      <c r="F306" s="107"/>
      <c r="G306" s="107"/>
      <c r="H306" s="107"/>
      <c r="I306" s="107"/>
      <c r="J306" s="87"/>
      <c r="K306" s="106"/>
      <c r="L306" s="107"/>
      <c r="M306" s="107"/>
      <c r="N306" s="107"/>
      <c r="O306" s="87"/>
      <c r="P306" s="118"/>
      <c r="Q306" s="107"/>
      <c r="R306" s="107"/>
      <c r="S306" s="116"/>
      <c r="T306" s="87"/>
      <c r="U306" s="119"/>
      <c r="V306" s="107"/>
      <c r="W306" s="107"/>
      <c r="X306" s="107"/>
      <c r="Y306" s="87"/>
      <c r="Z306" s="120"/>
      <c r="AA306" s="120"/>
      <c r="AB306" s="120"/>
      <c r="AC306" s="120"/>
      <c r="AD306" s="94"/>
    </row>
    <row r="307" spans="1:30" s="108" customFormat="1" ht="31.15" customHeight="1" x14ac:dyDescent="0.2">
      <c r="A307" s="121" t="s">
        <v>1365</v>
      </c>
      <c r="B307" s="115" t="s">
        <v>335</v>
      </c>
      <c r="C307" s="122">
        <f>SUM(C308:C436)</f>
        <v>0</v>
      </c>
      <c r="D307" s="123">
        <f>SUM(D308:D436)</f>
        <v>0</v>
      </c>
      <c r="E307" s="122">
        <f t="shared" ref="E307:X307" si="110">SUM(E308:E436)</f>
        <v>0</v>
      </c>
      <c r="F307" s="124">
        <f t="shared" si="110"/>
        <v>0</v>
      </c>
      <c r="G307" s="124">
        <f t="shared" si="110"/>
        <v>0</v>
      </c>
      <c r="H307" s="124">
        <f t="shared" si="110"/>
        <v>0</v>
      </c>
      <c r="I307" s="124">
        <f>SUM(I308:I436)</f>
        <v>0</v>
      </c>
      <c r="J307" s="122">
        <f t="shared" si="110"/>
        <v>0</v>
      </c>
      <c r="K307" s="124">
        <f>SUM(L307:N307)</f>
        <v>0</v>
      </c>
      <c r="L307" s="124">
        <f t="shared" si="110"/>
        <v>0</v>
      </c>
      <c r="M307" s="124">
        <f t="shared" si="110"/>
        <v>0</v>
      </c>
      <c r="N307" s="124">
        <f t="shared" si="110"/>
        <v>0</v>
      </c>
      <c r="O307" s="122">
        <f t="shared" si="110"/>
        <v>0</v>
      </c>
      <c r="P307" s="123">
        <f>Q307+R307+S307</f>
        <v>0</v>
      </c>
      <c r="Q307" s="123">
        <f t="shared" si="110"/>
        <v>0</v>
      </c>
      <c r="R307" s="123">
        <f t="shared" si="110"/>
        <v>0</v>
      </c>
      <c r="S307" s="124">
        <f t="shared" si="110"/>
        <v>0</v>
      </c>
      <c r="T307" s="122">
        <f>SUM(T308:T436)</f>
        <v>0</v>
      </c>
      <c r="U307" s="123">
        <f>V307+W307+X307</f>
        <v>0</v>
      </c>
      <c r="V307" s="124">
        <f t="shared" si="110"/>
        <v>0</v>
      </c>
      <c r="W307" s="124">
        <f t="shared" si="110"/>
        <v>0</v>
      </c>
      <c r="X307" s="124">
        <f t="shared" si="110"/>
        <v>0</v>
      </c>
      <c r="Y307" s="122">
        <f>SUM(Y308:Y436)</f>
        <v>0</v>
      </c>
      <c r="Z307" s="124">
        <f>SUM(Z308:Z436)</f>
        <v>0</v>
      </c>
      <c r="AA307" s="124">
        <f>SUM(AA308:AA436)</f>
        <v>0</v>
      </c>
      <c r="AB307" s="124">
        <f>SUM(AB308:AB436)</f>
        <v>0</v>
      </c>
      <c r="AC307" s="124">
        <f>SUM(AC308:AC436)</f>
        <v>0</v>
      </c>
      <c r="AD307" s="94"/>
    </row>
    <row r="308" spans="1:30" s="108" customFormat="1" ht="34.9" customHeight="1" outlineLevel="1" x14ac:dyDescent="0.2">
      <c r="A308" s="114" t="s">
        <v>1366</v>
      </c>
      <c r="B308" s="95" t="s">
        <v>135</v>
      </c>
      <c r="C308" s="38">
        <f>E308+J308+O308+Y308+T308</f>
        <v>0</v>
      </c>
      <c r="D308" s="125">
        <f>F308+K308+P308+Z308+U308</f>
        <v>0</v>
      </c>
      <c r="E308" s="76">
        <v>0</v>
      </c>
      <c r="F308" s="126">
        <f>G308+H308+I308</f>
        <v>0</v>
      </c>
      <c r="G308" s="125">
        <v>0</v>
      </c>
      <c r="H308" s="125">
        <v>0</v>
      </c>
      <c r="I308" s="125">
        <v>0</v>
      </c>
      <c r="J308" s="76">
        <v>0</v>
      </c>
      <c r="K308" s="126">
        <f t="shared" ref="K308:K371" si="111">L308+M308+N308</f>
        <v>0</v>
      </c>
      <c r="L308" s="125">
        <v>0</v>
      </c>
      <c r="M308" s="125">
        <v>0</v>
      </c>
      <c r="N308" s="125">
        <v>0</v>
      </c>
      <c r="O308" s="38">
        <v>0</v>
      </c>
      <c r="P308" s="125">
        <f t="shared" ref="P308:P371" si="112">Q308+R308+S308</f>
        <v>0</v>
      </c>
      <c r="Q308" s="125">
        <v>0</v>
      </c>
      <c r="R308" s="125">
        <v>0</v>
      </c>
      <c r="S308" s="36">
        <v>0</v>
      </c>
      <c r="T308" s="38">
        <v>0</v>
      </c>
      <c r="U308" s="125">
        <v>0</v>
      </c>
      <c r="V308" s="125">
        <v>0</v>
      </c>
      <c r="W308" s="125">
        <v>0</v>
      </c>
      <c r="X308" s="125">
        <v>0</v>
      </c>
      <c r="Y308" s="38">
        <v>0</v>
      </c>
      <c r="Z308" s="125">
        <f t="shared" ref="Z308:Z339" si="113">AA308+AB308+AC308</f>
        <v>0</v>
      </c>
      <c r="AA308" s="125">
        <v>0</v>
      </c>
      <c r="AB308" s="125">
        <v>0</v>
      </c>
      <c r="AC308" s="36">
        <v>0</v>
      </c>
      <c r="AD308" s="94"/>
    </row>
    <row r="309" spans="1:30" s="108" customFormat="1" ht="34.9" customHeight="1" outlineLevel="1" x14ac:dyDescent="0.2">
      <c r="A309" s="114" t="s">
        <v>1367</v>
      </c>
      <c r="B309" s="95" t="s">
        <v>136</v>
      </c>
      <c r="C309" s="38">
        <f t="shared" ref="C309:C372" si="114">E309+J309+O309+Y309+T309</f>
        <v>0</v>
      </c>
      <c r="D309" s="125">
        <f t="shared" ref="D309:D372" si="115">F309+K309+P309+Z309+U309</f>
        <v>0</v>
      </c>
      <c r="E309" s="76">
        <v>0</v>
      </c>
      <c r="F309" s="126">
        <f t="shared" ref="F309:F372" si="116">G309+H309+I309</f>
        <v>0</v>
      </c>
      <c r="G309" s="125">
        <v>0</v>
      </c>
      <c r="H309" s="125">
        <v>0</v>
      </c>
      <c r="I309" s="125">
        <v>0</v>
      </c>
      <c r="J309" s="76">
        <v>0</v>
      </c>
      <c r="K309" s="126">
        <f t="shared" si="111"/>
        <v>0</v>
      </c>
      <c r="L309" s="125">
        <v>0</v>
      </c>
      <c r="M309" s="125">
        <v>0</v>
      </c>
      <c r="N309" s="125">
        <v>0</v>
      </c>
      <c r="O309" s="38">
        <v>0</v>
      </c>
      <c r="P309" s="125">
        <f t="shared" si="112"/>
        <v>0</v>
      </c>
      <c r="Q309" s="125">
        <v>0</v>
      </c>
      <c r="R309" s="125">
        <v>0</v>
      </c>
      <c r="S309" s="36">
        <v>0</v>
      </c>
      <c r="T309" s="38">
        <v>0</v>
      </c>
      <c r="U309" s="125">
        <v>0</v>
      </c>
      <c r="V309" s="125">
        <v>0</v>
      </c>
      <c r="W309" s="125">
        <v>0</v>
      </c>
      <c r="X309" s="125">
        <v>0</v>
      </c>
      <c r="Y309" s="38">
        <v>0</v>
      </c>
      <c r="Z309" s="125">
        <f t="shared" si="113"/>
        <v>0</v>
      </c>
      <c r="AA309" s="125">
        <v>0</v>
      </c>
      <c r="AB309" s="125">
        <v>0</v>
      </c>
      <c r="AC309" s="36">
        <v>0</v>
      </c>
      <c r="AD309" s="94"/>
    </row>
    <row r="310" spans="1:30" s="108" customFormat="1" ht="24" customHeight="1" outlineLevel="1" x14ac:dyDescent="0.2">
      <c r="A310" s="114" t="s">
        <v>1368</v>
      </c>
      <c r="B310" s="95" t="s">
        <v>137</v>
      </c>
      <c r="C310" s="38">
        <f t="shared" si="114"/>
        <v>0</v>
      </c>
      <c r="D310" s="125">
        <f t="shared" si="115"/>
        <v>0</v>
      </c>
      <c r="E310" s="76">
        <v>0</v>
      </c>
      <c r="F310" s="126">
        <f t="shared" si="116"/>
        <v>0</v>
      </c>
      <c r="G310" s="125">
        <v>0</v>
      </c>
      <c r="H310" s="125">
        <v>0</v>
      </c>
      <c r="I310" s="125">
        <v>0</v>
      </c>
      <c r="J310" s="76">
        <v>0</v>
      </c>
      <c r="K310" s="126">
        <f t="shared" si="111"/>
        <v>0</v>
      </c>
      <c r="L310" s="125">
        <v>0</v>
      </c>
      <c r="M310" s="125">
        <v>0</v>
      </c>
      <c r="N310" s="125">
        <v>0</v>
      </c>
      <c r="O310" s="38">
        <v>0</v>
      </c>
      <c r="P310" s="125">
        <f t="shared" si="112"/>
        <v>0</v>
      </c>
      <c r="Q310" s="125">
        <v>0</v>
      </c>
      <c r="R310" s="125">
        <v>0</v>
      </c>
      <c r="S310" s="36">
        <v>0</v>
      </c>
      <c r="T310" s="38">
        <v>0</v>
      </c>
      <c r="U310" s="125">
        <v>0</v>
      </c>
      <c r="V310" s="125">
        <v>0</v>
      </c>
      <c r="W310" s="125">
        <v>0</v>
      </c>
      <c r="X310" s="125">
        <v>0</v>
      </c>
      <c r="Y310" s="38">
        <v>0</v>
      </c>
      <c r="Z310" s="125">
        <f t="shared" si="113"/>
        <v>0</v>
      </c>
      <c r="AA310" s="125">
        <v>0</v>
      </c>
      <c r="AB310" s="125">
        <v>0</v>
      </c>
      <c r="AC310" s="36">
        <v>0</v>
      </c>
      <c r="AD310" s="94"/>
    </row>
    <row r="311" spans="1:30" s="108" customFormat="1" ht="27" customHeight="1" outlineLevel="1" x14ac:dyDescent="0.2">
      <c r="A311" s="114" t="s">
        <v>1369</v>
      </c>
      <c r="B311" s="127" t="s">
        <v>138</v>
      </c>
      <c r="C311" s="38">
        <f t="shared" si="114"/>
        <v>0</v>
      </c>
      <c r="D311" s="125">
        <f t="shared" si="115"/>
        <v>0</v>
      </c>
      <c r="E311" s="76">
        <v>0</v>
      </c>
      <c r="F311" s="126">
        <f t="shared" si="116"/>
        <v>0</v>
      </c>
      <c r="G311" s="125">
        <v>0</v>
      </c>
      <c r="H311" s="125">
        <v>0</v>
      </c>
      <c r="I311" s="125">
        <v>0</v>
      </c>
      <c r="J311" s="76">
        <v>0</v>
      </c>
      <c r="K311" s="126">
        <f t="shared" si="111"/>
        <v>0</v>
      </c>
      <c r="L311" s="125">
        <v>0</v>
      </c>
      <c r="M311" s="125">
        <v>0</v>
      </c>
      <c r="N311" s="125">
        <v>0</v>
      </c>
      <c r="O311" s="38">
        <v>0</v>
      </c>
      <c r="P311" s="125">
        <f t="shared" si="112"/>
        <v>0</v>
      </c>
      <c r="Q311" s="125">
        <v>0</v>
      </c>
      <c r="R311" s="125">
        <v>0</v>
      </c>
      <c r="S311" s="36">
        <v>0</v>
      </c>
      <c r="T311" s="38">
        <v>0</v>
      </c>
      <c r="U311" s="125">
        <v>0</v>
      </c>
      <c r="V311" s="125">
        <v>0</v>
      </c>
      <c r="W311" s="125">
        <v>0</v>
      </c>
      <c r="X311" s="125">
        <v>0</v>
      </c>
      <c r="Y311" s="38">
        <v>0</v>
      </c>
      <c r="Z311" s="125">
        <f t="shared" si="113"/>
        <v>0</v>
      </c>
      <c r="AA311" s="125">
        <v>0</v>
      </c>
      <c r="AB311" s="125">
        <v>0</v>
      </c>
      <c r="AC311" s="36">
        <v>0</v>
      </c>
      <c r="AD311" s="94"/>
    </row>
    <row r="312" spans="1:30" s="108" customFormat="1" ht="46.9" customHeight="1" outlineLevel="1" x14ac:dyDescent="0.2">
      <c r="A312" s="114" t="s">
        <v>1370</v>
      </c>
      <c r="B312" s="95" t="s">
        <v>139</v>
      </c>
      <c r="C312" s="38">
        <f t="shared" si="114"/>
        <v>0</v>
      </c>
      <c r="D312" s="125">
        <f t="shared" si="115"/>
        <v>0</v>
      </c>
      <c r="E312" s="76">
        <v>0</v>
      </c>
      <c r="F312" s="126">
        <f t="shared" si="116"/>
        <v>0</v>
      </c>
      <c r="G312" s="125">
        <v>0</v>
      </c>
      <c r="H312" s="125">
        <v>0</v>
      </c>
      <c r="I312" s="125">
        <v>0</v>
      </c>
      <c r="J312" s="76">
        <v>0</v>
      </c>
      <c r="K312" s="126">
        <f t="shared" si="111"/>
        <v>0</v>
      </c>
      <c r="L312" s="125">
        <v>0</v>
      </c>
      <c r="M312" s="125">
        <v>0</v>
      </c>
      <c r="N312" s="125">
        <v>0</v>
      </c>
      <c r="O312" s="38">
        <v>0</v>
      </c>
      <c r="P312" s="125">
        <f t="shared" si="112"/>
        <v>0</v>
      </c>
      <c r="Q312" s="125">
        <v>0</v>
      </c>
      <c r="R312" s="125">
        <v>0</v>
      </c>
      <c r="S312" s="36">
        <v>0</v>
      </c>
      <c r="T312" s="38">
        <v>0</v>
      </c>
      <c r="U312" s="125">
        <v>0</v>
      </c>
      <c r="V312" s="125">
        <v>0</v>
      </c>
      <c r="W312" s="125">
        <v>0</v>
      </c>
      <c r="X312" s="125">
        <v>0</v>
      </c>
      <c r="Y312" s="38">
        <v>0</v>
      </c>
      <c r="Z312" s="125">
        <f t="shared" si="113"/>
        <v>0</v>
      </c>
      <c r="AA312" s="125">
        <v>0</v>
      </c>
      <c r="AB312" s="125">
        <v>0</v>
      </c>
      <c r="AC312" s="36">
        <v>0</v>
      </c>
      <c r="AD312" s="94"/>
    </row>
    <row r="313" spans="1:30" s="108" customFormat="1" ht="46.9" customHeight="1" outlineLevel="1" x14ac:dyDescent="0.2">
      <c r="A313" s="114" t="s">
        <v>1371</v>
      </c>
      <c r="B313" s="95" t="s">
        <v>455</v>
      </c>
      <c r="C313" s="38">
        <f t="shared" si="114"/>
        <v>0</v>
      </c>
      <c r="D313" s="125">
        <f t="shared" si="115"/>
        <v>0</v>
      </c>
      <c r="E313" s="76">
        <v>0</v>
      </c>
      <c r="F313" s="126">
        <f t="shared" si="116"/>
        <v>0</v>
      </c>
      <c r="G313" s="125">
        <v>0</v>
      </c>
      <c r="H313" s="125">
        <v>0</v>
      </c>
      <c r="I313" s="125">
        <v>0</v>
      </c>
      <c r="J313" s="76">
        <v>0</v>
      </c>
      <c r="K313" s="126">
        <f t="shared" si="111"/>
        <v>0</v>
      </c>
      <c r="L313" s="125">
        <v>0</v>
      </c>
      <c r="M313" s="125">
        <v>0</v>
      </c>
      <c r="N313" s="125">
        <v>0</v>
      </c>
      <c r="O313" s="38">
        <v>0</v>
      </c>
      <c r="P313" s="125">
        <f t="shared" si="112"/>
        <v>0</v>
      </c>
      <c r="Q313" s="125">
        <v>0</v>
      </c>
      <c r="R313" s="125">
        <v>0</v>
      </c>
      <c r="S313" s="36">
        <v>0</v>
      </c>
      <c r="T313" s="38">
        <v>0</v>
      </c>
      <c r="U313" s="125">
        <v>0</v>
      </c>
      <c r="V313" s="125">
        <v>0</v>
      </c>
      <c r="W313" s="125">
        <v>0</v>
      </c>
      <c r="X313" s="125">
        <v>0</v>
      </c>
      <c r="Y313" s="38">
        <v>0</v>
      </c>
      <c r="Z313" s="125">
        <f t="shared" si="113"/>
        <v>0</v>
      </c>
      <c r="AA313" s="125">
        <v>0</v>
      </c>
      <c r="AB313" s="125">
        <v>0</v>
      </c>
      <c r="AC313" s="36">
        <v>0</v>
      </c>
      <c r="AD313" s="94"/>
    </row>
    <row r="314" spans="1:30" s="108" customFormat="1" ht="20.45" customHeight="1" outlineLevel="1" x14ac:dyDescent="0.2">
      <c r="A314" s="114" t="s">
        <v>1372</v>
      </c>
      <c r="B314" s="95" t="s">
        <v>140</v>
      </c>
      <c r="C314" s="38">
        <f t="shared" si="114"/>
        <v>0</v>
      </c>
      <c r="D314" s="125">
        <f t="shared" si="115"/>
        <v>0</v>
      </c>
      <c r="E314" s="76">
        <v>0</v>
      </c>
      <c r="F314" s="126">
        <f t="shared" si="116"/>
        <v>0</v>
      </c>
      <c r="G314" s="125">
        <v>0</v>
      </c>
      <c r="H314" s="125">
        <v>0</v>
      </c>
      <c r="I314" s="125">
        <v>0</v>
      </c>
      <c r="J314" s="76">
        <v>0</v>
      </c>
      <c r="K314" s="126">
        <f t="shared" si="111"/>
        <v>0</v>
      </c>
      <c r="L314" s="125">
        <v>0</v>
      </c>
      <c r="M314" s="125">
        <v>0</v>
      </c>
      <c r="N314" s="125">
        <v>0</v>
      </c>
      <c r="O314" s="38">
        <v>0</v>
      </c>
      <c r="P314" s="125">
        <f t="shared" si="112"/>
        <v>0</v>
      </c>
      <c r="Q314" s="125">
        <v>0</v>
      </c>
      <c r="R314" s="125">
        <v>0</v>
      </c>
      <c r="S314" s="36">
        <v>0</v>
      </c>
      <c r="T314" s="38">
        <v>0</v>
      </c>
      <c r="U314" s="125">
        <v>0</v>
      </c>
      <c r="V314" s="125">
        <v>0</v>
      </c>
      <c r="W314" s="125">
        <v>0</v>
      </c>
      <c r="X314" s="125">
        <v>0</v>
      </c>
      <c r="Y314" s="38">
        <v>0</v>
      </c>
      <c r="Z314" s="125">
        <f t="shared" si="113"/>
        <v>0</v>
      </c>
      <c r="AA314" s="125">
        <v>0</v>
      </c>
      <c r="AB314" s="125">
        <v>0</v>
      </c>
      <c r="AC314" s="36">
        <v>0</v>
      </c>
      <c r="AD314" s="94"/>
    </row>
    <row r="315" spans="1:30" s="108" customFormat="1" ht="22.15" customHeight="1" outlineLevel="1" x14ac:dyDescent="0.2">
      <c r="A315" s="114" t="s">
        <v>1373</v>
      </c>
      <c r="B315" s="95" t="s">
        <v>141</v>
      </c>
      <c r="C315" s="38">
        <f t="shared" si="114"/>
        <v>0</v>
      </c>
      <c r="D315" s="125">
        <f t="shared" si="115"/>
        <v>0</v>
      </c>
      <c r="E315" s="76">
        <v>0</v>
      </c>
      <c r="F315" s="126">
        <f t="shared" si="116"/>
        <v>0</v>
      </c>
      <c r="G315" s="125">
        <v>0</v>
      </c>
      <c r="H315" s="125">
        <v>0</v>
      </c>
      <c r="I315" s="125">
        <v>0</v>
      </c>
      <c r="J315" s="76">
        <v>0</v>
      </c>
      <c r="K315" s="126">
        <f t="shared" si="111"/>
        <v>0</v>
      </c>
      <c r="L315" s="125">
        <v>0</v>
      </c>
      <c r="M315" s="125">
        <v>0</v>
      </c>
      <c r="N315" s="125">
        <v>0</v>
      </c>
      <c r="O315" s="38">
        <v>0</v>
      </c>
      <c r="P315" s="125">
        <f t="shared" si="112"/>
        <v>0</v>
      </c>
      <c r="Q315" s="125">
        <v>0</v>
      </c>
      <c r="R315" s="125">
        <v>0</v>
      </c>
      <c r="S315" s="36">
        <v>0</v>
      </c>
      <c r="T315" s="38">
        <v>0</v>
      </c>
      <c r="U315" s="125">
        <v>0</v>
      </c>
      <c r="V315" s="125">
        <v>0</v>
      </c>
      <c r="W315" s="125">
        <v>0</v>
      </c>
      <c r="X315" s="125">
        <v>0</v>
      </c>
      <c r="Y315" s="38">
        <v>0</v>
      </c>
      <c r="Z315" s="125">
        <f t="shared" si="113"/>
        <v>0</v>
      </c>
      <c r="AA315" s="125">
        <v>0</v>
      </c>
      <c r="AB315" s="125">
        <v>0</v>
      </c>
      <c r="AC315" s="36">
        <v>0</v>
      </c>
      <c r="AD315" s="94"/>
    </row>
    <row r="316" spans="1:30" s="108" customFormat="1" ht="24" customHeight="1" outlineLevel="1" x14ac:dyDescent="0.2">
      <c r="A316" s="114" t="s">
        <v>1374</v>
      </c>
      <c r="B316" s="95" t="s">
        <v>142</v>
      </c>
      <c r="C316" s="38">
        <f t="shared" si="114"/>
        <v>0</v>
      </c>
      <c r="D316" s="125">
        <f t="shared" si="115"/>
        <v>0</v>
      </c>
      <c r="E316" s="76">
        <v>0</v>
      </c>
      <c r="F316" s="126">
        <f t="shared" si="116"/>
        <v>0</v>
      </c>
      <c r="G316" s="125">
        <v>0</v>
      </c>
      <c r="H316" s="125">
        <v>0</v>
      </c>
      <c r="I316" s="125">
        <v>0</v>
      </c>
      <c r="J316" s="76">
        <v>0</v>
      </c>
      <c r="K316" s="126">
        <f t="shared" si="111"/>
        <v>0</v>
      </c>
      <c r="L316" s="125">
        <v>0</v>
      </c>
      <c r="M316" s="125">
        <v>0</v>
      </c>
      <c r="N316" s="125">
        <v>0</v>
      </c>
      <c r="O316" s="38">
        <v>0</v>
      </c>
      <c r="P316" s="125">
        <f t="shared" si="112"/>
        <v>0</v>
      </c>
      <c r="Q316" s="125">
        <v>0</v>
      </c>
      <c r="R316" s="125">
        <v>0</v>
      </c>
      <c r="S316" s="36">
        <v>0</v>
      </c>
      <c r="T316" s="38">
        <v>0</v>
      </c>
      <c r="U316" s="125">
        <v>0</v>
      </c>
      <c r="V316" s="125">
        <v>0</v>
      </c>
      <c r="W316" s="125">
        <v>0</v>
      </c>
      <c r="X316" s="125">
        <v>0</v>
      </c>
      <c r="Y316" s="38">
        <v>0</v>
      </c>
      <c r="Z316" s="125">
        <f t="shared" si="113"/>
        <v>0</v>
      </c>
      <c r="AA316" s="125">
        <v>0</v>
      </c>
      <c r="AB316" s="125">
        <v>0</v>
      </c>
      <c r="AC316" s="36">
        <v>0</v>
      </c>
      <c r="AD316" s="94"/>
    </row>
    <row r="317" spans="1:30" s="108" customFormat="1" ht="46.9" customHeight="1" outlineLevel="1" x14ac:dyDescent="0.2">
      <c r="A317" s="114" t="s">
        <v>1375</v>
      </c>
      <c r="B317" s="95" t="s">
        <v>143</v>
      </c>
      <c r="C317" s="38">
        <f t="shared" si="114"/>
        <v>0</v>
      </c>
      <c r="D317" s="125">
        <f t="shared" si="115"/>
        <v>0</v>
      </c>
      <c r="E317" s="76">
        <v>0</v>
      </c>
      <c r="F317" s="126">
        <f t="shared" si="116"/>
        <v>0</v>
      </c>
      <c r="G317" s="125">
        <v>0</v>
      </c>
      <c r="H317" s="125">
        <v>0</v>
      </c>
      <c r="I317" s="125">
        <v>0</v>
      </c>
      <c r="J317" s="76">
        <v>0</v>
      </c>
      <c r="K317" s="126">
        <f t="shared" si="111"/>
        <v>0</v>
      </c>
      <c r="L317" s="125">
        <v>0</v>
      </c>
      <c r="M317" s="125">
        <v>0</v>
      </c>
      <c r="N317" s="125">
        <v>0</v>
      </c>
      <c r="O317" s="38">
        <v>0</v>
      </c>
      <c r="P317" s="125">
        <f t="shared" si="112"/>
        <v>0</v>
      </c>
      <c r="Q317" s="125">
        <v>0</v>
      </c>
      <c r="R317" s="125">
        <v>0</v>
      </c>
      <c r="S317" s="36">
        <v>0</v>
      </c>
      <c r="T317" s="38">
        <v>0</v>
      </c>
      <c r="U317" s="125">
        <v>0</v>
      </c>
      <c r="V317" s="125">
        <v>0</v>
      </c>
      <c r="W317" s="125">
        <v>0</v>
      </c>
      <c r="X317" s="125">
        <v>0</v>
      </c>
      <c r="Y317" s="38">
        <v>0</v>
      </c>
      <c r="Z317" s="125">
        <f t="shared" si="113"/>
        <v>0</v>
      </c>
      <c r="AA317" s="125">
        <v>0</v>
      </c>
      <c r="AB317" s="125">
        <v>0</v>
      </c>
      <c r="AC317" s="36">
        <v>0</v>
      </c>
      <c r="AD317" s="94"/>
    </row>
    <row r="318" spans="1:30" s="108" customFormat="1" ht="32.450000000000003" customHeight="1" outlineLevel="1" x14ac:dyDescent="0.2">
      <c r="A318" s="114" t="s">
        <v>1376</v>
      </c>
      <c r="B318" s="95" t="s">
        <v>456</v>
      </c>
      <c r="C318" s="38">
        <f t="shared" si="114"/>
        <v>0</v>
      </c>
      <c r="D318" s="125">
        <f t="shared" si="115"/>
        <v>0</v>
      </c>
      <c r="E318" s="76">
        <v>0</v>
      </c>
      <c r="F318" s="126">
        <f t="shared" si="116"/>
        <v>0</v>
      </c>
      <c r="G318" s="125">
        <v>0</v>
      </c>
      <c r="H318" s="125">
        <v>0</v>
      </c>
      <c r="I318" s="125">
        <v>0</v>
      </c>
      <c r="J318" s="76">
        <v>0</v>
      </c>
      <c r="K318" s="126">
        <f t="shared" si="111"/>
        <v>0</v>
      </c>
      <c r="L318" s="125">
        <v>0</v>
      </c>
      <c r="M318" s="125">
        <v>0</v>
      </c>
      <c r="N318" s="125">
        <v>0</v>
      </c>
      <c r="O318" s="38">
        <v>0</v>
      </c>
      <c r="P318" s="125">
        <f t="shared" si="112"/>
        <v>0</v>
      </c>
      <c r="Q318" s="125">
        <v>0</v>
      </c>
      <c r="R318" s="125">
        <v>0</v>
      </c>
      <c r="S318" s="36">
        <v>0</v>
      </c>
      <c r="T318" s="38">
        <v>0</v>
      </c>
      <c r="U318" s="125">
        <v>0</v>
      </c>
      <c r="V318" s="125">
        <v>0</v>
      </c>
      <c r="W318" s="125">
        <v>0</v>
      </c>
      <c r="X318" s="125">
        <v>0</v>
      </c>
      <c r="Y318" s="38">
        <v>0</v>
      </c>
      <c r="Z318" s="125">
        <f t="shared" si="113"/>
        <v>0</v>
      </c>
      <c r="AA318" s="125">
        <v>0</v>
      </c>
      <c r="AB318" s="125">
        <v>0</v>
      </c>
      <c r="AC318" s="36">
        <v>0</v>
      </c>
      <c r="AD318" s="94"/>
    </row>
    <row r="319" spans="1:30" s="108" customFormat="1" ht="22.9" customHeight="1" outlineLevel="1" x14ac:dyDescent="0.2">
      <c r="A319" s="114" t="s">
        <v>1377</v>
      </c>
      <c r="B319" s="95" t="s">
        <v>144</v>
      </c>
      <c r="C319" s="38">
        <f t="shared" si="114"/>
        <v>0</v>
      </c>
      <c r="D319" s="125">
        <f t="shared" si="115"/>
        <v>0</v>
      </c>
      <c r="E319" s="76">
        <v>0</v>
      </c>
      <c r="F319" s="126">
        <f t="shared" si="116"/>
        <v>0</v>
      </c>
      <c r="G319" s="125">
        <v>0</v>
      </c>
      <c r="H319" s="125">
        <v>0</v>
      </c>
      <c r="I319" s="125">
        <v>0</v>
      </c>
      <c r="J319" s="76">
        <v>0</v>
      </c>
      <c r="K319" s="126">
        <f t="shared" si="111"/>
        <v>0</v>
      </c>
      <c r="L319" s="125">
        <v>0</v>
      </c>
      <c r="M319" s="125">
        <v>0</v>
      </c>
      <c r="N319" s="125">
        <v>0</v>
      </c>
      <c r="O319" s="38">
        <v>0</v>
      </c>
      <c r="P319" s="125">
        <f t="shared" si="112"/>
        <v>0</v>
      </c>
      <c r="Q319" s="125">
        <v>0</v>
      </c>
      <c r="R319" s="125">
        <v>0</v>
      </c>
      <c r="S319" s="36">
        <v>0</v>
      </c>
      <c r="T319" s="38">
        <v>0</v>
      </c>
      <c r="U319" s="125">
        <v>0</v>
      </c>
      <c r="V319" s="125">
        <v>0</v>
      </c>
      <c r="W319" s="125">
        <v>0</v>
      </c>
      <c r="X319" s="125">
        <v>0</v>
      </c>
      <c r="Y319" s="38">
        <v>0</v>
      </c>
      <c r="Z319" s="125">
        <f t="shared" si="113"/>
        <v>0</v>
      </c>
      <c r="AA319" s="125">
        <v>0</v>
      </c>
      <c r="AB319" s="125">
        <v>0</v>
      </c>
      <c r="AC319" s="36">
        <v>0</v>
      </c>
      <c r="AD319" s="94"/>
    </row>
    <row r="320" spans="1:30" s="108" customFormat="1" ht="41.45" customHeight="1" outlineLevel="1" x14ac:dyDescent="0.2">
      <c r="A320" s="114" t="s">
        <v>1378</v>
      </c>
      <c r="B320" s="95" t="s">
        <v>145</v>
      </c>
      <c r="C320" s="38">
        <f t="shared" si="114"/>
        <v>0</v>
      </c>
      <c r="D320" s="125">
        <f t="shared" si="115"/>
        <v>0</v>
      </c>
      <c r="E320" s="76">
        <v>0</v>
      </c>
      <c r="F320" s="126">
        <f t="shared" si="116"/>
        <v>0</v>
      </c>
      <c r="G320" s="125">
        <v>0</v>
      </c>
      <c r="H320" s="125">
        <v>0</v>
      </c>
      <c r="I320" s="125">
        <v>0</v>
      </c>
      <c r="J320" s="76">
        <v>0</v>
      </c>
      <c r="K320" s="126">
        <f t="shared" si="111"/>
        <v>0</v>
      </c>
      <c r="L320" s="125">
        <v>0</v>
      </c>
      <c r="M320" s="125">
        <v>0</v>
      </c>
      <c r="N320" s="125">
        <v>0</v>
      </c>
      <c r="O320" s="38">
        <v>0</v>
      </c>
      <c r="P320" s="125">
        <f t="shared" si="112"/>
        <v>0</v>
      </c>
      <c r="Q320" s="125">
        <v>0</v>
      </c>
      <c r="R320" s="125">
        <v>0</v>
      </c>
      <c r="S320" s="36">
        <v>0</v>
      </c>
      <c r="T320" s="38">
        <v>0</v>
      </c>
      <c r="U320" s="125">
        <v>0</v>
      </c>
      <c r="V320" s="125">
        <v>0</v>
      </c>
      <c r="W320" s="125">
        <v>0</v>
      </c>
      <c r="X320" s="125">
        <v>0</v>
      </c>
      <c r="Y320" s="38">
        <v>0</v>
      </c>
      <c r="Z320" s="125">
        <f t="shared" si="113"/>
        <v>0</v>
      </c>
      <c r="AA320" s="125">
        <v>0</v>
      </c>
      <c r="AB320" s="125">
        <v>0</v>
      </c>
      <c r="AC320" s="36">
        <v>0</v>
      </c>
      <c r="AD320" s="94"/>
    </row>
    <row r="321" spans="1:30" s="108" customFormat="1" ht="39.6" customHeight="1" outlineLevel="1" x14ac:dyDescent="0.2">
      <c r="A321" s="114" t="s">
        <v>1379</v>
      </c>
      <c r="B321" s="95" t="s">
        <v>146</v>
      </c>
      <c r="C321" s="38">
        <f t="shared" si="114"/>
        <v>0</v>
      </c>
      <c r="D321" s="125">
        <f t="shared" si="115"/>
        <v>0</v>
      </c>
      <c r="E321" s="76">
        <v>0</v>
      </c>
      <c r="F321" s="126">
        <f t="shared" si="116"/>
        <v>0</v>
      </c>
      <c r="G321" s="125">
        <v>0</v>
      </c>
      <c r="H321" s="125">
        <v>0</v>
      </c>
      <c r="I321" s="125">
        <v>0</v>
      </c>
      <c r="J321" s="76">
        <v>0</v>
      </c>
      <c r="K321" s="126">
        <f t="shared" si="111"/>
        <v>0</v>
      </c>
      <c r="L321" s="125">
        <v>0</v>
      </c>
      <c r="M321" s="125">
        <v>0</v>
      </c>
      <c r="N321" s="125">
        <v>0</v>
      </c>
      <c r="O321" s="38">
        <v>0</v>
      </c>
      <c r="P321" s="125">
        <f t="shared" si="112"/>
        <v>0</v>
      </c>
      <c r="Q321" s="125">
        <v>0</v>
      </c>
      <c r="R321" s="125">
        <v>0</v>
      </c>
      <c r="S321" s="36">
        <v>0</v>
      </c>
      <c r="T321" s="38">
        <v>0</v>
      </c>
      <c r="U321" s="125">
        <v>0</v>
      </c>
      <c r="V321" s="125">
        <v>0</v>
      </c>
      <c r="W321" s="125">
        <v>0</v>
      </c>
      <c r="X321" s="125">
        <v>0</v>
      </c>
      <c r="Y321" s="38">
        <v>0</v>
      </c>
      <c r="Z321" s="125">
        <f t="shared" si="113"/>
        <v>0</v>
      </c>
      <c r="AA321" s="125">
        <v>0</v>
      </c>
      <c r="AB321" s="125">
        <v>0</v>
      </c>
      <c r="AC321" s="36">
        <v>0</v>
      </c>
      <c r="AD321" s="94"/>
    </row>
    <row r="322" spans="1:30" s="108" customFormat="1" ht="25.9" customHeight="1" outlineLevel="1" x14ac:dyDescent="0.2">
      <c r="A322" s="114" t="s">
        <v>1380</v>
      </c>
      <c r="B322" s="95" t="s">
        <v>147</v>
      </c>
      <c r="C322" s="38">
        <f t="shared" si="114"/>
        <v>0</v>
      </c>
      <c r="D322" s="125">
        <f t="shared" si="115"/>
        <v>0</v>
      </c>
      <c r="E322" s="76">
        <v>0</v>
      </c>
      <c r="F322" s="126">
        <f t="shared" si="116"/>
        <v>0</v>
      </c>
      <c r="G322" s="125">
        <v>0</v>
      </c>
      <c r="H322" s="125">
        <v>0</v>
      </c>
      <c r="I322" s="125">
        <v>0</v>
      </c>
      <c r="J322" s="76">
        <v>0</v>
      </c>
      <c r="K322" s="126">
        <f t="shared" si="111"/>
        <v>0</v>
      </c>
      <c r="L322" s="125">
        <v>0</v>
      </c>
      <c r="M322" s="125">
        <v>0</v>
      </c>
      <c r="N322" s="125">
        <v>0</v>
      </c>
      <c r="O322" s="38">
        <v>0</v>
      </c>
      <c r="P322" s="125">
        <f t="shared" si="112"/>
        <v>0</v>
      </c>
      <c r="Q322" s="125">
        <v>0</v>
      </c>
      <c r="R322" s="125">
        <v>0</v>
      </c>
      <c r="S322" s="36">
        <v>0</v>
      </c>
      <c r="T322" s="38">
        <v>0</v>
      </c>
      <c r="U322" s="125">
        <v>0</v>
      </c>
      <c r="V322" s="125">
        <v>0</v>
      </c>
      <c r="W322" s="125">
        <v>0</v>
      </c>
      <c r="X322" s="125">
        <v>0</v>
      </c>
      <c r="Y322" s="38">
        <v>0</v>
      </c>
      <c r="Z322" s="125">
        <f t="shared" si="113"/>
        <v>0</v>
      </c>
      <c r="AA322" s="125">
        <v>0</v>
      </c>
      <c r="AB322" s="125">
        <v>0</v>
      </c>
      <c r="AC322" s="36">
        <v>0</v>
      </c>
      <c r="AD322" s="94"/>
    </row>
    <row r="323" spans="1:30" s="108" customFormat="1" ht="30" customHeight="1" outlineLevel="1" x14ac:dyDescent="0.2">
      <c r="A323" s="114" t="s">
        <v>1381</v>
      </c>
      <c r="B323" s="95" t="s">
        <v>148</v>
      </c>
      <c r="C323" s="38">
        <f t="shared" si="114"/>
        <v>0</v>
      </c>
      <c r="D323" s="125">
        <f t="shared" si="115"/>
        <v>0</v>
      </c>
      <c r="E323" s="76">
        <v>0</v>
      </c>
      <c r="F323" s="126">
        <f t="shared" si="116"/>
        <v>0</v>
      </c>
      <c r="G323" s="125">
        <v>0</v>
      </c>
      <c r="H323" s="125">
        <v>0</v>
      </c>
      <c r="I323" s="125">
        <v>0</v>
      </c>
      <c r="J323" s="76">
        <v>0</v>
      </c>
      <c r="K323" s="126">
        <f t="shared" si="111"/>
        <v>0</v>
      </c>
      <c r="L323" s="125">
        <v>0</v>
      </c>
      <c r="M323" s="125">
        <v>0</v>
      </c>
      <c r="N323" s="125">
        <v>0</v>
      </c>
      <c r="O323" s="38">
        <v>0</v>
      </c>
      <c r="P323" s="125">
        <f t="shared" si="112"/>
        <v>0</v>
      </c>
      <c r="Q323" s="125">
        <v>0</v>
      </c>
      <c r="R323" s="125">
        <v>0</v>
      </c>
      <c r="S323" s="36">
        <v>0</v>
      </c>
      <c r="T323" s="38">
        <v>0</v>
      </c>
      <c r="U323" s="125">
        <v>0</v>
      </c>
      <c r="V323" s="125">
        <v>0</v>
      </c>
      <c r="W323" s="125">
        <v>0</v>
      </c>
      <c r="X323" s="125">
        <v>0</v>
      </c>
      <c r="Y323" s="38">
        <v>0</v>
      </c>
      <c r="Z323" s="125">
        <f t="shared" si="113"/>
        <v>0</v>
      </c>
      <c r="AA323" s="125">
        <v>0</v>
      </c>
      <c r="AB323" s="125">
        <v>0</v>
      </c>
      <c r="AC323" s="36">
        <v>0</v>
      </c>
      <c r="AD323" s="94"/>
    </row>
    <row r="324" spans="1:30" s="108" customFormat="1" ht="34.15" customHeight="1" outlineLevel="1" x14ac:dyDescent="0.2">
      <c r="A324" s="114" t="s">
        <v>1382</v>
      </c>
      <c r="B324" s="95" t="s">
        <v>149</v>
      </c>
      <c r="C324" s="38">
        <f t="shared" si="114"/>
        <v>0</v>
      </c>
      <c r="D324" s="125">
        <f t="shared" si="115"/>
        <v>0</v>
      </c>
      <c r="E324" s="76">
        <v>0</v>
      </c>
      <c r="F324" s="126">
        <f t="shared" si="116"/>
        <v>0</v>
      </c>
      <c r="G324" s="125">
        <v>0</v>
      </c>
      <c r="H324" s="125">
        <v>0</v>
      </c>
      <c r="I324" s="125">
        <v>0</v>
      </c>
      <c r="J324" s="76">
        <v>0</v>
      </c>
      <c r="K324" s="126">
        <f t="shared" si="111"/>
        <v>0</v>
      </c>
      <c r="L324" s="125">
        <v>0</v>
      </c>
      <c r="M324" s="125">
        <v>0</v>
      </c>
      <c r="N324" s="125">
        <v>0</v>
      </c>
      <c r="O324" s="38">
        <v>0</v>
      </c>
      <c r="P324" s="125">
        <f t="shared" si="112"/>
        <v>0</v>
      </c>
      <c r="Q324" s="125">
        <v>0</v>
      </c>
      <c r="R324" s="125">
        <v>0</v>
      </c>
      <c r="S324" s="36">
        <v>0</v>
      </c>
      <c r="T324" s="38">
        <v>0</v>
      </c>
      <c r="U324" s="125">
        <v>0</v>
      </c>
      <c r="V324" s="125">
        <v>0</v>
      </c>
      <c r="W324" s="125">
        <v>0</v>
      </c>
      <c r="X324" s="125">
        <v>0</v>
      </c>
      <c r="Y324" s="38">
        <v>0</v>
      </c>
      <c r="Z324" s="125">
        <f t="shared" si="113"/>
        <v>0</v>
      </c>
      <c r="AA324" s="125">
        <v>0</v>
      </c>
      <c r="AB324" s="125">
        <v>0</v>
      </c>
      <c r="AC324" s="36">
        <v>0</v>
      </c>
      <c r="AD324" s="94"/>
    </row>
    <row r="325" spans="1:30" s="108" customFormat="1" ht="46.9" customHeight="1" outlineLevel="1" x14ac:dyDescent="0.2">
      <c r="A325" s="114" t="s">
        <v>1383</v>
      </c>
      <c r="B325" s="95" t="s">
        <v>150</v>
      </c>
      <c r="C325" s="38">
        <f t="shared" si="114"/>
        <v>0</v>
      </c>
      <c r="D325" s="125">
        <f t="shared" si="115"/>
        <v>0</v>
      </c>
      <c r="E325" s="76">
        <v>0</v>
      </c>
      <c r="F325" s="126">
        <f t="shared" si="116"/>
        <v>0</v>
      </c>
      <c r="G325" s="125">
        <v>0</v>
      </c>
      <c r="H325" s="125">
        <v>0</v>
      </c>
      <c r="I325" s="125">
        <v>0</v>
      </c>
      <c r="J325" s="76">
        <v>0</v>
      </c>
      <c r="K325" s="126">
        <f t="shared" si="111"/>
        <v>0</v>
      </c>
      <c r="L325" s="125">
        <v>0</v>
      </c>
      <c r="M325" s="125">
        <v>0</v>
      </c>
      <c r="N325" s="125">
        <v>0</v>
      </c>
      <c r="O325" s="38">
        <v>0</v>
      </c>
      <c r="P325" s="125">
        <f t="shared" si="112"/>
        <v>0</v>
      </c>
      <c r="Q325" s="125">
        <v>0</v>
      </c>
      <c r="R325" s="125">
        <v>0</v>
      </c>
      <c r="S325" s="36">
        <v>0</v>
      </c>
      <c r="T325" s="38">
        <v>0</v>
      </c>
      <c r="U325" s="125">
        <v>0</v>
      </c>
      <c r="V325" s="125">
        <v>0</v>
      </c>
      <c r="W325" s="125">
        <v>0</v>
      </c>
      <c r="X325" s="125">
        <v>0</v>
      </c>
      <c r="Y325" s="38">
        <v>0</v>
      </c>
      <c r="Z325" s="125">
        <f t="shared" si="113"/>
        <v>0</v>
      </c>
      <c r="AA325" s="125">
        <v>0</v>
      </c>
      <c r="AB325" s="125">
        <v>0</v>
      </c>
      <c r="AC325" s="36">
        <v>0</v>
      </c>
      <c r="AD325" s="94"/>
    </row>
    <row r="326" spans="1:30" s="108" customFormat="1" ht="32.450000000000003" customHeight="1" outlineLevel="1" x14ac:dyDescent="0.2">
      <c r="A326" s="114" t="s">
        <v>1384</v>
      </c>
      <c r="B326" s="95" t="s">
        <v>457</v>
      </c>
      <c r="C326" s="38">
        <f t="shared" si="114"/>
        <v>0</v>
      </c>
      <c r="D326" s="125">
        <f t="shared" si="115"/>
        <v>0</v>
      </c>
      <c r="E326" s="76">
        <v>0</v>
      </c>
      <c r="F326" s="126">
        <f t="shared" si="116"/>
        <v>0</v>
      </c>
      <c r="G326" s="125">
        <v>0</v>
      </c>
      <c r="H326" s="125">
        <v>0</v>
      </c>
      <c r="I326" s="125">
        <v>0</v>
      </c>
      <c r="J326" s="76">
        <v>0</v>
      </c>
      <c r="K326" s="126">
        <f t="shared" si="111"/>
        <v>0</v>
      </c>
      <c r="L326" s="125">
        <v>0</v>
      </c>
      <c r="M326" s="125">
        <v>0</v>
      </c>
      <c r="N326" s="125">
        <v>0</v>
      </c>
      <c r="O326" s="38">
        <v>0</v>
      </c>
      <c r="P326" s="125">
        <f t="shared" si="112"/>
        <v>0</v>
      </c>
      <c r="Q326" s="125">
        <v>0</v>
      </c>
      <c r="R326" s="125">
        <v>0</v>
      </c>
      <c r="S326" s="36">
        <v>0</v>
      </c>
      <c r="T326" s="38">
        <v>0</v>
      </c>
      <c r="U326" s="125">
        <v>0</v>
      </c>
      <c r="V326" s="125">
        <v>0</v>
      </c>
      <c r="W326" s="125">
        <v>0</v>
      </c>
      <c r="X326" s="125">
        <v>0</v>
      </c>
      <c r="Y326" s="38">
        <v>0</v>
      </c>
      <c r="Z326" s="125">
        <f t="shared" si="113"/>
        <v>0</v>
      </c>
      <c r="AA326" s="125">
        <v>0</v>
      </c>
      <c r="AB326" s="125">
        <v>0</v>
      </c>
      <c r="AC326" s="36">
        <v>0</v>
      </c>
      <c r="AD326" s="94"/>
    </row>
    <row r="327" spans="1:30" s="108" customFormat="1" ht="43.15" customHeight="1" outlineLevel="1" x14ac:dyDescent="0.2">
      <c r="A327" s="114" t="s">
        <v>1385</v>
      </c>
      <c r="B327" s="95" t="s">
        <v>151</v>
      </c>
      <c r="C327" s="38">
        <f t="shared" si="114"/>
        <v>0</v>
      </c>
      <c r="D327" s="125">
        <f t="shared" si="115"/>
        <v>0</v>
      </c>
      <c r="E327" s="76">
        <v>0</v>
      </c>
      <c r="F327" s="126">
        <f t="shared" si="116"/>
        <v>0</v>
      </c>
      <c r="G327" s="125">
        <v>0</v>
      </c>
      <c r="H327" s="125">
        <v>0</v>
      </c>
      <c r="I327" s="125">
        <v>0</v>
      </c>
      <c r="J327" s="76">
        <v>0</v>
      </c>
      <c r="K327" s="126">
        <f t="shared" si="111"/>
        <v>0</v>
      </c>
      <c r="L327" s="125">
        <v>0</v>
      </c>
      <c r="M327" s="125">
        <v>0</v>
      </c>
      <c r="N327" s="125">
        <v>0</v>
      </c>
      <c r="O327" s="38">
        <v>0</v>
      </c>
      <c r="P327" s="125">
        <f t="shared" si="112"/>
        <v>0</v>
      </c>
      <c r="Q327" s="125">
        <v>0</v>
      </c>
      <c r="R327" s="125">
        <v>0</v>
      </c>
      <c r="S327" s="36">
        <v>0</v>
      </c>
      <c r="T327" s="38">
        <v>0</v>
      </c>
      <c r="U327" s="125">
        <v>0</v>
      </c>
      <c r="V327" s="125">
        <v>0</v>
      </c>
      <c r="W327" s="125">
        <v>0</v>
      </c>
      <c r="X327" s="125">
        <v>0</v>
      </c>
      <c r="Y327" s="38">
        <v>0</v>
      </c>
      <c r="Z327" s="125">
        <f t="shared" si="113"/>
        <v>0</v>
      </c>
      <c r="AA327" s="125">
        <v>0</v>
      </c>
      <c r="AB327" s="125">
        <v>0</v>
      </c>
      <c r="AC327" s="36">
        <v>0</v>
      </c>
      <c r="AD327" s="94"/>
    </row>
    <row r="328" spans="1:30" s="108" customFormat="1" ht="33" customHeight="1" outlineLevel="1" x14ac:dyDescent="0.2">
      <c r="A328" s="114" t="s">
        <v>1386</v>
      </c>
      <c r="B328" s="95" t="s">
        <v>152</v>
      </c>
      <c r="C328" s="38">
        <f t="shared" si="114"/>
        <v>0</v>
      </c>
      <c r="D328" s="125">
        <f t="shared" si="115"/>
        <v>0</v>
      </c>
      <c r="E328" s="76">
        <v>0</v>
      </c>
      <c r="F328" s="126">
        <f t="shared" si="116"/>
        <v>0</v>
      </c>
      <c r="G328" s="125">
        <v>0</v>
      </c>
      <c r="H328" s="125">
        <v>0</v>
      </c>
      <c r="I328" s="125">
        <v>0</v>
      </c>
      <c r="J328" s="76">
        <v>0</v>
      </c>
      <c r="K328" s="126">
        <f t="shared" si="111"/>
        <v>0</v>
      </c>
      <c r="L328" s="125">
        <v>0</v>
      </c>
      <c r="M328" s="125">
        <v>0</v>
      </c>
      <c r="N328" s="125">
        <v>0</v>
      </c>
      <c r="O328" s="38">
        <v>0</v>
      </c>
      <c r="P328" s="125">
        <f t="shared" si="112"/>
        <v>0</v>
      </c>
      <c r="Q328" s="125">
        <v>0</v>
      </c>
      <c r="R328" s="125">
        <v>0</v>
      </c>
      <c r="S328" s="36">
        <v>0</v>
      </c>
      <c r="T328" s="38">
        <v>0</v>
      </c>
      <c r="U328" s="125">
        <v>0</v>
      </c>
      <c r="V328" s="125">
        <v>0</v>
      </c>
      <c r="W328" s="125">
        <v>0</v>
      </c>
      <c r="X328" s="125">
        <v>0</v>
      </c>
      <c r="Y328" s="38">
        <v>0</v>
      </c>
      <c r="Z328" s="125">
        <f t="shared" si="113"/>
        <v>0</v>
      </c>
      <c r="AA328" s="125">
        <v>0</v>
      </c>
      <c r="AB328" s="125">
        <v>0</v>
      </c>
      <c r="AC328" s="36">
        <v>0</v>
      </c>
      <c r="AD328" s="94"/>
    </row>
    <row r="329" spans="1:30" s="108" customFormat="1" ht="26.45" customHeight="1" outlineLevel="1" x14ac:dyDescent="0.2">
      <c r="A329" s="114" t="s">
        <v>1387</v>
      </c>
      <c r="B329" s="95" t="s">
        <v>153</v>
      </c>
      <c r="C329" s="38">
        <f t="shared" si="114"/>
        <v>0</v>
      </c>
      <c r="D329" s="125">
        <f t="shared" si="115"/>
        <v>0</v>
      </c>
      <c r="E329" s="76">
        <v>0</v>
      </c>
      <c r="F329" s="126">
        <f t="shared" si="116"/>
        <v>0</v>
      </c>
      <c r="G329" s="125">
        <v>0</v>
      </c>
      <c r="H329" s="125">
        <v>0</v>
      </c>
      <c r="I329" s="125">
        <v>0</v>
      </c>
      <c r="J329" s="76">
        <v>0</v>
      </c>
      <c r="K329" s="126">
        <f t="shared" si="111"/>
        <v>0</v>
      </c>
      <c r="L329" s="125">
        <v>0</v>
      </c>
      <c r="M329" s="125">
        <v>0</v>
      </c>
      <c r="N329" s="125">
        <v>0</v>
      </c>
      <c r="O329" s="38">
        <v>0</v>
      </c>
      <c r="P329" s="125">
        <f t="shared" si="112"/>
        <v>0</v>
      </c>
      <c r="Q329" s="125">
        <v>0</v>
      </c>
      <c r="R329" s="125">
        <v>0</v>
      </c>
      <c r="S329" s="36">
        <v>0</v>
      </c>
      <c r="T329" s="38">
        <v>0</v>
      </c>
      <c r="U329" s="125">
        <v>0</v>
      </c>
      <c r="V329" s="125">
        <v>0</v>
      </c>
      <c r="W329" s="125">
        <v>0</v>
      </c>
      <c r="X329" s="125">
        <v>0</v>
      </c>
      <c r="Y329" s="38">
        <v>0</v>
      </c>
      <c r="Z329" s="125">
        <f t="shared" si="113"/>
        <v>0</v>
      </c>
      <c r="AA329" s="125">
        <v>0</v>
      </c>
      <c r="AB329" s="125">
        <v>0</v>
      </c>
      <c r="AC329" s="36">
        <v>0</v>
      </c>
      <c r="AD329" s="94"/>
    </row>
    <row r="330" spans="1:30" s="108" customFormat="1" ht="32.450000000000003" customHeight="1" outlineLevel="1" x14ac:dyDescent="0.2">
      <c r="A330" s="114" t="s">
        <v>1388</v>
      </c>
      <c r="B330" s="95" t="s">
        <v>154</v>
      </c>
      <c r="C330" s="38">
        <f t="shared" si="114"/>
        <v>0</v>
      </c>
      <c r="D330" s="125">
        <f t="shared" si="115"/>
        <v>0</v>
      </c>
      <c r="E330" s="76">
        <v>0</v>
      </c>
      <c r="F330" s="126">
        <f t="shared" si="116"/>
        <v>0</v>
      </c>
      <c r="G330" s="125">
        <v>0</v>
      </c>
      <c r="H330" s="125">
        <v>0</v>
      </c>
      <c r="I330" s="125">
        <v>0</v>
      </c>
      <c r="J330" s="76">
        <v>0</v>
      </c>
      <c r="K330" s="126">
        <f t="shared" si="111"/>
        <v>0</v>
      </c>
      <c r="L330" s="125">
        <v>0</v>
      </c>
      <c r="M330" s="125">
        <v>0</v>
      </c>
      <c r="N330" s="125">
        <v>0</v>
      </c>
      <c r="O330" s="38">
        <v>0</v>
      </c>
      <c r="P330" s="125">
        <f t="shared" si="112"/>
        <v>0</v>
      </c>
      <c r="Q330" s="125">
        <v>0</v>
      </c>
      <c r="R330" s="125">
        <v>0</v>
      </c>
      <c r="S330" s="36">
        <v>0</v>
      </c>
      <c r="T330" s="38">
        <v>0</v>
      </c>
      <c r="U330" s="125">
        <v>0</v>
      </c>
      <c r="V330" s="125">
        <v>0</v>
      </c>
      <c r="W330" s="125">
        <v>0</v>
      </c>
      <c r="X330" s="125">
        <v>0</v>
      </c>
      <c r="Y330" s="38">
        <v>0</v>
      </c>
      <c r="Z330" s="125">
        <f t="shared" si="113"/>
        <v>0</v>
      </c>
      <c r="AA330" s="125">
        <v>0</v>
      </c>
      <c r="AB330" s="125">
        <v>0</v>
      </c>
      <c r="AC330" s="36">
        <v>0</v>
      </c>
      <c r="AD330" s="94"/>
    </row>
    <row r="331" spans="1:30" s="108" customFormat="1" ht="36" customHeight="1" outlineLevel="1" x14ac:dyDescent="0.2">
      <c r="A331" s="114" t="s">
        <v>1389</v>
      </c>
      <c r="B331" s="95" t="s">
        <v>155</v>
      </c>
      <c r="C331" s="38">
        <f t="shared" si="114"/>
        <v>0</v>
      </c>
      <c r="D331" s="125">
        <f t="shared" si="115"/>
        <v>0</v>
      </c>
      <c r="E331" s="76">
        <v>0</v>
      </c>
      <c r="F331" s="126">
        <f t="shared" si="116"/>
        <v>0</v>
      </c>
      <c r="G331" s="125">
        <v>0</v>
      </c>
      <c r="H331" s="125">
        <v>0</v>
      </c>
      <c r="I331" s="125">
        <v>0</v>
      </c>
      <c r="J331" s="76">
        <v>0</v>
      </c>
      <c r="K331" s="126">
        <f t="shared" si="111"/>
        <v>0</v>
      </c>
      <c r="L331" s="125">
        <v>0</v>
      </c>
      <c r="M331" s="125">
        <v>0</v>
      </c>
      <c r="N331" s="125">
        <v>0</v>
      </c>
      <c r="O331" s="38">
        <v>0</v>
      </c>
      <c r="P331" s="125">
        <f t="shared" si="112"/>
        <v>0</v>
      </c>
      <c r="Q331" s="125">
        <v>0</v>
      </c>
      <c r="R331" s="125">
        <v>0</v>
      </c>
      <c r="S331" s="36">
        <v>0</v>
      </c>
      <c r="T331" s="38">
        <v>0</v>
      </c>
      <c r="U331" s="125">
        <v>0</v>
      </c>
      <c r="V331" s="125">
        <v>0</v>
      </c>
      <c r="W331" s="125">
        <v>0</v>
      </c>
      <c r="X331" s="125">
        <v>0</v>
      </c>
      <c r="Y331" s="38">
        <v>0</v>
      </c>
      <c r="Z331" s="125">
        <f t="shared" si="113"/>
        <v>0</v>
      </c>
      <c r="AA331" s="125">
        <v>0</v>
      </c>
      <c r="AB331" s="125">
        <v>0</v>
      </c>
      <c r="AC331" s="36">
        <v>0</v>
      </c>
      <c r="AD331" s="94"/>
    </row>
    <row r="332" spans="1:30" s="108" customFormat="1" ht="46.9" customHeight="1" outlineLevel="1" x14ac:dyDescent="0.2">
      <c r="A332" s="114" t="s">
        <v>1390</v>
      </c>
      <c r="B332" s="127" t="s">
        <v>156</v>
      </c>
      <c r="C332" s="38">
        <f t="shared" si="114"/>
        <v>0</v>
      </c>
      <c r="D332" s="125">
        <f t="shared" si="115"/>
        <v>0</v>
      </c>
      <c r="E332" s="76">
        <v>0</v>
      </c>
      <c r="F332" s="126">
        <f t="shared" si="116"/>
        <v>0</v>
      </c>
      <c r="G332" s="125">
        <v>0</v>
      </c>
      <c r="H332" s="125">
        <v>0</v>
      </c>
      <c r="I332" s="125">
        <v>0</v>
      </c>
      <c r="J332" s="76">
        <v>0</v>
      </c>
      <c r="K332" s="126">
        <f t="shared" si="111"/>
        <v>0</v>
      </c>
      <c r="L332" s="125">
        <v>0</v>
      </c>
      <c r="M332" s="125">
        <v>0</v>
      </c>
      <c r="N332" s="125">
        <v>0</v>
      </c>
      <c r="O332" s="38">
        <v>0</v>
      </c>
      <c r="P332" s="125">
        <f t="shared" si="112"/>
        <v>0</v>
      </c>
      <c r="Q332" s="125">
        <v>0</v>
      </c>
      <c r="R332" s="125">
        <v>0</v>
      </c>
      <c r="S332" s="36">
        <v>0</v>
      </c>
      <c r="T332" s="38">
        <v>0</v>
      </c>
      <c r="U332" s="125">
        <v>0</v>
      </c>
      <c r="V332" s="125">
        <v>0</v>
      </c>
      <c r="W332" s="125">
        <v>0</v>
      </c>
      <c r="X332" s="125">
        <v>0</v>
      </c>
      <c r="Y332" s="38">
        <v>0</v>
      </c>
      <c r="Z332" s="125">
        <f t="shared" si="113"/>
        <v>0</v>
      </c>
      <c r="AA332" s="125">
        <v>0</v>
      </c>
      <c r="AB332" s="125">
        <v>0</v>
      </c>
      <c r="AC332" s="36">
        <v>0</v>
      </c>
      <c r="AD332" s="94"/>
    </row>
    <row r="333" spans="1:30" s="108" customFormat="1" ht="62.45" customHeight="1" outlineLevel="1" x14ac:dyDescent="0.2">
      <c r="A333" s="114" t="s">
        <v>1391</v>
      </c>
      <c r="B333" s="127" t="s">
        <v>157</v>
      </c>
      <c r="C333" s="38">
        <f t="shared" si="114"/>
        <v>0</v>
      </c>
      <c r="D333" s="125">
        <f t="shared" si="115"/>
        <v>0</v>
      </c>
      <c r="E333" s="76">
        <v>0</v>
      </c>
      <c r="F333" s="126">
        <f t="shared" si="116"/>
        <v>0</v>
      </c>
      <c r="G333" s="125">
        <v>0</v>
      </c>
      <c r="H333" s="125">
        <v>0</v>
      </c>
      <c r="I333" s="125">
        <v>0</v>
      </c>
      <c r="J333" s="76">
        <v>0</v>
      </c>
      <c r="K333" s="126">
        <f t="shared" si="111"/>
        <v>0</v>
      </c>
      <c r="L333" s="125">
        <v>0</v>
      </c>
      <c r="M333" s="125">
        <v>0</v>
      </c>
      <c r="N333" s="125">
        <v>0</v>
      </c>
      <c r="O333" s="38">
        <v>0</v>
      </c>
      <c r="P333" s="125">
        <f t="shared" si="112"/>
        <v>0</v>
      </c>
      <c r="Q333" s="125">
        <v>0</v>
      </c>
      <c r="R333" s="125">
        <v>0</v>
      </c>
      <c r="S333" s="36">
        <v>0</v>
      </c>
      <c r="T333" s="38">
        <v>0</v>
      </c>
      <c r="U333" s="125">
        <v>0</v>
      </c>
      <c r="V333" s="125">
        <v>0</v>
      </c>
      <c r="W333" s="125">
        <v>0</v>
      </c>
      <c r="X333" s="125">
        <v>0</v>
      </c>
      <c r="Y333" s="38">
        <v>0</v>
      </c>
      <c r="Z333" s="125">
        <f t="shared" si="113"/>
        <v>0</v>
      </c>
      <c r="AA333" s="125">
        <v>0</v>
      </c>
      <c r="AB333" s="125">
        <v>0</v>
      </c>
      <c r="AC333" s="36">
        <v>0</v>
      </c>
      <c r="AD333" s="94"/>
    </row>
    <row r="334" spans="1:30" s="108" customFormat="1" ht="31.9" customHeight="1" outlineLevel="1" x14ac:dyDescent="0.2">
      <c r="A334" s="114" t="s">
        <v>1392</v>
      </c>
      <c r="B334" s="127" t="s">
        <v>158</v>
      </c>
      <c r="C334" s="38">
        <f t="shared" si="114"/>
        <v>0</v>
      </c>
      <c r="D334" s="125">
        <f t="shared" si="115"/>
        <v>0</v>
      </c>
      <c r="E334" s="76">
        <v>0</v>
      </c>
      <c r="F334" s="126">
        <f t="shared" si="116"/>
        <v>0</v>
      </c>
      <c r="G334" s="125">
        <v>0</v>
      </c>
      <c r="H334" s="125">
        <v>0</v>
      </c>
      <c r="I334" s="125">
        <v>0</v>
      </c>
      <c r="J334" s="76">
        <v>0</v>
      </c>
      <c r="K334" s="126">
        <f t="shared" si="111"/>
        <v>0</v>
      </c>
      <c r="L334" s="125">
        <v>0</v>
      </c>
      <c r="M334" s="125">
        <v>0</v>
      </c>
      <c r="N334" s="125">
        <v>0</v>
      </c>
      <c r="O334" s="38">
        <v>0</v>
      </c>
      <c r="P334" s="125">
        <f t="shared" si="112"/>
        <v>0</v>
      </c>
      <c r="Q334" s="125">
        <v>0</v>
      </c>
      <c r="R334" s="125">
        <v>0</v>
      </c>
      <c r="S334" s="36">
        <v>0</v>
      </c>
      <c r="T334" s="38">
        <v>0</v>
      </c>
      <c r="U334" s="125">
        <v>0</v>
      </c>
      <c r="V334" s="125">
        <v>0</v>
      </c>
      <c r="W334" s="125">
        <v>0</v>
      </c>
      <c r="X334" s="125">
        <v>0</v>
      </c>
      <c r="Y334" s="38">
        <v>0</v>
      </c>
      <c r="Z334" s="125">
        <f t="shared" si="113"/>
        <v>0</v>
      </c>
      <c r="AA334" s="125">
        <v>0</v>
      </c>
      <c r="AB334" s="125">
        <v>0</v>
      </c>
      <c r="AC334" s="36">
        <v>0</v>
      </c>
      <c r="AD334" s="94"/>
    </row>
    <row r="335" spans="1:30" s="108" customFormat="1" ht="26.45" customHeight="1" outlineLevel="1" x14ac:dyDescent="0.2">
      <c r="A335" s="114" t="s">
        <v>1393</v>
      </c>
      <c r="B335" s="127" t="s">
        <v>159</v>
      </c>
      <c r="C335" s="38">
        <f t="shared" si="114"/>
        <v>0</v>
      </c>
      <c r="D335" s="125">
        <f t="shared" si="115"/>
        <v>0</v>
      </c>
      <c r="E335" s="76">
        <v>0</v>
      </c>
      <c r="F335" s="126">
        <f t="shared" si="116"/>
        <v>0</v>
      </c>
      <c r="G335" s="125">
        <v>0</v>
      </c>
      <c r="H335" s="125">
        <v>0</v>
      </c>
      <c r="I335" s="125">
        <v>0</v>
      </c>
      <c r="J335" s="76">
        <v>0</v>
      </c>
      <c r="K335" s="126">
        <f t="shared" si="111"/>
        <v>0</v>
      </c>
      <c r="L335" s="125">
        <v>0</v>
      </c>
      <c r="M335" s="125">
        <v>0</v>
      </c>
      <c r="N335" s="125">
        <v>0</v>
      </c>
      <c r="O335" s="38">
        <v>0</v>
      </c>
      <c r="P335" s="125">
        <f t="shared" si="112"/>
        <v>0</v>
      </c>
      <c r="Q335" s="125">
        <v>0</v>
      </c>
      <c r="R335" s="125">
        <v>0</v>
      </c>
      <c r="S335" s="36">
        <v>0</v>
      </c>
      <c r="T335" s="38">
        <v>0</v>
      </c>
      <c r="U335" s="125">
        <v>0</v>
      </c>
      <c r="V335" s="125">
        <v>0</v>
      </c>
      <c r="W335" s="125">
        <v>0</v>
      </c>
      <c r="X335" s="125">
        <v>0</v>
      </c>
      <c r="Y335" s="38">
        <v>0</v>
      </c>
      <c r="Z335" s="125">
        <f t="shared" si="113"/>
        <v>0</v>
      </c>
      <c r="AA335" s="125">
        <v>0</v>
      </c>
      <c r="AB335" s="125">
        <v>0</v>
      </c>
      <c r="AC335" s="36">
        <v>0</v>
      </c>
      <c r="AD335" s="94"/>
    </row>
    <row r="336" spans="1:30" s="108" customFormat="1" ht="31.15" customHeight="1" outlineLevel="1" x14ac:dyDescent="0.2">
      <c r="A336" s="114" t="s">
        <v>1394</v>
      </c>
      <c r="B336" s="127" t="s">
        <v>160</v>
      </c>
      <c r="C336" s="38">
        <f t="shared" si="114"/>
        <v>0</v>
      </c>
      <c r="D336" s="125">
        <f t="shared" si="115"/>
        <v>0</v>
      </c>
      <c r="E336" s="76">
        <v>0</v>
      </c>
      <c r="F336" s="126">
        <f t="shared" si="116"/>
        <v>0</v>
      </c>
      <c r="G336" s="125">
        <v>0</v>
      </c>
      <c r="H336" s="125">
        <v>0</v>
      </c>
      <c r="I336" s="125">
        <v>0</v>
      </c>
      <c r="J336" s="76">
        <v>0</v>
      </c>
      <c r="K336" s="126">
        <f t="shared" si="111"/>
        <v>0</v>
      </c>
      <c r="L336" s="125">
        <v>0</v>
      </c>
      <c r="M336" s="125">
        <v>0</v>
      </c>
      <c r="N336" s="125">
        <v>0</v>
      </c>
      <c r="O336" s="38">
        <v>0</v>
      </c>
      <c r="P336" s="125">
        <f t="shared" si="112"/>
        <v>0</v>
      </c>
      <c r="Q336" s="125">
        <v>0</v>
      </c>
      <c r="R336" s="125">
        <v>0</v>
      </c>
      <c r="S336" s="36">
        <v>0</v>
      </c>
      <c r="T336" s="38">
        <v>0</v>
      </c>
      <c r="U336" s="125">
        <v>0</v>
      </c>
      <c r="V336" s="125">
        <v>0</v>
      </c>
      <c r="W336" s="125">
        <v>0</v>
      </c>
      <c r="X336" s="125">
        <v>0</v>
      </c>
      <c r="Y336" s="38">
        <v>0</v>
      </c>
      <c r="Z336" s="125">
        <f t="shared" si="113"/>
        <v>0</v>
      </c>
      <c r="AA336" s="125">
        <v>0</v>
      </c>
      <c r="AB336" s="125">
        <v>0</v>
      </c>
      <c r="AC336" s="36">
        <v>0</v>
      </c>
      <c r="AD336" s="94"/>
    </row>
    <row r="337" spans="1:30" s="108" customFormat="1" ht="32.450000000000003" customHeight="1" outlineLevel="1" x14ac:dyDescent="0.2">
      <c r="A337" s="114" t="s">
        <v>1395</v>
      </c>
      <c r="B337" s="127" t="s">
        <v>161</v>
      </c>
      <c r="C337" s="38">
        <f t="shared" si="114"/>
        <v>0</v>
      </c>
      <c r="D337" s="125">
        <f t="shared" si="115"/>
        <v>0</v>
      </c>
      <c r="E337" s="76">
        <v>0</v>
      </c>
      <c r="F337" s="126">
        <f t="shared" si="116"/>
        <v>0</v>
      </c>
      <c r="G337" s="125">
        <v>0</v>
      </c>
      <c r="H337" s="125">
        <v>0</v>
      </c>
      <c r="I337" s="125">
        <v>0</v>
      </c>
      <c r="J337" s="76">
        <v>0</v>
      </c>
      <c r="K337" s="126">
        <f t="shared" si="111"/>
        <v>0</v>
      </c>
      <c r="L337" s="125">
        <v>0</v>
      </c>
      <c r="M337" s="125">
        <v>0</v>
      </c>
      <c r="N337" s="125">
        <v>0</v>
      </c>
      <c r="O337" s="38">
        <v>0</v>
      </c>
      <c r="P337" s="125">
        <f t="shared" si="112"/>
        <v>0</v>
      </c>
      <c r="Q337" s="125">
        <v>0</v>
      </c>
      <c r="R337" s="125">
        <v>0</v>
      </c>
      <c r="S337" s="36">
        <v>0</v>
      </c>
      <c r="T337" s="38">
        <v>0</v>
      </c>
      <c r="U337" s="125">
        <v>0</v>
      </c>
      <c r="V337" s="125">
        <v>0</v>
      </c>
      <c r="W337" s="125">
        <v>0</v>
      </c>
      <c r="X337" s="125">
        <v>0</v>
      </c>
      <c r="Y337" s="38">
        <v>0</v>
      </c>
      <c r="Z337" s="125">
        <f t="shared" si="113"/>
        <v>0</v>
      </c>
      <c r="AA337" s="125">
        <v>0</v>
      </c>
      <c r="AB337" s="125">
        <v>0</v>
      </c>
      <c r="AC337" s="36">
        <v>0</v>
      </c>
      <c r="AD337" s="94"/>
    </row>
    <row r="338" spans="1:30" s="108" customFormat="1" ht="30.6" customHeight="1" outlineLevel="1" x14ac:dyDescent="0.2">
      <c r="A338" s="114" t="s">
        <v>1396</v>
      </c>
      <c r="B338" s="127" t="s">
        <v>162</v>
      </c>
      <c r="C338" s="38">
        <f t="shared" si="114"/>
        <v>0</v>
      </c>
      <c r="D338" s="125">
        <f t="shared" si="115"/>
        <v>0</v>
      </c>
      <c r="E338" s="76">
        <v>0</v>
      </c>
      <c r="F338" s="126">
        <f t="shared" si="116"/>
        <v>0</v>
      </c>
      <c r="G338" s="125">
        <v>0</v>
      </c>
      <c r="H338" s="125">
        <v>0</v>
      </c>
      <c r="I338" s="125">
        <v>0</v>
      </c>
      <c r="J338" s="76">
        <v>0</v>
      </c>
      <c r="K338" s="126">
        <f t="shared" si="111"/>
        <v>0</v>
      </c>
      <c r="L338" s="125">
        <v>0</v>
      </c>
      <c r="M338" s="125">
        <v>0</v>
      </c>
      <c r="N338" s="125">
        <v>0</v>
      </c>
      <c r="O338" s="38">
        <v>0</v>
      </c>
      <c r="P338" s="125">
        <f t="shared" si="112"/>
        <v>0</v>
      </c>
      <c r="Q338" s="125">
        <v>0</v>
      </c>
      <c r="R338" s="125">
        <v>0</v>
      </c>
      <c r="S338" s="36">
        <v>0</v>
      </c>
      <c r="T338" s="38">
        <v>0</v>
      </c>
      <c r="U338" s="125">
        <v>0</v>
      </c>
      <c r="V338" s="125">
        <v>0</v>
      </c>
      <c r="W338" s="125">
        <v>0</v>
      </c>
      <c r="X338" s="125">
        <v>0</v>
      </c>
      <c r="Y338" s="38">
        <v>0</v>
      </c>
      <c r="Z338" s="125">
        <f t="shared" si="113"/>
        <v>0</v>
      </c>
      <c r="AA338" s="125">
        <v>0</v>
      </c>
      <c r="AB338" s="125">
        <v>0</v>
      </c>
      <c r="AC338" s="36">
        <v>0</v>
      </c>
      <c r="AD338" s="94"/>
    </row>
    <row r="339" spans="1:30" s="108" customFormat="1" ht="39" customHeight="1" outlineLevel="1" x14ac:dyDescent="0.2">
      <c r="A339" s="114" t="s">
        <v>1397</v>
      </c>
      <c r="B339" s="127" t="s">
        <v>163</v>
      </c>
      <c r="C339" s="38">
        <f t="shared" si="114"/>
        <v>0</v>
      </c>
      <c r="D339" s="125">
        <f t="shared" si="115"/>
        <v>0</v>
      </c>
      <c r="E339" s="76">
        <v>0</v>
      </c>
      <c r="F339" s="126">
        <f t="shared" si="116"/>
        <v>0</v>
      </c>
      <c r="G339" s="125">
        <v>0</v>
      </c>
      <c r="H339" s="125">
        <v>0</v>
      </c>
      <c r="I339" s="125">
        <v>0</v>
      </c>
      <c r="J339" s="76">
        <v>0</v>
      </c>
      <c r="K339" s="126">
        <f t="shared" si="111"/>
        <v>0</v>
      </c>
      <c r="L339" s="125">
        <v>0</v>
      </c>
      <c r="M339" s="125">
        <v>0</v>
      </c>
      <c r="N339" s="125">
        <v>0</v>
      </c>
      <c r="O339" s="38">
        <v>0</v>
      </c>
      <c r="P339" s="125">
        <f t="shared" si="112"/>
        <v>0</v>
      </c>
      <c r="Q339" s="125">
        <v>0</v>
      </c>
      <c r="R339" s="125">
        <v>0</v>
      </c>
      <c r="S339" s="36">
        <v>0</v>
      </c>
      <c r="T339" s="38">
        <v>0</v>
      </c>
      <c r="U339" s="125">
        <v>0</v>
      </c>
      <c r="V339" s="125">
        <v>0</v>
      </c>
      <c r="W339" s="125">
        <v>0</v>
      </c>
      <c r="X339" s="125">
        <v>0</v>
      </c>
      <c r="Y339" s="38">
        <v>0</v>
      </c>
      <c r="Z339" s="125">
        <f t="shared" si="113"/>
        <v>0</v>
      </c>
      <c r="AA339" s="125">
        <v>0</v>
      </c>
      <c r="AB339" s="125">
        <v>0</v>
      </c>
      <c r="AC339" s="36">
        <v>0</v>
      </c>
      <c r="AD339" s="94"/>
    </row>
    <row r="340" spans="1:30" s="108" customFormat="1" ht="50.45" customHeight="1" outlineLevel="1" x14ac:dyDescent="0.2">
      <c r="A340" s="114" t="s">
        <v>1398</v>
      </c>
      <c r="B340" s="127" t="s">
        <v>164</v>
      </c>
      <c r="C340" s="38">
        <f t="shared" si="114"/>
        <v>0</v>
      </c>
      <c r="D340" s="125">
        <f t="shared" si="115"/>
        <v>0</v>
      </c>
      <c r="E340" s="76">
        <v>0</v>
      </c>
      <c r="F340" s="126">
        <f t="shared" si="116"/>
        <v>0</v>
      </c>
      <c r="G340" s="125">
        <v>0</v>
      </c>
      <c r="H340" s="125">
        <v>0</v>
      </c>
      <c r="I340" s="125">
        <v>0</v>
      </c>
      <c r="J340" s="76">
        <v>0</v>
      </c>
      <c r="K340" s="126">
        <f t="shared" si="111"/>
        <v>0</v>
      </c>
      <c r="L340" s="125">
        <v>0</v>
      </c>
      <c r="M340" s="125">
        <v>0</v>
      </c>
      <c r="N340" s="125">
        <v>0</v>
      </c>
      <c r="O340" s="38">
        <v>0</v>
      </c>
      <c r="P340" s="125">
        <f t="shared" si="112"/>
        <v>0</v>
      </c>
      <c r="Q340" s="125">
        <v>0</v>
      </c>
      <c r="R340" s="125">
        <v>0</v>
      </c>
      <c r="S340" s="36">
        <v>0</v>
      </c>
      <c r="T340" s="38">
        <v>0</v>
      </c>
      <c r="U340" s="125">
        <v>0</v>
      </c>
      <c r="V340" s="125">
        <v>0</v>
      </c>
      <c r="W340" s="125">
        <v>0</v>
      </c>
      <c r="X340" s="125">
        <v>0</v>
      </c>
      <c r="Y340" s="38">
        <v>0</v>
      </c>
      <c r="Z340" s="125">
        <f t="shared" ref="Z340:Z356" si="117">AA340+AB340+AC340</f>
        <v>0</v>
      </c>
      <c r="AA340" s="125">
        <v>0</v>
      </c>
      <c r="AB340" s="125">
        <v>0</v>
      </c>
      <c r="AC340" s="36">
        <v>0</v>
      </c>
      <c r="AD340" s="94"/>
    </row>
    <row r="341" spans="1:30" s="108" customFormat="1" ht="31.9" customHeight="1" outlineLevel="1" x14ac:dyDescent="0.2">
      <c r="A341" s="114" t="s">
        <v>1399</v>
      </c>
      <c r="B341" s="127" t="s">
        <v>165</v>
      </c>
      <c r="C341" s="38">
        <f t="shared" si="114"/>
        <v>0</v>
      </c>
      <c r="D341" s="125">
        <f t="shared" si="115"/>
        <v>0</v>
      </c>
      <c r="E341" s="76">
        <v>0</v>
      </c>
      <c r="F341" s="126">
        <f t="shared" si="116"/>
        <v>0</v>
      </c>
      <c r="G341" s="125">
        <v>0</v>
      </c>
      <c r="H341" s="125">
        <v>0</v>
      </c>
      <c r="I341" s="125">
        <v>0</v>
      </c>
      <c r="J341" s="76">
        <v>0</v>
      </c>
      <c r="K341" s="126">
        <f t="shared" si="111"/>
        <v>0</v>
      </c>
      <c r="L341" s="125">
        <v>0</v>
      </c>
      <c r="M341" s="125">
        <v>0</v>
      </c>
      <c r="N341" s="125">
        <v>0</v>
      </c>
      <c r="O341" s="38">
        <v>0</v>
      </c>
      <c r="P341" s="125">
        <f t="shared" si="112"/>
        <v>0</v>
      </c>
      <c r="Q341" s="125">
        <v>0</v>
      </c>
      <c r="R341" s="125">
        <v>0</v>
      </c>
      <c r="S341" s="36">
        <v>0</v>
      </c>
      <c r="T341" s="38">
        <v>0</v>
      </c>
      <c r="U341" s="125">
        <v>0</v>
      </c>
      <c r="V341" s="125">
        <v>0</v>
      </c>
      <c r="W341" s="125">
        <v>0</v>
      </c>
      <c r="X341" s="125">
        <v>0</v>
      </c>
      <c r="Y341" s="38">
        <v>0</v>
      </c>
      <c r="Z341" s="125">
        <f t="shared" si="117"/>
        <v>0</v>
      </c>
      <c r="AA341" s="125">
        <v>0</v>
      </c>
      <c r="AB341" s="125">
        <v>0</v>
      </c>
      <c r="AC341" s="36">
        <v>0</v>
      </c>
      <c r="AD341" s="94"/>
    </row>
    <row r="342" spans="1:30" s="108" customFormat="1" ht="32.450000000000003" customHeight="1" outlineLevel="1" x14ac:dyDescent="0.2">
      <c r="A342" s="114" t="s">
        <v>1400</v>
      </c>
      <c r="B342" s="127" t="s">
        <v>166</v>
      </c>
      <c r="C342" s="38">
        <f t="shared" si="114"/>
        <v>0</v>
      </c>
      <c r="D342" s="125">
        <f t="shared" si="115"/>
        <v>0</v>
      </c>
      <c r="E342" s="76">
        <v>0</v>
      </c>
      <c r="F342" s="126">
        <f t="shared" si="116"/>
        <v>0</v>
      </c>
      <c r="G342" s="125">
        <v>0</v>
      </c>
      <c r="H342" s="125">
        <v>0</v>
      </c>
      <c r="I342" s="125">
        <v>0</v>
      </c>
      <c r="J342" s="76">
        <v>0</v>
      </c>
      <c r="K342" s="126">
        <f t="shared" si="111"/>
        <v>0</v>
      </c>
      <c r="L342" s="125">
        <v>0</v>
      </c>
      <c r="M342" s="125">
        <v>0</v>
      </c>
      <c r="N342" s="125">
        <v>0</v>
      </c>
      <c r="O342" s="38">
        <v>0</v>
      </c>
      <c r="P342" s="125">
        <f t="shared" si="112"/>
        <v>0</v>
      </c>
      <c r="Q342" s="125">
        <v>0</v>
      </c>
      <c r="R342" s="125">
        <v>0</v>
      </c>
      <c r="S342" s="36">
        <v>0</v>
      </c>
      <c r="T342" s="38">
        <v>0</v>
      </c>
      <c r="U342" s="125">
        <v>0</v>
      </c>
      <c r="V342" s="125">
        <v>0</v>
      </c>
      <c r="W342" s="125">
        <v>0</v>
      </c>
      <c r="X342" s="125">
        <v>0</v>
      </c>
      <c r="Y342" s="38">
        <v>0</v>
      </c>
      <c r="Z342" s="125">
        <f t="shared" si="117"/>
        <v>0</v>
      </c>
      <c r="AA342" s="125">
        <v>0</v>
      </c>
      <c r="AB342" s="125">
        <v>0</v>
      </c>
      <c r="AC342" s="36">
        <v>0</v>
      </c>
      <c r="AD342" s="94"/>
    </row>
    <row r="343" spans="1:30" s="108" customFormat="1" ht="28.9" customHeight="1" outlineLevel="1" x14ac:dyDescent="0.2">
      <c r="A343" s="114" t="s">
        <v>1401</v>
      </c>
      <c r="B343" s="127" t="s">
        <v>167</v>
      </c>
      <c r="C343" s="38">
        <f t="shared" si="114"/>
        <v>0</v>
      </c>
      <c r="D343" s="125">
        <f t="shared" si="115"/>
        <v>0</v>
      </c>
      <c r="E343" s="76">
        <v>0</v>
      </c>
      <c r="F343" s="126">
        <f t="shared" si="116"/>
        <v>0</v>
      </c>
      <c r="G343" s="125">
        <v>0</v>
      </c>
      <c r="H343" s="125">
        <v>0</v>
      </c>
      <c r="I343" s="125">
        <v>0</v>
      </c>
      <c r="J343" s="76">
        <v>0</v>
      </c>
      <c r="K343" s="126">
        <f t="shared" si="111"/>
        <v>0</v>
      </c>
      <c r="L343" s="125">
        <v>0</v>
      </c>
      <c r="M343" s="125">
        <v>0</v>
      </c>
      <c r="N343" s="125">
        <v>0</v>
      </c>
      <c r="O343" s="38">
        <v>0</v>
      </c>
      <c r="P343" s="125">
        <f t="shared" si="112"/>
        <v>0</v>
      </c>
      <c r="Q343" s="125">
        <v>0</v>
      </c>
      <c r="R343" s="125">
        <v>0</v>
      </c>
      <c r="S343" s="36">
        <v>0</v>
      </c>
      <c r="T343" s="38">
        <v>0</v>
      </c>
      <c r="U343" s="125">
        <v>0</v>
      </c>
      <c r="V343" s="125">
        <v>0</v>
      </c>
      <c r="W343" s="125">
        <v>0</v>
      </c>
      <c r="X343" s="125">
        <v>0</v>
      </c>
      <c r="Y343" s="38">
        <v>0</v>
      </c>
      <c r="Z343" s="125">
        <f t="shared" si="117"/>
        <v>0</v>
      </c>
      <c r="AA343" s="125">
        <v>0</v>
      </c>
      <c r="AB343" s="125">
        <v>0</v>
      </c>
      <c r="AC343" s="36">
        <v>0</v>
      </c>
      <c r="AD343" s="94"/>
    </row>
    <row r="344" spans="1:30" s="108" customFormat="1" ht="33" customHeight="1" outlineLevel="1" x14ac:dyDescent="0.2">
      <c r="A344" s="114" t="s">
        <v>1402</v>
      </c>
      <c r="B344" s="127" t="s">
        <v>168</v>
      </c>
      <c r="C344" s="38">
        <f t="shared" si="114"/>
        <v>0</v>
      </c>
      <c r="D344" s="125">
        <f t="shared" si="115"/>
        <v>0</v>
      </c>
      <c r="E344" s="76">
        <v>0</v>
      </c>
      <c r="F344" s="126">
        <f t="shared" si="116"/>
        <v>0</v>
      </c>
      <c r="G344" s="125">
        <v>0</v>
      </c>
      <c r="H344" s="125">
        <v>0</v>
      </c>
      <c r="I344" s="125">
        <v>0</v>
      </c>
      <c r="J344" s="76">
        <v>0</v>
      </c>
      <c r="K344" s="126">
        <f t="shared" si="111"/>
        <v>0</v>
      </c>
      <c r="L344" s="125">
        <v>0</v>
      </c>
      <c r="M344" s="125">
        <v>0</v>
      </c>
      <c r="N344" s="125">
        <v>0</v>
      </c>
      <c r="O344" s="38">
        <v>0</v>
      </c>
      <c r="P344" s="125">
        <f t="shared" si="112"/>
        <v>0</v>
      </c>
      <c r="Q344" s="125">
        <v>0</v>
      </c>
      <c r="R344" s="125">
        <v>0</v>
      </c>
      <c r="S344" s="36">
        <v>0</v>
      </c>
      <c r="T344" s="38">
        <v>0</v>
      </c>
      <c r="U344" s="125">
        <v>0</v>
      </c>
      <c r="V344" s="125">
        <v>0</v>
      </c>
      <c r="W344" s="125">
        <v>0</v>
      </c>
      <c r="X344" s="125">
        <v>0</v>
      </c>
      <c r="Y344" s="38">
        <v>0</v>
      </c>
      <c r="Z344" s="125">
        <f t="shared" si="117"/>
        <v>0</v>
      </c>
      <c r="AA344" s="125">
        <v>0</v>
      </c>
      <c r="AB344" s="125">
        <v>0</v>
      </c>
      <c r="AC344" s="36">
        <v>0</v>
      </c>
      <c r="AD344" s="94"/>
    </row>
    <row r="345" spans="1:30" s="108" customFormat="1" ht="31.15" customHeight="1" outlineLevel="1" x14ac:dyDescent="0.2">
      <c r="A345" s="114" t="s">
        <v>1403</v>
      </c>
      <c r="B345" s="127" t="s">
        <v>169</v>
      </c>
      <c r="C345" s="38">
        <f t="shared" si="114"/>
        <v>0</v>
      </c>
      <c r="D345" s="125">
        <f t="shared" si="115"/>
        <v>0</v>
      </c>
      <c r="E345" s="76">
        <v>0</v>
      </c>
      <c r="F345" s="126">
        <f t="shared" si="116"/>
        <v>0</v>
      </c>
      <c r="G345" s="125">
        <v>0</v>
      </c>
      <c r="H345" s="125">
        <v>0</v>
      </c>
      <c r="I345" s="125">
        <v>0</v>
      </c>
      <c r="J345" s="76">
        <v>0</v>
      </c>
      <c r="K345" s="126">
        <f t="shared" si="111"/>
        <v>0</v>
      </c>
      <c r="L345" s="125">
        <v>0</v>
      </c>
      <c r="M345" s="125">
        <v>0</v>
      </c>
      <c r="N345" s="125">
        <v>0</v>
      </c>
      <c r="O345" s="38">
        <v>0</v>
      </c>
      <c r="P345" s="125">
        <f t="shared" si="112"/>
        <v>0</v>
      </c>
      <c r="Q345" s="125">
        <v>0</v>
      </c>
      <c r="R345" s="125">
        <v>0</v>
      </c>
      <c r="S345" s="36">
        <v>0</v>
      </c>
      <c r="T345" s="38">
        <v>0</v>
      </c>
      <c r="U345" s="125">
        <v>0</v>
      </c>
      <c r="V345" s="125">
        <v>0</v>
      </c>
      <c r="W345" s="125">
        <v>0</v>
      </c>
      <c r="X345" s="125">
        <v>0</v>
      </c>
      <c r="Y345" s="38">
        <v>0</v>
      </c>
      <c r="Z345" s="125">
        <f t="shared" si="117"/>
        <v>0</v>
      </c>
      <c r="AA345" s="125">
        <v>0</v>
      </c>
      <c r="AB345" s="125">
        <v>0</v>
      </c>
      <c r="AC345" s="36">
        <v>0</v>
      </c>
      <c r="AD345" s="94"/>
    </row>
    <row r="346" spans="1:30" s="108" customFormat="1" ht="25.15" customHeight="1" outlineLevel="1" x14ac:dyDescent="0.2">
      <c r="A346" s="114" t="s">
        <v>1404</v>
      </c>
      <c r="B346" s="127" t="s">
        <v>170</v>
      </c>
      <c r="C346" s="38">
        <f t="shared" si="114"/>
        <v>0</v>
      </c>
      <c r="D346" s="125">
        <f t="shared" si="115"/>
        <v>0</v>
      </c>
      <c r="E346" s="76">
        <v>0</v>
      </c>
      <c r="F346" s="126">
        <f t="shared" si="116"/>
        <v>0</v>
      </c>
      <c r="G346" s="125">
        <v>0</v>
      </c>
      <c r="H346" s="125">
        <v>0</v>
      </c>
      <c r="I346" s="125">
        <v>0</v>
      </c>
      <c r="J346" s="76">
        <v>0</v>
      </c>
      <c r="K346" s="126">
        <f t="shared" si="111"/>
        <v>0</v>
      </c>
      <c r="L346" s="125">
        <v>0</v>
      </c>
      <c r="M346" s="125">
        <v>0</v>
      </c>
      <c r="N346" s="125">
        <v>0</v>
      </c>
      <c r="O346" s="38">
        <v>0</v>
      </c>
      <c r="P346" s="125">
        <f t="shared" si="112"/>
        <v>0</v>
      </c>
      <c r="Q346" s="125">
        <v>0</v>
      </c>
      <c r="R346" s="125">
        <v>0</v>
      </c>
      <c r="S346" s="36">
        <v>0</v>
      </c>
      <c r="T346" s="38">
        <v>0</v>
      </c>
      <c r="U346" s="125">
        <v>0</v>
      </c>
      <c r="V346" s="125">
        <v>0</v>
      </c>
      <c r="W346" s="125">
        <v>0</v>
      </c>
      <c r="X346" s="125">
        <v>0</v>
      </c>
      <c r="Y346" s="38">
        <v>0</v>
      </c>
      <c r="Z346" s="125">
        <f t="shared" si="117"/>
        <v>0</v>
      </c>
      <c r="AA346" s="125">
        <v>0</v>
      </c>
      <c r="AB346" s="125">
        <v>0</v>
      </c>
      <c r="AC346" s="36">
        <v>0</v>
      </c>
      <c r="AD346" s="94"/>
    </row>
    <row r="347" spans="1:30" s="108" customFormat="1" ht="24" customHeight="1" outlineLevel="1" x14ac:dyDescent="0.2">
      <c r="A347" s="114" t="s">
        <v>1405</v>
      </c>
      <c r="B347" s="127" t="s">
        <v>171</v>
      </c>
      <c r="C347" s="38">
        <f t="shared" si="114"/>
        <v>0</v>
      </c>
      <c r="D347" s="125">
        <f t="shared" si="115"/>
        <v>0</v>
      </c>
      <c r="E347" s="76">
        <v>0</v>
      </c>
      <c r="F347" s="126">
        <f t="shared" si="116"/>
        <v>0</v>
      </c>
      <c r="G347" s="125">
        <v>0</v>
      </c>
      <c r="H347" s="125">
        <v>0</v>
      </c>
      <c r="I347" s="125">
        <v>0</v>
      </c>
      <c r="J347" s="76">
        <v>0</v>
      </c>
      <c r="K347" s="126">
        <f t="shared" si="111"/>
        <v>0</v>
      </c>
      <c r="L347" s="125">
        <v>0</v>
      </c>
      <c r="M347" s="125">
        <v>0</v>
      </c>
      <c r="N347" s="125">
        <v>0</v>
      </c>
      <c r="O347" s="38">
        <v>0</v>
      </c>
      <c r="P347" s="125">
        <f t="shared" si="112"/>
        <v>0</v>
      </c>
      <c r="Q347" s="125">
        <v>0</v>
      </c>
      <c r="R347" s="125">
        <v>0</v>
      </c>
      <c r="S347" s="36">
        <v>0</v>
      </c>
      <c r="T347" s="38">
        <v>0</v>
      </c>
      <c r="U347" s="125">
        <v>0</v>
      </c>
      <c r="V347" s="125">
        <v>0</v>
      </c>
      <c r="W347" s="125">
        <v>0</v>
      </c>
      <c r="X347" s="125">
        <v>0</v>
      </c>
      <c r="Y347" s="38">
        <v>0</v>
      </c>
      <c r="Z347" s="125">
        <f t="shared" si="117"/>
        <v>0</v>
      </c>
      <c r="AA347" s="125">
        <v>0</v>
      </c>
      <c r="AB347" s="125">
        <v>0</v>
      </c>
      <c r="AC347" s="36">
        <v>0</v>
      </c>
      <c r="AD347" s="94"/>
    </row>
    <row r="348" spans="1:30" s="108" customFormat="1" ht="32.450000000000003" customHeight="1" outlineLevel="1" x14ac:dyDescent="0.2">
      <c r="A348" s="114" t="s">
        <v>1406</v>
      </c>
      <c r="B348" s="127" t="s">
        <v>172</v>
      </c>
      <c r="C348" s="38">
        <f t="shared" si="114"/>
        <v>0</v>
      </c>
      <c r="D348" s="125">
        <f t="shared" si="115"/>
        <v>0</v>
      </c>
      <c r="E348" s="76">
        <v>0</v>
      </c>
      <c r="F348" s="126">
        <f t="shared" si="116"/>
        <v>0</v>
      </c>
      <c r="G348" s="125">
        <v>0</v>
      </c>
      <c r="H348" s="125">
        <v>0</v>
      </c>
      <c r="I348" s="125">
        <v>0</v>
      </c>
      <c r="J348" s="76">
        <v>0</v>
      </c>
      <c r="K348" s="126">
        <f t="shared" si="111"/>
        <v>0</v>
      </c>
      <c r="L348" s="125">
        <v>0</v>
      </c>
      <c r="M348" s="125">
        <v>0</v>
      </c>
      <c r="N348" s="125">
        <v>0</v>
      </c>
      <c r="O348" s="38">
        <v>0</v>
      </c>
      <c r="P348" s="125">
        <f t="shared" si="112"/>
        <v>0</v>
      </c>
      <c r="Q348" s="125">
        <v>0</v>
      </c>
      <c r="R348" s="125">
        <v>0</v>
      </c>
      <c r="S348" s="36">
        <v>0</v>
      </c>
      <c r="T348" s="38">
        <v>0</v>
      </c>
      <c r="U348" s="125">
        <v>0</v>
      </c>
      <c r="V348" s="125">
        <v>0</v>
      </c>
      <c r="W348" s="125">
        <v>0</v>
      </c>
      <c r="X348" s="125">
        <v>0</v>
      </c>
      <c r="Y348" s="38">
        <v>0</v>
      </c>
      <c r="Z348" s="125">
        <f t="shared" si="117"/>
        <v>0</v>
      </c>
      <c r="AA348" s="125">
        <v>0</v>
      </c>
      <c r="AB348" s="125">
        <v>0</v>
      </c>
      <c r="AC348" s="36">
        <v>0</v>
      </c>
      <c r="AD348" s="94"/>
    </row>
    <row r="349" spans="1:30" s="108" customFormat="1" ht="30.6" customHeight="1" outlineLevel="1" x14ac:dyDescent="0.2">
      <c r="A349" s="114" t="s">
        <v>1407</v>
      </c>
      <c r="B349" s="127" t="s">
        <v>173</v>
      </c>
      <c r="C349" s="38">
        <f t="shared" si="114"/>
        <v>0</v>
      </c>
      <c r="D349" s="125">
        <f t="shared" si="115"/>
        <v>0</v>
      </c>
      <c r="E349" s="76">
        <v>0</v>
      </c>
      <c r="F349" s="126">
        <f t="shared" si="116"/>
        <v>0</v>
      </c>
      <c r="G349" s="125">
        <v>0</v>
      </c>
      <c r="H349" s="125">
        <v>0</v>
      </c>
      <c r="I349" s="125">
        <v>0</v>
      </c>
      <c r="J349" s="76">
        <v>0</v>
      </c>
      <c r="K349" s="126">
        <f t="shared" si="111"/>
        <v>0</v>
      </c>
      <c r="L349" s="125">
        <v>0</v>
      </c>
      <c r="M349" s="125">
        <v>0</v>
      </c>
      <c r="N349" s="125">
        <v>0</v>
      </c>
      <c r="O349" s="38">
        <v>0</v>
      </c>
      <c r="P349" s="125">
        <f t="shared" si="112"/>
        <v>0</v>
      </c>
      <c r="Q349" s="125">
        <v>0</v>
      </c>
      <c r="R349" s="125">
        <v>0</v>
      </c>
      <c r="S349" s="36">
        <v>0</v>
      </c>
      <c r="T349" s="38">
        <v>0</v>
      </c>
      <c r="U349" s="125">
        <v>0</v>
      </c>
      <c r="V349" s="125">
        <v>0</v>
      </c>
      <c r="W349" s="125">
        <v>0</v>
      </c>
      <c r="X349" s="125">
        <v>0</v>
      </c>
      <c r="Y349" s="38">
        <v>0</v>
      </c>
      <c r="Z349" s="125">
        <f t="shared" si="117"/>
        <v>0</v>
      </c>
      <c r="AA349" s="125">
        <v>0</v>
      </c>
      <c r="AB349" s="125">
        <v>0</v>
      </c>
      <c r="AC349" s="36">
        <v>0</v>
      </c>
      <c r="AD349" s="94"/>
    </row>
    <row r="350" spans="1:30" s="108" customFormat="1" ht="33" customHeight="1" outlineLevel="1" x14ac:dyDescent="0.2">
      <c r="A350" s="114" t="s">
        <v>1408</v>
      </c>
      <c r="B350" s="127" t="s">
        <v>174</v>
      </c>
      <c r="C350" s="38">
        <f t="shared" si="114"/>
        <v>0</v>
      </c>
      <c r="D350" s="125">
        <f t="shared" si="115"/>
        <v>0</v>
      </c>
      <c r="E350" s="76">
        <v>0</v>
      </c>
      <c r="F350" s="126">
        <f t="shared" si="116"/>
        <v>0</v>
      </c>
      <c r="G350" s="125">
        <v>0</v>
      </c>
      <c r="H350" s="125">
        <v>0</v>
      </c>
      <c r="I350" s="125">
        <v>0</v>
      </c>
      <c r="J350" s="76">
        <v>0</v>
      </c>
      <c r="K350" s="126">
        <f t="shared" si="111"/>
        <v>0</v>
      </c>
      <c r="L350" s="125">
        <v>0</v>
      </c>
      <c r="M350" s="125">
        <v>0</v>
      </c>
      <c r="N350" s="125">
        <v>0</v>
      </c>
      <c r="O350" s="38">
        <v>0</v>
      </c>
      <c r="P350" s="125">
        <f t="shared" si="112"/>
        <v>0</v>
      </c>
      <c r="Q350" s="125">
        <v>0</v>
      </c>
      <c r="R350" s="125">
        <v>0</v>
      </c>
      <c r="S350" s="36">
        <v>0</v>
      </c>
      <c r="T350" s="38">
        <v>0</v>
      </c>
      <c r="U350" s="125">
        <v>0</v>
      </c>
      <c r="V350" s="125">
        <v>0</v>
      </c>
      <c r="W350" s="125">
        <v>0</v>
      </c>
      <c r="X350" s="125">
        <v>0</v>
      </c>
      <c r="Y350" s="38">
        <v>0</v>
      </c>
      <c r="Z350" s="125">
        <f t="shared" si="117"/>
        <v>0</v>
      </c>
      <c r="AA350" s="125">
        <v>0</v>
      </c>
      <c r="AB350" s="125">
        <v>0</v>
      </c>
      <c r="AC350" s="36">
        <v>0</v>
      </c>
      <c r="AD350" s="94"/>
    </row>
    <row r="351" spans="1:30" s="108" customFormat="1" ht="35.450000000000003" customHeight="1" outlineLevel="1" x14ac:dyDescent="0.2">
      <c r="A351" s="114" t="s">
        <v>1409</v>
      </c>
      <c r="B351" s="127" t="s">
        <v>175</v>
      </c>
      <c r="C351" s="38">
        <f t="shared" si="114"/>
        <v>0</v>
      </c>
      <c r="D351" s="125">
        <f t="shared" si="115"/>
        <v>0</v>
      </c>
      <c r="E351" s="76">
        <v>0</v>
      </c>
      <c r="F351" s="126">
        <f t="shared" si="116"/>
        <v>0</v>
      </c>
      <c r="G351" s="125">
        <v>0</v>
      </c>
      <c r="H351" s="125">
        <v>0</v>
      </c>
      <c r="I351" s="125">
        <v>0</v>
      </c>
      <c r="J351" s="76">
        <v>0</v>
      </c>
      <c r="K351" s="126">
        <f t="shared" si="111"/>
        <v>0</v>
      </c>
      <c r="L351" s="125">
        <v>0</v>
      </c>
      <c r="M351" s="125">
        <v>0</v>
      </c>
      <c r="N351" s="125">
        <v>0</v>
      </c>
      <c r="O351" s="38">
        <v>0</v>
      </c>
      <c r="P351" s="125">
        <f t="shared" si="112"/>
        <v>0</v>
      </c>
      <c r="Q351" s="125">
        <v>0</v>
      </c>
      <c r="R351" s="125">
        <v>0</v>
      </c>
      <c r="S351" s="36">
        <v>0</v>
      </c>
      <c r="T351" s="38">
        <v>0</v>
      </c>
      <c r="U351" s="125">
        <v>0</v>
      </c>
      <c r="V351" s="125">
        <v>0</v>
      </c>
      <c r="W351" s="125">
        <v>0</v>
      </c>
      <c r="X351" s="125">
        <v>0</v>
      </c>
      <c r="Y351" s="38">
        <v>0</v>
      </c>
      <c r="Z351" s="125">
        <f t="shared" si="117"/>
        <v>0</v>
      </c>
      <c r="AA351" s="125">
        <v>0</v>
      </c>
      <c r="AB351" s="125">
        <v>0</v>
      </c>
      <c r="AC351" s="36">
        <v>0</v>
      </c>
      <c r="AD351" s="94"/>
    </row>
    <row r="352" spans="1:30" s="108" customFormat="1" ht="33" customHeight="1" outlineLevel="1" x14ac:dyDescent="0.2">
      <c r="A352" s="114" t="s">
        <v>1410</v>
      </c>
      <c r="B352" s="127" t="s">
        <v>176</v>
      </c>
      <c r="C352" s="38">
        <f t="shared" si="114"/>
        <v>0</v>
      </c>
      <c r="D352" s="125">
        <f t="shared" si="115"/>
        <v>0</v>
      </c>
      <c r="E352" s="76">
        <v>0</v>
      </c>
      <c r="F352" s="126">
        <f t="shared" si="116"/>
        <v>0</v>
      </c>
      <c r="G352" s="125">
        <v>0</v>
      </c>
      <c r="H352" s="125">
        <v>0</v>
      </c>
      <c r="I352" s="125">
        <v>0</v>
      </c>
      <c r="J352" s="76">
        <v>0</v>
      </c>
      <c r="K352" s="126">
        <f t="shared" si="111"/>
        <v>0</v>
      </c>
      <c r="L352" s="125">
        <v>0</v>
      </c>
      <c r="M352" s="125">
        <v>0</v>
      </c>
      <c r="N352" s="125">
        <v>0</v>
      </c>
      <c r="O352" s="38">
        <v>0</v>
      </c>
      <c r="P352" s="125">
        <f t="shared" si="112"/>
        <v>0</v>
      </c>
      <c r="Q352" s="125">
        <v>0</v>
      </c>
      <c r="R352" s="125">
        <v>0</v>
      </c>
      <c r="S352" s="36">
        <v>0</v>
      </c>
      <c r="T352" s="38">
        <v>0</v>
      </c>
      <c r="U352" s="125">
        <v>0</v>
      </c>
      <c r="V352" s="125">
        <v>0</v>
      </c>
      <c r="W352" s="125">
        <v>0</v>
      </c>
      <c r="X352" s="125">
        <v>0</v>
      </c>
      <c r="Y352" s="38">
        <v>0</v>
      </c>
      <c r="Z352" s="125">
        <f t="shared" si="117"/>
        <v>0</v>
      </c>
      <c r="AA352" s="125">
        <v>0</v>
      </c>
      <c r="AB352" s="125">
        <v>0</v>
      </c>
      <c r="AC352" s="36">
        <v>0</v>
      </c>
      <c r="AD352" s="94"/>
    </row>
    <row r="353" spans="1:30" s="108" customFormat="1" ht="31.9" customHeight="1" outlineLevel="1" x14ac:dyDescent="0.2">
      <c r="A353" s="114" t="s">
        <v>1411</v>
      </c>
      <c r="B353" s="127" t="s">
        <v>177</v>
      </c>
      <c r="C353" s="38">
        <f t="shared" si="114"/>
        <v>0</v>
      </c>
      <c r="D353" s="125">
        <f t="shared" si="115"/>
        <v>0</v>
      </c>
      <c r="E353" s="76">
        <v>0</v>
      </c>
      <c r="F353" s="126">
        <f t="shared" si="116"/>
        <v>0</v>
      </c>
      <c r="G353" s="125">
        <v>0</v>
      </c>
      <c r="H353" s="125">
        <v>0</v>
      </c>
      <c r="I353" s="125">
        <v>0</v>
      </c>
      <c r="J353" s="76">
        <v>0</v>
      </c>
      <c r="K353" s="126">
        <f t="shared" si="111"/>
        <v>0</v>
      </c>
      <c r="L353" s="125">
        <v>0</v>
      </c>
      <c r="M353" s="125">
        <v>0</v>
      </c>
      <c r="N353" s="125">
        <v>0</v>
      </c>
      <c r="O353" s="38">
        <v>0</v>
      </c>
      <c r="P353" s="125">
        <f t="shared" si="112"/>
        <v>0</v>
      </c>
      <c r="Q353" s="125">
        <v>0</v>
      </c>
      <c r="R353" s="125">
        <v>0</v>
      </c>
      <c r="S353" s="36">
        <v>0</v>
      </c>
      <c r="T353" s="38">
        <v>0</v>
      </c>
      <c r="U353" s="125">
        <v>0</v>
      </c>
      <c r="V353" s="125">
        <v>0</v>
      </c>
      <c r="W353" s="125">
        <v>0</v>
      </c>
      <c r="X353" s="125">
        <v>0</v>
      </c>
      <c r="Y353" s="38">
        <v>0</v>
      </c>
      <c r="Z353" s="125">
        <f t="shared" si="117"/>
        <v>0</v>
      </c>
      <c r="AA353" s="125">
        <v>0</v>
      </c>
      <c r="AB353" s="125">
        <v>0</v>
      </c>
      <c r="AC353" s="36">
        <v>0</v>
      </c>
      <c r="AD353" s="94"/>
    </row>
    <row r="354" spans="1:30" s="108" customFormat="1" ht="25.15" customHeight="1" outlineLevel="1" x14ac:dyDescent="0.2">
      <c r="A354" s="114" t="s">
        <v>1412</v>
      </c>
      <c r="B354" s="127" t="s">
        <v>178</v>
      </c>
      <c r="C354" s="38">
        <f t="shared" si="114"/>
        <v>0</v>
      </c>
      <c r="D354" s="125">
        <f t="shared" si="115"/>
        <v>0</v>
      </c>
      <c r="E354" s="76">
        <v>0</v>
      </c>
      <c r="F354" s="126">
        <f t="shared" si="116"/>
        <v>0</v>
      </c>
      <c r="G354" s="125">
        <v>0</v>
      </c>
      <c r="H354" s="125">
        <v>0</v>
      </c>
      <c r="I354" s="125">
        <v>0</v>
      </c>
      <c r="J354" s="76">
        <v>0</v>
      </c>
      <c r="K354" s="126">
        <f t="shared" si="111"/>
        <v>0</v>
      </c>
      <c r="L354" s="125">
        <v>0</v>
      </c>
      <c r="M354" s="125">
        <v>0</v>
      </c>
      <c r="N354" s="125">
        <v>0</v>
      </c>
      <c r="O354" s="38">
        <v>0</v>
      </c>
      <c r="P354" s="125">
        <f t="shared" si="112"/>
        <v>0</v>
      </c>
      <c r="Q354" s="125">
        <v>0</v>
      </c>
      <c r="R354" s="125">
        <v>0</v>
      </c>
      <c r="S354" s="36">
        <v>0</v>
      </c>
      <c r="T354" s="38">
        <v>0</v>
      </c>
      <c r="U354" s="125">
        <v>0</v>
      </c>
      <c r="V354" s="125">
        <v>0</v>
      </c>
      <c r="W354" s="125">
        <v>0</v>
      </c>
      <c r="X354" s="125">
        <v>0</v>
      </c>
      <c r="Y354" s="38">
        <v>0</v>
      </c>
      <c r="Z354" s="125">
        <f t="shared" si="117"/>
        <v>0</v>
      </c>
      <c r="AA354" s="125">
        <v>0</v>
      </c>
      <c r="AB354" s="125">
        <v>0</v>
      </c>
      <c r="AC354" s="36">
        <v>0</v>
      </c>
      <c r="AD354" s="94"/>
    </row>
    <row r="355" spans="1:30" s="108" customFormat="1" ht="24" customHeight="1" outlineLevel="1" x14ac:dyDescent="0.2">
      <c r="A355" s="114" t="s">
        <v>1413</v>
      </c>
      <c r="B355" s="127" t="s">
        <v>179</v>
      </c>
      <c r="C355" s="38">
        <f t="shared" si="114"/>
        <v>0</v>
      </c>
      <c r="D355" s="125">
        <f t="shared" si="115"/>
        <v>0</v>
      </c>
      <c r="E355" s="76">
        <v>0</v>
      </c>
      <c r="F355" s="126">
        <f t="shared" si="116"/>
        <v>0</v>
      </c>
      <c r="G355" s="125">
        <v>0</v>
      </c>
      <c r="H355" s="125">
        <v>0</v>
      </c>
      <c r="I355" s="125">
        <v>0</v>
      </c>
      <c r="J355" s="76">
        <v>0</v>
      </c>
      <c r="K355" s="126">
        <f t="shared" si="111"/>
        <v>0</v>
      </c>
      <c r="L355" s="125">
        <v>0</v>
      </c>
      <c r="M355" s="125">
        <v>0</v>
      </c>
      <c r="N355" s="125">
        <v>0</v>
      </c>
      <c r="O355" s="38">
        <v>0</v>
      </c>
      <c r="P355" s="125">
        <f t="shared" si="112"/>
        <v>0</v>
      </c>
      <c r="Q355" s="125">
        <v>0</v>
      </c>
      <c r="R355" s="125">
        <v>0</v>
      </c>
      <c r="S355" s="36">
        <v>0</v>
      </c>
      <c r="T355" s="38">
        <v>0</v>
      </c>
      <c r="U355" s="125">
        <v>0</v>
      </c>
      <c r="V355" s="125">
        <v>0</v>
      </c>
      <c r="W355" s="125">
        <v>0</v>
      </c>
      <c r="X355" s="125">
        <v>0</v>
      </c>
      <c r="Y355" s="38">
        <v>0</v>
      </c>
      <c r="Z355" s="125">
        <f t="shared" si="117"/>
        <v>0</v>
      </c>
      <c r="AA355" s="125">
        <v>0</v>
      </c>
      <c r="AB355" s="125">
        <v>0</v>
      </c>
      <c r="AC355" s="36">
        <v>0</v>
      </c>
      <c r="AD355" s="94"/>
    </row>
    <row r="356" spans="1:30" s="108" customFormat="1" ht="42" customHeight="1" outlineLevel="1" x14ac:dyDescent="0.2">
      <c r="A356" s="114" t="s">
        <v>1414</v>
      </c>
      <c r="B356" s="127" t="s">
        <v>180</v>
      </c>
      <c r="C356" s="38">
        <f t="shared" si="114"/>
        <v>0</v>
      </c>
      <c r="D356" s="125">
        <f t="shared" si="115"/>
        <v>0</v>
      </c>
      <c r="E356" s="76">
        <v>0</v>
      </c>
      <c r="F356" s="126">
        <f t="shared" si="116"/>
        <v>0</v>
      </c>
      <c r="G356" s="125">
        <v>0</v>
      </c>
      <c r="H356" s="125">
        <v>0</v>
      </c>
      <c r="I356" s="125">
        <v>0</v>
      </c>
      <c r="J356" s="76">
        <v>0</v>
      </c>
      <c r="K356" s="126">
        <f t="shared" si="111"/>
        <v>0</v>
      </c>
      <c r="L356" s="125">
        <v>0</v>
      </c>
      <c r="M356" s="125">
        <v>0</v>
      </c>
      <c r="N356" s="125">
        <v>0</v>
      </c>
      <c r="O356" s="38">
        <v>0</v>
      </c>
      <c r="P356" s="125">
        <f t="shared" si="112"/>
        <v>0</v>
      </c>
      <c r="Q356" s="125">
        <v>0</v>
      </c>
      <c r="R356" s="125">
        <v>0</v>
      </c>
      <c r="S356" s="36">
        <v>0</v>
      </c>
      <c r="T356" s="38">
        <v>0</v>
      </c>
      <c r="U356" s="125">
        <v>0</v>
      </c>
      <c r="V356" s="125">
        <v>0</v>
      </c>
      <c r="W356" s="125">
        <v>0</v>
      </c>
      <c r="X356" s="125">
        <v>0</v>
      </c>
      <c r="Y356" s="38">
        <v>0</v>
      </c>
      <c r="Z356" s="125">
        <f t="shared" si="117"/>
        <v>0</v>
      </c>
      <c r="AA356" s="125">
        <v>0</v>
      </c>
      <c r="AB356" s="125">
        <v>0</v>
      </c>
      <c r="AC356" s="36">
        <v>0</v>
      </c>
      <c r="AD356" s="94"/>
    </row>
    <row r="357" spans="1:30" s="108" customFormat="1" ht="28.9" customHeight="1" outlineLevel="1" x14ac:dyDescent="0.2">
      <c r="A357" s="114" t="s">
        <v>1415</v>
      </c>
      <c r="B357" s="127" t="s">
        <v>181</v>
      </c>
      <c r="C357" s="38">
        <f t="shared" si="114"/>
        <v>0</v>
      </c>
      <c r="D357" s="125">
        <f t="shared" si="115"/>
        <v>0</v>
      </c>
      <c r="E357" s="76">
        <v>0</v>
      </c>
      <c r="F357" s="126">
        <f t="shared" si="116"/>
        <v>0</v>
      </c>
      <c r="G357" s="125">
        <v>0</v>
      </c>
      <c r="H357" s="125">
        <v>0</v>
      </c>
      <c r="I357" s="125">
        <v>0</v>
      </c>
      <c r="J357" s="76">
        <v>0</v>
      </c>
      <c r="K357" s="126">
        <f t="shared" si="111"/>
        <v>0</v>
      </c>
      <c r="L357" s="125">
        <v>0</v>
      </c>
      <c r="M357" s="125">
        <v>0</v>
      </c>
      <c r="N357" s="125">
        <v>0</v>
      </c>
      <c r="O357" s="38">
        <v>0</v>
      </c>
      <c r="P357" s="125">
        <f t="shared" si="112"/>
        <v>0</v>
      </c>
      <c r="Q357" s="125">
        <v>0</v>
      </c>
      <c r="R357" s="125">
        <v>0</v>
      </c>
      <c r="S357" s="36">
        <v>0</v>
      </c>
      <c r="T357" s="38">
        <v>0</v>
      </c>
      <c r="U357" s="125">
        <v>0</v>
      </c>
      <c r="V357" s="125">
        <v>0</v>
      </c>
      <c r="W357" s="125">
        <v>0</v>
      </c>
      <c r="X357" s="36">
        <v>0</v>
      </c>
      <c r="Y357" s="38">
        <v>0</v>
      </c>
      <c r="Z357" s="125">
        <f t="shared" ref="Z357:Z371" si="118">AA357+AB357+AC357</f>
        <v>0</v>
      </c>
      <c r="AA357" s="125">
        <v>0</v>
      </c>
      <c r="AB357" s="125">
        <v>0</v>
      </c>
      <c r="AC357" s="36">
        <v>0</v>
      </c>
      <c r="AD357" s="94"/>
    </row>
    <row r="358" spans="1:30" s="108" customFormat="1" ht="42" customHeight="1" outlineLevel="1" x14ac:dyDescent="0.2">
      <c r="A358" s="114" t="s">
        <v>1416</v>
      </c>
      <c r="B358" s="127" t="s">
        <v>182</v>
      </c>
      <c r="C358" s="38">
        <f t="shared" si="114"/>
        <v>0</v>
      </c>
      <c r="D358" s="125">
        <f t="shared" si="115"/>
        <v>0</v>
      </c>
      <c r="E358" s="76">
        <v>0</v>
      </c>
      <c r="F358" s="126">
        <f t="shared" si="116"/>
        <v>0</v>
      </c>
      <c r="G358" s="125">
        <v>0</v>
      </c>
      <c r="H358" s="125">
        <v>0</v>
      </c>
      <c r="I358" s="125">
        <v>0</v>
      </c>
      <c r="J358" s="76">
        <v>0</v>
      </c>
      <c r="K358" s="126">
        <f t="shared" si="111"/>
        <v>0</v>
      </c>
      <c r="L358" s="125">
        <v>0</v>
      </c>
      <c r="M358" s="125">
        <v>0</v>
      </c>
      <c r="N358" s="125">
        <v>0</v>
      </c>
      <c r="O358" s="38">
        <v>0</v>
      </c>
      <c r="P358" s="125">
        <f t="shared" si="112"/>
        <v>0</v>
      </c>
      <c r="Q358" s="125">
        <v>0</v>
      </c>
      <c r="R358" s="125">
        <v>0</v>
      </c>
      <c r="S358" s="36">
        <v>0</v>
      </c>
      <c r="T358" s="38">
        <v>0</v>
      </c>
      <c r="U358" s="125">
        <v>0</v>
      </c>
      <c r="V358" s="125">
        <v>0</v>
      </c>
      <c r="W358" s="125">
        <v>0</v>
      </c>
      <c r="X358" s="36">
        <v>0</v>
      </c>
      <c r="Y358" s="38">
        <v>0</v>
      </c>
      <c r="Z358" s="125">
        <f t="shared" si="118"/>
        <v>0</v>
      </c>
      <c r="AA358" s="125">
        <v>0</v>
      </c>
      <c r="AB358" s="125">
        <v>0</v>
      </c>
      <c r="AC358" s="36">
        <v>0</v>
      </c>
      <c r="AD358" s="94"/>
    </row>
    <row r="359" spans="1:30" s="108" customFormat="1" ht="23.45" customHeight="1" outlineLevel="1" x14ac:dyDescent="0.2">
      <c r="A359" s="114" t="s">
        <v>1417</v>
      </c>
      <c r="B359" s="127" t="s">
        <v>183</v>
      </c>
      <c r="C359" s="38">
        <f t="shared" si="114"/>
        <v>0</v>
      </c>
      <c r="D359" s="125">
        <f t="shared" si="115"/>
        <v>0</v>
      </c>
      <c r="E359" s="76">
        <v>0</v>
      </c>
      <c r="F359" s="126">
        <f t="shared" si="116"/>
        <v>0</v>
      </c>
      <c r="G359" s="125">
        <v>0</v>
      </c>
      <c r="H359" s="125">
        <v>0</v>
      </c>
      <c r="I359" s="125">
        <v>0</v>
      </c>
      <c r="J359" s="76">
        <v>0</v>
      </c>
      <c r="K359" s="126">
        <f t="shared" si="111"/>
        <v>0</v>
      </c>
      <c r="L359" s="125">
        <v>0</v>
      </c>
      <c r="M359" s="125">
        <v>0</v>
      </c>
      <c r="N359" s="125">
        <v>0</v>
      </c>
      <c r="O359" s="38">
        <v>0</v>
      </c>
      <c r="P359" s="125">
        <f t="shared" si="112"/>
        <v>0</v>
      </c>
      <c r="Q359" s="125">
        <v>0</v>
      </c>
      <c r="R359" s="125">
        <v>0</v>
      </c>
      <c r="S359" s="36">
        <v>0</v>
      </c>
      <c r="T359" s="38">
        <v>0</v>
      </c>
      <c r="U359" s="125">
        <v>0</v>
      </c>
      <c r="V359" s="125">
        <v>0</v>
      </c>
      <c r="W359" s="125">
        <v>0</v>
      </c>
      <c r="X359" s="36">
        <v>0</v>
      </c>
      <c r="Y359" s="38">
        <v>0</v>
      </c>
      <c r="Z359" s="125">
        <f t="shared" si="118"/>
        <v>0</v>
      </c>
      <c r="AA359" s="125">
        <v>0</v>
      </c>
      <c r="AB359" s="125">
        <v>0</v>
      </c>
      <c r="AC359" s="36">
        <v>0</v>
      </c>
      <c r="AD359" s="94"/>
    </row>
    <row r="360" spans="1:30" s="108" customFormat="1" ht="46.9" customHeight="1" outlineLevel="1" x14ac:dyDescent="0.2">
      <c r="A360" s="114" t="s">
        <v>1418</v>
      </c>
      <c r="B360" s="127" t="s">
        <v>359</v>
      </c>
      <c r="C360" s="38">
        <f t="shared" si="114"/>
        <v>0</v>
      </c>
      <c r="D360" s="125">
        <f t="shared" si="115"/>
        <v>0</v>
      </c>
      <c r="E360" s="76">
        <v>0</v>
      </c>
      <c r="F360" s="126">
        <f t="shared" si="116"/>
        <v>0</v>
      </c>
      <c r="G360" s="125">
        <v>0</v>
      </c>
      <c r="H360" s="125">
        <v>0</v>
      </c>
      <c r="I360" s="125">
        <v>0</v>
      </c>
      <c r="J360" s="76">
        <v>0</v>
      </c>
      <c r="K360" s="126">
        <f t="shared" si="111"/>
        <v>0</v>
      </c>
      <c r="L360" s="125">
        <v>0</v>
      </c>
      <c r="M360" s="125">
        <v>0</v>
      </c>
      <c r="N360" s="125">
        <v>0</v>
      </c>
      <c r="O360" s="38">
        <v>0</v>
      </c>
      <c r="P360" s="125">
        <f t="shared" si="112"/>
        <v>0</v>
      </c>
      <c r="Q360" s="125">
        <v>0</v>
      </c>
      <c r="R360" s="125">
        <v>0</v>
      </c>
      <c r="S360" s="36">
        <v>0</v>
      </c>
      <c r="T360" s="38">
        <v>0</v>
      </c>
      <c r="U360" s="125">
        <v>0</v>
      </c>
      <c r="V360" s="125">
        <v>0</v>
      </c>
      <c r="W360" s="125">
        <v>0</v>
      </c>
      <c r="X360" s="36">
        <v>0</v>
      </c>
      <c r="Y360" s="38">
        <v>0</v>
      </c>
      <c r="Z360" s="125">
        <f t="shared" si="118"/>
        <v>0</v>
      </c>
      <c r="AA360" s="125">
        <v>0</v>
      </c>
      <c r="AB360" s="125">
        <v>0</v>
      </c>
      <c r="AC360" s="36">
        <v>0</v>
      </c>
      <c r="AD360" s="94"/>
    </row>
    <row r="361" spans="1:30" s="108" customFormat="1" ht="27" customHeight="1" outlineLevel="1" x14ac:dyDescent="0.2">
      <c r="A361" s="114" t="s">
        <v>1419</v>
      </c>
      <c r="B361" s="127" t="s">
        <v>184</v>
      </c>
      <c r="C361" s="38">
        <f t="shared" si="114"/>
        <v>0</v>
      </c>
      <c r="D361" s="125">
        <f t="shared" si="115"/>
        <v>0</v>
      </c>
      <c r="E361" s="76">
        <v>0</v>
      </c>
      <c r="F361" s="126">
        <f t="shared" si="116"/>
        <v>0</v>
      </c>
      <c r="G361" s="125">
        <v>0</v>
      </c>
      <c r="H361" s="125">
        <v>0</v>
      </c>
      <c r="I361" s="125">
        <v>0</v>
      </c>
      <c r="J361" s="76">
        <v>0</v>
      </c>
      <c r="K361" s="126">
        <f t="shared" si="111"/>
        <v>0</v>
      </c>
      <c r="L361" s="125">
        <v>0</v>
      </c>
      <c r="M361" s="125">
        <v>0</v>
      </c>
      <c r="N361" s="125">
        <v>0</v>
      </c>
      <c r="O361" s="38">
        <v>0</v>
      </c>
      <c r="P361" s="125">
        <f t="shared" si="112"/>
        <v>0</v>
      </c>
      <c r="Q361" s="125">
        <v>0</v>
      </c>
      <c r="R361" s="125">
        <v>0</v>
      </c>
      <c r="S361" s="36">
        <v>0</v>
      </c>
      <c r="T361" s="38">
        <v>0</v>
      </c>
      <c r="U361" s="125">
        <v>0</v>
      </c>
      <c r="V361" s="125">
        <v>0</v>
      </c>
      <c r="W361" s="125">
        <v>0</v>
      </c>
      <c r="X361" s="36">
        <v>0</v>
      </c>
      <c r="Y361" s="38">
        <v>0</v>
      </c>
      <c r="Z361" s="125">
        <f t="shared" si="118"/>
        <v>0</v>
      </c>
      <c r="AA361" s="125">
        <v>0</v>
      </c>
      <c r="AB361" s="125">
        <v>0</v>
      </c>
      <c r="AC361" s="36">
        <v>0</v>
      </c>
      <c r="AD361" s="94"/>
    </row>
    <row r="362" spans="1:30" s="108" customFormat="1" ht="34.15" customHeight="1" outlineLevel="1" x14ac:dyDescent="0.2">
      <c r="A362" s="114" t="s">
        <v>1420</v>
      </c>
      <c r="B362" s="127" t="s">
        <v>185</v>
      </c>
      <c r="C362" s="38">
        <f t="shared" si="114"/>
        <v>0</v>
      </c>
      <c r="D362" s="125">
        <f t="shared" si="115"/>
        <v>0</v>
      </c>
      <c r="E362" s="76">
        <v>0</v>
      </c>
      <c r="F362" s="126">
        <f t="shared" si="116"/>
        <v>0</v>
      </c>
      <c r="G362" s="125">
        <v>0</v>
      </c>
      <c r="H362" s="125">
        <v>0</v>
      </c>
      <c r="I362" s="125">
        <v>0</v>
      </c>
      <c r="J362" s="76">
        <v>0</v>
      </c>
      <c r="K362" s="126">
        <f t="shared" si="111"/>
        <v>0</v>
      </c>
      <c r="L362" s="125">
        <v>0</v>
      </c>
      <c r="M362" s="125">
        <v>0</v>
      </c>
      <c r="N362" s="125">
        <v>0</v>
      </c>
      <c r="O362" s="38">
        <v>0</v>
      </c>
      <c r="P362" s="125">
        <f t="shared" si="112"/>
        <v>0</v>
      </c>
      <c r="Q362" s="125">
        <v>0</v>
      </c>
      <c r="R362" s="125">
        <v>0</v>
      </c>
      <c r="S362" s="36">
        <v>0</v>
      </c>
      <c r="T362" s="38">
        <v>0</v>
      </c>
      <c r="U362" s="125">
        <v>0</v>
      </c>
      <c r="V362" s="125">
        <v>0</v>
      </c>
      <c r="W362" s="125">
        <v>0</v>
      </c>
      <c r="X362" s="36">
        <v>0</v>
      </c>
      <c r="Y362" s="38">
        <v>0</v>
      </c>
      <c r="Z362" s="125">
        <f t="shared" si="118"/>
        <v>0</v>
      </c>
      <c r="AA362" s="125">
        <v>0</v>
      </c>
      <c r="AB362" s="125">
        <v>0</v>
      </c>
      <c r="AC362" s="36">
        <v>0</v>
      </c>
      <c r="AD362" s="94"/>
    </row>
    <row r="363" spans="1:30" s="108" customFormat="1" ht="27" customHeight="1" outlineLevel="1" x14ac:dyDescent="0.2">
      <c r="A363" s="114" t="s">
        <v>1421</v>
      </c>
      <c r="B363" s="127" t="s">
        <v>186</v>
      </c>
      <c r="C363" s="38">
        <f t="shared" si="114"/>
        <v>0</v>
      </c>
      <c r="D363" s="125">
        <f t="shared" si="115"/>
        <v>0</v>
      </c>
      <c r="E363" s="76">
        <v>0</v>
      </c>
      <c r="F363" s="126">
        <f t="shared" si="116"/>
        <v>0</v>
      </c>
      <c r="G363" s="125">
        <v>0</v>
      </c>
      <c r="H363" s="125">
        <v>0</v>
      </c>
      <c r="I363" s="125">
        <v>0</v>
      </c>
      <c r="J363" s="76">
        <v>0</v>
      </c>
      <c r="K363" s="126">
        <f t="shared" si="111"/>
        <v>0</v>
      </c>
      <c r="L363" s="125">
        <v>0</v>
      </c>
      <c r="M363" s="125">
        <v>0</v>
      </c>
      <c r="N363" s="125">
        <v>0</v>
      </c>
      <c r="O363" s="38">
        <v>0</v>
      </c>
      <c r="P363" s="125">
        <f t="shared" si="112"/>
        <v>0</v>
      </c>
      <c r="Q363" s="125">
        <v>0</v>
      </c>
      <c r="R363" s="125">
        <v>0</v>
      </c>
      <c r="S363" s="36">
        <v>0</v>
      </c>
      <c r="T363" s="38">
        <v>0</v>
      </c>
      <c r="U363" s="125">
        <v>0</v>
      </c>
      <c r="V363" s="125">
        <v>0</v>
      </c>
      <c r="W363" s="125">
        <v>0</v>
      </c>
      <c r="X363" s="36">
        <v>0</v>
      </c>
      <c r="Y363" s="38">
        <v>0</v>
      </c>
      <c r="Z363" s="125">
        <f t="shared" si="118"/>
        <v>0</v>
      </c>
      <c r="AA363" s="125">
        <v>0</v>
      </c>
      <c r="AB363" s="125">
        <v>0</v>
      </c>
      <c r="AC363" s="36">
        <v>0</v>
      </c>
      <c r="AD363" s="94"/>
    </row>
    <row r="364" spans="1:30" s="108" customFormat="1" ht="26.45" customHeight="1" outlineLevel="1" x14ac:dyDescent="0.2">
      <c r="A364" s="114" t="s">
        <v>1422</v>
      </c>
      <c r="B364" s="127" t="s">
        <v>187</v>
      </c>
      <c r="C364" s="38">
        <f t="shared" si="114"/>
        <v>0</v>
      </c>
      <c r="D364" s="125">
        <f t="shared" si="115"/>
        <v>0</v>
      </c>
      <c r="E364" s="76">
        <v>0</v>
      </c>
      <c r="F364" s="126">
        <f t="shared" si="116"/>
        <v>0</v>
      </c>
      <c r="G364" s="125">
        <v>0</v>
      </c>
      <c r="H364" s="125">
        <v>0</v>
      </c>
      <c r="I364" s="125">
        <v>0</v>
      </c>
      <c r="J364" s="76">
        <v>0</v>
      </c>
      <c r="K364" s="126">
        <f t="shared" si="111"/>
        <v>0</v>
      </c>
      <c r="L364" s="125">
        <v>0</v>
      </c>
      <c r="M364" s="125">
        <v>0</v>
      </c>
      <c r="N364" s="125">
        <v>0</v>
      </c>
      <c r="O364" s="38">
        <v>0</v>
      </c>
      <c r="P364" s="125">
        <f t="shared" si="112"/>
        <v>0</v>
      </c>
      <c r="Q364" s="125">
        <v>0</v>
      </c>
      <c r="R364" s="125">
        <v>0</v>
      </c>
      <c r="S364" s="36">
        <v>0</v>
      </c>
      <c r="T364" s="38">
        <v>0</v>
      </c>
      <c r="U364" s="125">
        <v>0</v>
      </c>
      <c r="V364" s="125">
        <v>0</v>
      </c>
      <c r="W364" s="125">
        <v>0</v>
      </c>
      <c r="X364" s="36">
        <v>0</v>
      </c>
      <c r="Y364" s="38">
        <v>0</v>
      </c>
      <c r="Z364" s="125">
        <f t="shared" si="118"/>
        <v>0</v>
      </c>
      <c r="AA364" s="125">
        <v>0</v>
      </c>
      <c r="AB364" s="125">
        <v>0</v>
      </c>
      <c r="AC364" s="36">
        <v>0</v>
      </c>
      <c r="AD364" s="94"/>
    </row>
    <row r="365" spans="1:30" s="108" customFormat="1" ht="25.9" customHeight="1" outlineLevel="1" x14ac:dyDescent="0.2">
      <c r="A365" s="114" t="s">
        <v>1423</v>
      </c>
      <c r="B365" s="127" t="s">
        <v>188</v>
      </c>
      <c r="C365" s="38">
        <f t="shared" si="114"/>
        <v>0</v>
      </c>
      <c r="D365" s="125">
        <f t="shared" si="115"/>
        <v>0</v>
      </c>
      <c r="E365" s="76">
        <v>0</v>
      </c>
      <c r="F365" s="126">
        <f t="shared" si="116"/>
        <v>0</v>
      </c>
      <c r="G365" s="125">
        <v>0</v>
      </c>
      <c r="H365" s="125">
        <v>0</v>
      </c>
      <c r="I365" s="125">
        <v>0</v>
      </c>
      <c r="J365" s="76">
        <v>0</v>
      </c>
      <c r="K365" s="126">
        <f t="shared" si="111"/>
        <v>0</v>
      </c>
      <c r="L365" s="125">
        <v>0</v>
      </c>
      <c r="M365" s="125">
        <v>0</v>
      </c>
      <c r="N365" s="125">
        <v>0</v>
      </c>
      <c r="O365" s="38">
        <v>0</v>
      </c>
      <c r="P365" s="125">
        <f t="shared" si="112"/>
        <v>0</v>
      </c>
      <c r="Q365" s="125">
        <v>0</v>
      </c>
      <c r="R365" s="125">
        <v>0</v>
      </c>
      <c r="S365" s="36">
        <v>0</v>
      </c>
      <c r="T365" s="38">
        <v>0</v>
      </c>
      <c r="U365" s="125">
        <v>0</v>
      </c>
      <c r="V365" s="125">
        <v>0</v>
      </c>
      <c r="W365" s="125">
        <v>0</v>
      </c>
      <c r="X365" s="36">
        <v>0</v>
      </c>
      <c r="Y365" s="38">
        <v>0</v>
      </c>
      <c r="Z365" s="125">
        <f t="shared" si="118"/>
        <v>0</v>
      </c>
      <c r="AA365" s="125">
        <v>0</v>
      </c>
      <c r="AB365" s="125">
        <v>0</v>
      </c>
      <c r="AC365" s="36">
        <v>0</v>
      </c>
      <c r="AD365" s="94"/>
    </row>
    <row r="366" spans="1:30" s="108" customFormat="1" ht="23.45" customHeight="1" outlineLevel="1" x14ac:dyDescent="0.2">
      <c r="A366" s="114" t="s">
        <v>1424</v>
      </c>
      <c r="B366" s="127" t="s">
        <v>189</v>
      </c>
      <c r="C366" s="38">
        <f t="shared" si="114"/>
        <v>0</v>
      </c>
      <c r="D366" s="125">
        <f t="shared" si="115"/>
        <v>0</v>
      </c>
      <c r="E366" s="76">
        <v>0</v>
      </c>
      <c r="F366" s="126">
        <f t="shared" si="116"/>
        <v>0</v>
      </c>
      <c r="G366" s="125">
        <v>0</v>
      </c>
      <c r="H366" s="125">
        <v>0</v>
      </c>
      <c r="I366" s="125">
        <v>0</v>
      </c>
      <c r="J366" s="76">
        <v>0</v>
      </c>
      <c r="K366" s="126">
        <f t="shared" si="111"/>
        <v>0</v>
      </c>
      <c r="L366" s="125">
        <v>0</v>
      </c>
      <c r="M366" s="125">
        <v>0</v>
      </c>
      <c r="N366" s="125">
        <v>0</v>
      </c>
      <c r="O366" s="38">
        <v>0</v>
      </c>
      <c r="P366" s="125">
        <f t="shared" si="112"/>
        <v>0</v>
      </c>
      <c r="Q366" s="125">
        <v>0</v>
      </c>
      <c r="R366" s="125">
        <v>0</v>
      </c>
      <c r="S366" s="36">
        <v>0</v>
      </c>
      <c r="T366" s="38">
        <v>0</v>
      </c>
      <c r="U366" s="125">
        <v>0</v>
      </c>
      <c r="V366" s="125">
        <v>0</v>
      </c>
      <c r="W366" s="125">
        <v>0</v>
      </c>
      <c r="X366" s="36">
        <v>0</v>
      </c>
      <c r="Y366" s="38">
        <v>0</v>
      </c>
      <c r="Z366" s="125">
        <f t="shared" si="118"/>
        <v>0</v>
      </c>
      <c r="AA366" s="125">
        <v>0</v>
      </c>
      <c r="AB366" s="125">
        <v>0</v>
      </c>
      <c r="AC366" s="36">
        <v>0</v>
      </c>
      <c r="AD366" s="94"/>
    </row>
    <row r="367" spans="1:30" s="108" customFormat="1" ht="25.15" customHeight="1" outlineLevel="1" x14ac:dyDescent="0.2">
      <c r="A367" s="114" t="s">
        <v>1425</v>
      </c>
      <c r="B367" s="127" t="s">
        <v>190</v>
      </c>
      <c r="C367" s="38">
        <f t="shared" si="114"/>
        <v>0</v>
      </c>
      <c r="D367" s="125">
        <f t="shared" si="115"/>
        <v>0</v>
      </c>
      <c r="E367" s="76">
        <v>0</v>
      </c>
      <c r="F367" s="126">
        <f t="shared" si="116"/>
        <v>0</v>
      </c>
      <c r="G367" s="125">
        <v>0</v>
      </c>
      <c r="H367" s="125">
        <v>0</v>
      </c>
      <c r="I367" s="125">
        <v>0</v>
      </c>
      <c r="J367" s="76">
        <v>0</v>
      </c>
      <c r="K367" s="126">
        <f t="shared" si="111"/>
        <v>0</v>
      </c>
      <c r="L367" s="125">
        <v>0</v>
      </c>
      <c r="M367" s="125">
        <v>0</v>
      </c>
      <c r="N367" s="125">
        <v>0</v>
      </c>
      <c r="O367" s="38">
        <v>0</v>
      </c>
      <c r="P367" s="125">
        <f t="shared" si="112"/>
        <v>0</v>
      </c>
      <c r="Q367" s="125">
        <v>0</v>
      </c>
      <c r="R367" s="125">
        <v>0</v>
      </c>
      <c r="S367" s="36">
        <v>0</v>
      </c>
      <c r="T367" s="38">
        <v>0</v>
      </c>
      <c r="U367" s="125">
        <v>0</v>
      </c>
      <c r="V367" s="125">
        <v>0</v>
      </c>
      <c r="W367" s="125">
        <v>0</v>
      </c>
      <c r="X367" s="36">
        <v>0</v>
      </c>
      <c r="Y367" s="38">
        <v>0</v>
      </c>
      <c r="Z367" s="125">
        <f t="shared" si="118"/>
        <v>0</v>
      </c>
      <c r="AA367" s="125">
        <v>0</v>
      </c>
      <c r="AB367" s="125">
        <v>0</v>
      </c>
      <c r="AC367" s="36">
        <v>0</v>
      </c>
      <c r="AD367" s="94"/>
    </row>
    <row r="368" spans="1:30" s="108" customFormat="1" ht="33" customHeight="1" outlineLevel="1" x14ac:dyDescent="0.2">
      <c r="A368" s="114" t="s">
        <v>1426</v>
      </c>
      <c r="B368" s="127" t="s">
        <v>191</v>
      </c>
      <c r="C368" s="38">
        <f t="shared" si="114"/>
        <v>0</v>
      </c>
      <c r="D368" s="125">
        <f t="shared" si="115"/>
        <v>0</v>
      </c>
      <c r="E368" s="76">
        <v>0</v>
      </c>
      <c r="F368" s="126">
        <f t="shared" si="116"/>
        <v>0</v>
      </c>
      <c r="G368" s="125">
        <v>0</v>
      </c>
      <c r="H368" s="125">
        <v>0</v>
      </c>
      <c r="I368" s="125">
        <v>0</v>
      </c>
      <c r="J368" s="76">
        <v>0</v>
      </c>
      <c r="K368" s="126">
        <f t="shared" si="111"/>
        <v>0</v>
      </c>
      <c r="L368" s="125">
        <v>0</v>
      </c>
      <c r="M368" s="125">
        <v>0</v>
      </c>
      <c r="N368" s="125">
        <v>0</v>
      </c>
      <c r="O368" s="38">
        <v>0</v>
      </c>
      <c r="P368" s="125">
        <f t="shared" si="112"/>
        <v>0</v>
      </c>
      <c r="Q368" s="125">
        <v>0</v>
      </c>
      <c r="R368" s="125">
        <v>0</v>
      </c>
      <c r="S368" s="36">
        <v>0</v>
      </c>
      <c r="T368" s="38">
        <v>0</v>
      </c>
      <c r="U368" s="125">
        <v>0</v>
      </c>
      <c r="V368" s="125">
        <v>0</v>
      </c>
      <c r="W368" s="125">
        <v>0</v>
      </c>
      <c r="X368" s="36">
        <v>0</v>
      </c>
      <c r="Y368" s="38">
        <v>0</v>
      </c>
      <c r="Z368" s="125">
        <f t="shared" si="118"/>
        <v>0</v>
      </c>
      <c r="AA368" s="125">
        <v>0</v>
      </c>
      <c r="AB368" s="125">
        <v>0</v>
      </c>
      <c r="AC368" s="36">
        <v>0</v>
      </c>
      <c r="AD368" s="94"/>
    </row>
    <row r="369" spans="1:30" s="108" customFormat="1" ht="22.9" customHeight="1" outlineLevel="1" x14ac:dyDescent="0.2">
      <c r="A369" s="114" t="s">
        <v>1427</v>
      </c>
      <c r="B369" s="127" t="s">
        <v>192</v>
      </c>
      <c r="C369" s="38">
        <f t="shared" si="114"/>
        <v>0</v>
      </c>
      <c r="D369" s="125">
        <f t="shared" si="115"/>
        <v>0</v>
      </c>
      <c r="E369" s="76">
        <v>0</v>
      </c>
      <c r="F369" s="126">
        <f t="shared" si="116"/>
        <v>0</v>
      </c>
      <c r="G369" s="125">
        <v>0</v>
      </c>
      <c r="H369" s="125">
        <v>0</v>
      </c>
      <c r="I369" s="125">
        <v>0</v>
      </c>
      <c r="J369" s="76">
        <v>0</v>
      </c>
      <c r="K369" s="126">
        <f t="shared" si="111"/>
        <v>0</v>
      </c>
      <c r="L369" s="125">
        <v>0</v>
      </c>
      <c r="M369" s="125">
        <v>0</v>
      </c>
      <c r="N369" s="125">
        <v>0</v>
      </c>
      <c r="O369" s="38">
        <v>0</v>
      </c>
      <c r="P369" s="125">
        <f t="shared" si="112"/>
        <v>0</v>
      </c>
      <c r="Q369" s="125">
        <v>0</v>
      </c>
      <c r="R369" s="125">
        <v>0</v>
      </c>
      <c r="S369" s="36">
        <v>0</v>
      </c>
      <c r="T369" s="38">
        <v>0</v>
      </c>
      <c r="U369" s="125">
        <v>0</v>
      </c>
      <c r="V369" s="125">
        <v>0</v>
      </c>
      <c r="W369" s="125">
        <v>0</v>
      </c>
      <c r="X369" s="36">
        <v>0</v>
      </c>
      <c r="Y369" s="38">
        <v>0</v>
      </c>
      <c r="Z369" s="125">
        <f t="shared" si="118"/>
        <v>0</v>
      </c>
      <c r="AA369" s="125">
        <v>0</v>
      </c>
      <c r="AB369" s="125">
        <v>0</v>
      </c>
      <c r="AC369" s="36">
        <v>0</v>
      </c>
      <c r="AD369" s="94"/>
    </row>
    <row r="370" spans="1:30" s="108" customFormat="1" ht="40.9" customHeight="1" outlineLevel="1" x14ac:dyDescent="0.2">
      <c r="A370" s="114" t="s">
        <v>1428</v>
      </c>
      <c r="B370" s="127" t="s">
        <v>193</v>
      </c>
      <c r="C370" s="38">
        <f t="shared" si="114"/>
        <v>0</v>
      </c>
      <c r="D370" s="125">
        <f t="shared" si="115"/>
        <v>0</v>
      </c>
      <c r="E370" s="76">
        <v>0</v>
      </c>
      <c r="F370" s="126">
        <f t="shared" si="116"/>
        <v>0</v>
      </c>
      <c r="G370" s="125">
        <v>0</v>
      </c>
      <c r="H370" s="125">
        <v>0</v>
      </c>
      <c r="I370" s="125">
        <v>0</v>
      </c>
      <c r="J370" s="76">
        <v>0</v>
      </c>
      <c r="K370" s="126">
        <f t="shared" si="111"/>
        <v>0</v>
      </c>
      <c r="L370" s="125">
        <v>0</v>
      </c>
      <c r="M370" s="125">
        <v>0</v>
      </c>
      <c r="N370" s="125">
        <v>0</v>
      </c>
      <c r="O370" s="38">
        <v>0</v>
      </c>
      <c r="P370" s="125">
        <f t="shared" si="112"/>
        <v>0</v>
      </c>
      <c r="Q370" s="125">
        <v>0</v>
      </c>
      <c r="R370" s="125">
        <v>0</v>
      </c>
      <c r="S370" s="36">
        <v>0</v>
      </c>
      <c r="T370" s="38">
        <v>0</v>
      </c>
      <c r="U370" s="125">
        <v>0</v>
      </c>
      <c r="V370" s="125">
        <v>0</v>
      </c>
      <c r="W370" s="125">
        <v>0</v>
      </c>
      <c r="X370" s="36">
        <v>0</v>
      </c>
      <c r="Y370" s="38">
        <v>0</v>
      </c>
      <c r="Z370" s="125">
        <f t="shared" si="118"/>
        <v>0</v>
      </c>
      <c r="AA370" s="125">
        <v>0</v>
      </c>
      <c r="AB370" s="125">
        <v>0</v>
      </c>
      <c r="AC370" s="36">
        <v>0</v>
      </c>
      <c r="AD370" s="94"/>
    </row>
    <row r="371" spans="1:30" s="108" customFormat="1" ht="37.15" customHeight="1" outlineLevel="1" x14ac:dyDescent="0.2">
      <c r="A371" s="114" t="s">
        <v>1429</v>
      </c>
      <c r="B371" s="127" t="s">
        <v>194</v>
      </c>
      <c r="C371" s="38">
        <f t="shared" si="114"/>
        <v>0</v>
      </c>
      <c r="D371" s="125">
        <f t="shared" si="115"/>
        <v>0</v>
      </c>
      <c r="E371" s="76">
        <v>0</v>
      </c>
      <c r="F371" s="126">
        <f t="shared" si="116"/>
        <v>0</v>
      </c>
      <c r="G371" s="125">
        <v>0</v>
      </c>
      <c r="H371" s="125">
        <v>0</v>
      </c>
      <c r="I371" s="125">
        <v>0</v>
      </c>
      <c r="J371" s="76">
        <v>0</v>
      </c>
      <c r="K371" s="126">
        <f t="shared" si="111"/>
        <v>0</v>
      </c>
      <c r="L371" s="125">
        <v>0</v>
      </c>
      <c r="M371" s="125">
        <v>0</v>
      </c>
      <c r="N371" s="125">
        <v>0</v>
      </c>
      <c r="O371" s="38">
        <v>0</v>
      </c>
      <c r="P371" s="125">
        <f t="shared" si="112"/>
        <v>0</v>
      </c>
      <c r="Q371" s="125">
        <v>0</v>
      </c>
      <c r="R371" s="125">
        <v>0</v>
      </c>
      <c r="S371" s="36">
        <v>0</v>
      </c>
      <c r="T371" s="38">
        <v>0</v>
      </c>
      <c r="U371" s="125">
        <v>0</v>
      </c>
      <c r="V371" s="125">
        <v>0</v>
      </c>
      <c r="W371" s="125">
        <v>0</v>
      </c>
      <c r="X371" s="36">
        <v>0</v>
      </c>
      <c r="Y371" s="38">
        <v>0</v>
      </c>
      <c r="Z371" s="125">
        <f t="shared" si="118"/>
        <v>0</v>
      </c>
      <c r="AA371" s="125">
        <v>0</v>
      </c>
      <c r="AB371" s="125">
        <v>0</v>
      </c>
      <c r="AC371" s="36">
        <v>0</v>
      </c>
      <c r="AD371" s="94"/>
    </row>
    <row r="372" spans="1:30" s="108" customFormat="1" ht="26.45" customHeight="1" outlineLevel="1" x14ac:dyDescent="0.2">
      <c r="A372" s="114" t="s">
        <v>1430</v>
      </c>
      <c r="B372" s="127" t="s">
        <v>195</v>
      </c>
      <c r="C372" s="38">
        <f t="shared" si="114"/>
        <v>0</v>
      </c>
      <c r="D372" s="125">
        <f t="shared" si="115"/>
        <v>0</v>
      </c>
      <c r="E372" s="76">
        <v>0</v>
      </c>
      <c r="F372" s="126">
        <f t="shared" si="116"/>
        <v>0</v>
      </c>
      <c r="G372" s="125">
        <v>0</v>
      </c>
      <c r="H372" s="125">
        <v>0</v>
      </c>
      <c r="I372" s="125">
        <v>0</v>
      </c>
      <c r="J372" s="76">
        <v>0</v>
      </c>
      <c r="K372" s="126">
        <f t="shared" ref="K372:K435" si="119">L372+M372+N372</f>
        <v>0</v>
      </c>
      <c r="L372" s="125">
        <v>0</v>
      </c>
      <c r="M372" s="125">
        <v>0</v>
      </c>
      <c r="N372" s="125">
        <v>0</v>
      </c>
      <c r="O372" s="38">
        <v>0</v>
      </c>
      <c r="P372" s="125">
        <f t="shared" ref="P372:P435" si="120">Q372+R372+S372</f>
        <v>0</v>
      </c>
      <c r="Q372" s="125">
        <v>0</v>
      </c>
      <c r="R372" s="125">
        <v>0</v>
      </c>
      <c r="S372" s="36">
        <v>0</v>
      </c>
      <c r="T372" s="38">
        <v>0</v>
      </c>
      <c r="U372" s="125">
        <v>0</v>
      </c>
      <c r="V372" s="125">
        <v>0</v>
      </c>
      <c r="W372" s="125">
        <v>0</v>
      </c>
      <c r="X372" s="36">
        <v>0</v>
      </c>
      <c r="Y372" s="38">
        <v>0</v>
      </c>
      <c r="Z372" s="125">
        <f t="shared" ref="Z372:Z435" si="121">AA372+AB372+AC372</f>
        <v>0</v>
      </c>
      <c r="AA372" s="125">
        <v>0</v>
      </c>
      <c r="AB372" s="125">
        <v>0</v>
      </c>
      <c r="AC372" s="36">
        <v>0</v>
      </c>
      <c r="AD372" s="94"/>
    </row>
    <row r="373" spans="1:30" s="108" customFormat="1" ht="29.45" customHeight="1" outlineLevel="1" x14ac:dyDescent="0.2">
      <c r="A373" s="114" t="s">
        <v>1431</v>
      </c>
      <c r="B373" s="127" t="s">
        <v>196</v>
      </c>
      <c r="C373" s="38">
        <f t="shared" ref="C373:C436" si="122">E373+J373+O373+Y373+T373</f>
        <v>0</v>
      </c>
      <c r="D373" s="125">
        <f t="shared" ref="D373:D442" si="123">F373+K373+P373+Z373+U373</f>
        <v>0</v>
      </c>
      <c r="E373" s="76">
        <v>0</v>
      </c>
      <c r="F373" s="126">
        <f t="shared" ref="F373:F442" si="124">G373+H373+I373</f>
        <v>0</v>
      </c>
      <c r="G373" s="125">
        <v>0</v>
      </c>
      <c r="H373" s="125">
        <v>0</v>
      </c>
      <c r="I373" s="125">
        <v>0</v>
      </c>
      <c r="J373" s="76">
        <v>0</v>
      </c>
      <c r="K373" s="126">
        <f t="shared" si="119"/>
        <v>0</v>
      </c>
      <c r="L373" s="125">
        <v>0</v>
      </c>
      <c r="M373" s="125">
        <v>0</v>
      </c>
      <c r="N373" s="125">
        <v>0</v>
      </c>
      <c r="O373" s="38">
        <v>0</v>
      </c>
      <c r="P373" s="125">
        <f t="shared" si="120"/>
        <v>0</v>
      </c>
      <c r="Q373" s="125">
        <v>0</v>
      </c>
      <c r="R373" s="125">
        <v>0</v>
      </c>
      <c r="S373" s="36">
        <v>0</v>
      </c>
      <c r="T373" s="38">
        <v>0</v>
      </c>
      <c r="U373" s="125">
        <v>0</v>
      </c>
      <c r="V373" s="125">
        <v>0</v>
      </c>
      <c r="W373" s="125">
        <v>0</v>
      </c>
      <c r="X373" s="36">
        <v>0</v>
      </c>
      <c r="Y373" s="38">
        <v>0</v>
      </c>
      <c r="Z373" s="125">
        <f t="shared" si="121"/>
        <v>0</v>
      </c>
      <c r="AA373" s="125">
        <v>0</v>
      </c>
      <c r="AB373" s="125">
        <v>0</v>
      </c>
      <c r="AC373" s="36">
        <v>0</v>
      </c>
      <c r="AD373" s="94"/>
    </row>
    <row r="374" spans="1:30" s="108" customFormat="1" ht="29.45" customHeight="1" outlineLevel="1" x14ac:dyDescent="0.2">
      <c r="A374" s="114" t="s">
        <v>1432</v>
      </c>
      <c r="B374" s="127" t="s">
        <v>197</v>
      </c>
      <c r="C374" s="38">
        <f t="shared" si="122"/>
        <v>0</v>
      </c>
      <c r="D374" s="125">
        <f t="shared" si="123"/>
        <v>0</v>
      </c>
      <c r="E374" s="76">
        <v>0</v>
      </c>
      <c r="F374" s="126">
        <f t="shared" si="124"/>
        <v>0</v>
      </c>
      <c r="G374" s="125">
        <v>0</v>
      </c>
      <c r="H374" s="125">
        <v>0</v>
      </c>
      <c r="I374" s="125">
        <v>0</v>
      </c>
      <c r="J374" s="76">
        <v>0</v>
      </c>
      <c r="K374" s="126">
        <f t="shared" si="119"/>
        <v>0</v>
      </c>
      <c r="L374" s="125">
        <v>0</v>
      </c>
      <c r="M374" s="125">
        <v>0</v>
      </c>
      <c r="N374" s="125">
        <v>0</v>
      </c>
      <c r="O374" s="38">
        <v>0</v>
      </c>
      <c r="P374" s="125">
        <f t="shared" si="120"/>
        <v>0</v>
      </c>
      <c r="Q374" s="125">
        <v>0</v>
      </c>
      <c r="R374" s="125">
        <v>0</v>
      </c>
      <c r="S374" s="36">
        <v>0</v>
      </c>
      <c r="T374" s="38">
        <v>0</v>
      </c>
      <c r="U374" s="125">
        <v>0</v>
      </c>
      <c r="V374" s="125">
        <v>0</v>
      </c>
      <c r="W374" s="125">
        <v>0</v>
      </c>
      <c r="X374" s="36">
        <v>0</v>
      </c>
      <c r="Y374" s="38">
        <v>0</v>
      </c>
      <c r="Z374" s="125">
        <f t="shared" si="121"/>
        <v>0</v>
      </c>
      <c r="AA374" s="125">
        <v>0</v>
      </c>
      <c r="AB374" s="125">
        <v>0</v>
      </c>
      <c r="AC374" s="36">
        <v>0</v>
      </c>
      <c r="AD374" s="94"/>
    </row>
    <row r="375" spans="1:30" s="108" customFormat="1" ht="23.45" customHeight="1" outlineLevel="1" x14ac:dyDescent="0.2">
      <c r="A375" s="114" t="s">
        <v>1433</v>
      </c>
      <c r="B375" s="127" t="s">
        <v>198</v>
      </c>
      <c r="C375" s="38">
        <f t="shared" si="122"/>
        <v>0</v>
      </c>
      <c r="D375" s="125">
        <f t="shared" si="123"/>
        <v>0</v>
      </c>
      <c r="E375" s="76">
        <v>0</v>
      </c>
      <c r="F375" s="126">
        <f t="shared" si="124"/>
        <v>0</v>
      </c>
      <c r="G375" s="125">
        <v>0</v>
      </c>
      <c r="H375" s="125">
        <v>0</v>
      </c>
      <c r="I375" s="125">
        <v>0</v>
      </c>
      <c r="J375" s="76">
        <v>0</v>
      </c>
      <c r="K375" s="126">
        <f t="shared" si="119"/>
        <v>0</v>
      </c>
      <c r="L375" s="125">
        <v>0</v>
      </c>
      <c r="M375" s="125">
        <v>0</v>
      </c>
      <c r="N375" s="125">
        <v>0</v>
      </c>
      <c r="O375" s="38">
        <v>0</v>
      </c>
      <c r="P375" s="125">
        <f t="shared" si="120"/>
        <v>0</v>
      </c>
      <c r="Q375" s="125">
        <v>0</v>
      </c>
      <c r="R375" s="125">
        <v>0</v>
      </c>
      <c r="S375" s="36">
        <v>0</v>
      </c>
      <c r="T375" s="38">
        <v>0</v>
      </c>
      <c r="U375" s="125">
        <v>0</v>
      </c>
      <c r="V375" s="125">
        <v>0</v>
      </c>
      <c r="W375" s="125">
        <v>0</v>
      </c>
      <c r="X375" s="36">
        <v>0</v>
      </c>
      <c r="Y375" s="38">
        <v>0</v>
      </c>
      <c r="Z375" s="125">
        <f t="shared" si="121"/>
        <v>0</v>
      </c>
      <c r="AA375" s="125">
        <v>0</v>
      </c>
      <c r="AB375" s="125">
        <v>0</v>
      </c>
      <c r="AC375" s="36">
        <v>0</v>
      </c>
      <c r="AD375" s="94"/>
    </row>
    <row r="376" spans="1:30" s="108" customFormat="1" ht="24" customHeight="1" outlineLevel="1" x14ac:dyDescent="0.2">
      <c r="A376" s="114" t="s">
        <v>1434</v>
      </c>
      <c r="B376" s="127" t="s">
        <v>199</v>
      </c>
      <c r="C376" s="38">
        <f t="shared" si="122"/>
        <v>0</v>
      </c>
      <c r="D376" s="125">
        <f t="shared" si="123"/>
        <v>0</v>
      </c>
      <c r="E376" s="76">
        <v>0</v>
      </c>
      <c r="F376" s="126">
        <f t="shared" si="124"/>
        <v>0</v>
      </c>
      <c r="G376" s="125">
        <v>0</v>
      </c>
      <c r="H376" s="125">
        <v>0</v>
      </c>
      <c r="I376" s="125">
        <v>0</v>
      </c>
      <c r="J376" s="76">
        <v>0</v>
      </c>
      <c r="K376" s="126">
        <f t="shared" si="119"/>
        <v>0</v>
      </c>
      <c r="L376" s="125">
        <v>0</v>
      </c>
      <c r="M376" s="125">
        <v>0</v>
      </c>
      <c r="N376" s="125">
        <v>0</v>
      </c>
      <c r="O376" s="38">
        <v>0</v>
      </c>
      <c r="P376" s="125">
        <f t="shared" si="120"/>
        <v>0</v>
      </c>
      <c r="Q376" s="125">
        <v>0</v>
      </c>
      <c r="R376" s="125">
        <v>0</v>
      </c>
      <c r="S376" s="36">
        <v>0</v>
      </c>
      <c r="T376" s="38">
        <v>0</v>
      </c>
      <c r="U376" s="125">
        <v>0</v>
      </c>
      <c r="V376" s="125">
        <v>0</v>
      </c>
      <c r="W376" s="125">
        <v>0</v>
      </c>
      <c r="X376" s="36">
        <v>0</v>
      </c>
      <c r="Y376" s="38">
        <v>0</v>
      </c>
      <c r="Z376" s="125">
        <f t="shared" si="121"/>
        <v>0</v>
      </c>
      <c r="AA376" s="125">
        <v>0</v>
      </c>
      <c r="AB376" s="125">
        <v>0</v>
      </c>
      <c r="AC376" s="36">
        <v>0</v>
      </c>
      <c r="AD376" s="94"/>
    </row>
    <row r="377" spans="1:30" s="108" customFormat="1" ht="27.75" customHeight="1" outlineLevel="1" x14ac:dyDescent="0.2">
      <c r="A377" s="114" t="s">
        <v>1435</v>
      </c>
      <c r="B377" s="127" t="s">
        <v>200</v>
      </c>
      <c r="C377" s="38">
        <f t="shared" si="122"/>
        <v>0</v>
      </c>
      <c r="D377" s="125">
        <f t="shared" si="123"/>
        <v>0</v>
      </c>
      <c r="E377" s="76">
        <v>0</v>
      </c>
      <c r="F377" s="126">
        <f t="shared" si="124"/>
        <v>0</v>
      </c>
      <c r="G377" s="125">
        <v>0</v>
      </c>
      <c r="H377" s="125">
        <v>0</v>
      </c>
      <c r="I377" s="125">
        <v>0</v>
      </c>
      <c r="J377" s="76">
        <v>0</v>
      </c>
      <c r="K377" s="126">
        <f t="shared" si="119"/>
        <v>0</v>
      </c>
      <c r="L377" s="125">
        <v>0</v>
      </c>
      <c r="M377" s="125">
        <v>0</v>
      </c>
      <c r="N377" s="125">
        <v>0</v>
      </c>
      <c r="O377" s="38">
        <v>0</v>
      </c>
      <c r="P377" s="125">
        <f t="shared" si="120"/>
        <v>0</v>
      </c>
      <c r="Q377" s="125">
        <v>0</v>
      </c>
      <c r="R377" s="125">
        <v>0</v>
      </c>
      <c r="S377" s="36">
        <v>0</v>
      </c>
      <c r="T377" s="38">
        <v>0</v>
      </c>
      <c r="U377" s="125">
        <v>0</v>
      </c>
      <c r="V377" s="125">
        <v>0</v>
      </c>
      <c r="W377" s="125">
        <v>0</v>
      </c>
      <c r="X377" s="36">
        <v>0</v>
      </c>
      <c r="Y377" s="38">
        <v>0</v>
      </c>
      <c r="Z377" s="125">
        <f t="shared" si="121"/>
        <v>0</v>
      </c>
      <c r="AA377" s="125">
        <v>0</v>
      </c>
      <c r="AB377" s="125">
        <v>0</v>
      </c>
      <c r="AC377" s="36">
        <v>0</v>
      </c>
      <c r="AD377" s="94"/>
    </row>
    <row r="378" spans="1:30" s="108" customFormat="1" ht="21" customHeight="1" outlineLevel="1" x14ac:dyDescent="0.2">
      <c r="A378" s="114" t="s">
        <v>1436</v>
      </c>
      <c r="B378" s="127" t="s">
        <v>201</v>
      </c>
      <c r="C378" s="38">
        <f t="shared" si="122"/>
        <v>0</v>
      </c>
      <c r="D378" s="125">
        <f t="shared" si="123"/>
        <v>0</v>
      </c>
      <c r="E378" s="76">
        <v>0</v>
      </c>
      <c r="F378" s="126">
        <f t="shared" si="124"/>
        <v>0</v>
      </c>
      <c r="G378" s="125">
        <v>0</v>
      </c>
      <c r="H378" s="125">
        <v>0</v>
      </c>
      <c r="I378" s="125">
        <v>0</v>
      </c>
      <c r="J378" s="76">
        <v>0</v>
      </c>
      <c r="K378" s="126">
        <f t="shared" si="119"/>
        <v>0</v>
      </c>
      <c r="L378" s="125">
        <v>0</v>
      </c>
      <c r="M378" s="125">
        <v>0</v>
      </c>
      <c r="N378" s="125">
        <v>0</v>
      </c>
      <c r="O378" s="38">
        <v>0</v>
      </c>
      <c r="P378" s="125">
        <f t="shared" si="120"/>
        <v>0</v>
      </c>
      <c r="Q378" s="125">
        <v>0</v>
      </c>
      <c r="R378" s="125">
        <v>0</v>
      </c>
      <c r="S378" s="36">
        <v>0</v>
      </c>
      <c r="T378" s="38">
        <v>0</v>
      </c>
      <c r="U378" s="125">
        <v>0</v>
      </c>
      <c r="V378" s="125">
        <v>0</v>
      </c>
      <c r="W378" s="125">
        <v>0</v>
      </c>
      <c r="X378" s="36">
        <v>0</v>
      </c>
      <c r="Y378" s="38">
        <v>0</v>
      </c>
      <c r="Z378" s="125">
        <f t="shared" si="121"/>
        <v>0</v>
      </c>
      <c r="AA378" s="125">
        <v>0</v>
      </c>
      <c r="AB378" s="125">
        <v>0</v>
      </c>
      <c r="AC378" s="36">
        <v>0</v>
      </c>
      <c r="AD378" s="94"/>
    </row>
    <row r="379" spans="1:30" s="108" customFormat="1" ht="22.9" customHeight="1" outlineLevel="1" x14ac:dyDescent="0.2">
      <c r="A379" s="114" t="s">
        <v>1437</v>
      </c>
      <c r="B379" s="127" t="s">
        <v>202</v>
      </c>
      <c r="C379" s="38">
        <f t="shared" si="122"/>
        <v>0</v>
      </c>
      <c r="D379" s="125">
        <f t="shared" si="123"/>
        <v>0</v>
      </c>
      <c r="E379" s="76">
        <v>0</v>
      </c>
      <c r="F379" s="126">
        <f t="shared" si="124"/>
        <v>0</v>
      </c>
      <c r="G379" s="125">
        <v>0</v>
      </c>
      <c r="H379" s="125">
        <v>0</v>
      </c>
      <c r="I379" s="125">
        <v>0</v>
      </c>
      <c r="J379" s="76">
        <v>0</v>
      </c>
      <c r="K379" s="126">
        <f t="shared" si="119"/>
        <v>0</v>
      </c>
      <c r="L379" s="125">
        <v>0</v>
      </c>
      <c r="M379" s="125">
        <v>0</v>
      </c>
      <c r="N379" s="125">
        <v>0</v>
      </c>
      <c r="O379" s="38">
        <v>0</v>
      </c>
      <c r="P379" s="125">
        <f t="shared" si="120"/>
        <v>0</v>
      </c>
      <c r="Q379" s="125">
        <v>0</v>
      </c>
      <c r="R379" s="125">
        <v>0</v>
      </c>
      <c r="S379" s="36">
        <v>0</v>
      </c>
      <c r="T379" s="38">
        <v>0</v>
      </c>
      <c r="U379" s="125">
        <v>0</v>
      </c>
      <c r="V379" s="125">
        <v>0</v>
      </c>
      <c r="W379" s="125">
        <v>0</v>
      </c>
      <c r="X379" s="36">
        <v>0</v>
      </c>
      <c r="Y379" s="38">
        <v>0</v>
      </c>
      <c r="Z379" s="125">
        <f t="shared" si="121"/>
        <v>0</v>
      </c>
      <c r="AA379" s="125">
        <v>0</v>
      </c>
      <c r="AB379" s="125">
        <v>0</v>
      </c>
      <c r="AC379" s="36">
        <v>0</v>
      </c>
      <c r="AD379" s="94"/>
    </row>
    <row r="380" spans="1:30" s="108" customFormat="1" ht="22.15" customHeight="1" outlineLevel="1" x14ac:dyDescent="0.2">
      <c r="A380" s="114" t="s">
        <v>1438</v>
      </c>
      <c r="B380" s="127" t="s">
        <v>203</v>
      </c>
      <c r="C380" s="38">
        <f t="shared" si="122"/>
        <v>0</v>
      </c>
      <c r="D380" s="125">
        <f t="shared" si="123"/>
        <v>0</v>
      </c>
      <c r="E380" s="76">
        <v>0</v>
      </c>
      <c r="F380" s="126">
        <f t="shared" si="124"/>
        <v>0</v>
      </c>
      <c r="G380" s="125">
        <v>0</v>
      </c>
      <c r="H380" s="125">
        <v>0</v>
      </c>
      <c r="I380" s="125">
        <v>0</v>
      </c>
      <c r="J380" s="76">
        <v>0</v>
      </c>
      <c r="K380" s="126">
        <f t="shared" si="119"/>
        <v>0</v>
      </c>
      <c r="L380" s="125">
        <v>0</v>
      </c>
      <c r="M380" s="125">
        <v>0</v>
      </c>
      <c r="N380" s="125">
        <v>0</v>
      </c>
      <c r="O380" s="38">
        <v>0</v>
      </c>
      <c r="P380" s="125">
        <f t="shared" si="120"/>
        <v>0</v>
      </c>
      <c r="Q380" s="125">
        <v>0</v>
      </c>
      <c r="R380" s="125">
        <v>0</v>
      </c>
      <c r="S380" s="36">
        <v>0</v>
      </c>
      <c r="T380" s="38">
        <v>0</v>
      </c>
      <c r="U380" s="125">
        <v>0</v>
      </c>
      <c r="V380" s="125">
        <v>0</v>
      </c>
      <c r="W380" s="125">
        <v>0</v>
      </c>
      <c r="X380" s="36">
        <v>0</v>
      </c>
      <c r="Y380" s="38">
        <v>0</v>
      </c>
      <c r="Z380" s="125">
        <f t="shared" si="121"/>
        <v>0</v>
      </c>
      <c r="AA380" s="125">
        <v>0</v>
      </c>
      <c r="AB380" s="125">
        <v>0</v>
      </c>
      <c r="AC380" s="36">
        <v>0</v>
      </c>
      <c r="AD380" s="94"/>
    </row>
    <row r="381" spans="1:30" s="108" customFormat="1" ht="23.45" customHeight="1" outlineLevel="1" x14ac:dyDescent="0.2">
      <c r="A381" s="114" t="s">
        <v>1439</v>
      </c>
      <c r="B381" s="127" t="s">
        <v>204</v>
      </c>
      <c r="C381" s="38">
        <f t="shared" si="122"/>
        <v>0</v>
      </c>
      <c r="D381" s="125">
        <f t="shared" si="123"/>
        <v>0</v>
      </c>
      <c r="E381" s="76">
        <v>0</v>
      </c>
      <c r="F381" s="126">
        <f t="shared" si="124"/>
        <v>0</v>
      </c>
      <c r="G381" s="125">
        <v>0</v>
      </c>
      <c r="H381" s="125">
        <v>0</v>
      </c>
      <c r="I381" s="125">
        <v>0</v>
      </c>
      <c r="J381" s="76">
        <v>0</v>
      </c>
      <c r="K381" s="126">
        <f t="shared" si="119"/>
        <v>0</v>
      </c>
      <c r="L381" s="125">
        <v>0</v>
      </c>
      <c r="M381" s="125">
        <v>0</v>
      </c>
      <c r="N381" s="125">
        <v>0</v>
      </c>
      <c r="O381" s="38">
        <v>0</v>
      </c>
      <c r="P381" s="125">
        <f t="shared" si="120"/>
        <v>0</v>
      </c>
      <c r="Q381" s="125">
        <v>0</v>
      </c>
      <c r="R381" s="125">
        <v>0</v>
      </c>
      <c r="S381" s="36">
        <v>0</v>
      </c>
      <c r="T381" s="38">
        <v>0</v>
      </c>
      <c r="U381" s="125">
        <v>0</v>
      </c>
      <c r="V381" s="125">
        <v>0</v>
      </c>
      <c r="W381" s="125">
        <v>0</v>
      </c>
      <c r="X381" s="36">
        <v>0</v>
      </c>
      <c r="Y381" s="38">
        <v>0</v>
      </c>
      <c r="Z381" s="125">
        <f t="shared" si="121"/>
        <v>0</v>
      </c>
      <c r="AA381" s="125">
        <v>0</v>
      </c>
      <c r="AB381" s="125">
        <v>0</v>
      </c>
      <c r="AC381" s="36">
        <v>0</v>
      </c>
      <c r="AD381" s="94"/>
    </row>
    <row r="382" spans="1:30" s="108" customFormat="1" ht="23.45" customHeight="1" outlineLevel="1" x14ac:dyDescent="0.2">
      <c r="A382" s="114" t="s">
        <v>1440</v>
      </c>
      <c r="B382" s="127" t="s">
        <v>205</v>
      </c>
      <c r="C382" s="38">
        <f t="shared" si="122"/>
        <v>0</v>
      </c>
      <c r="D382" s="125">
        <f t="shared" si="123"/>
        <v>0</v>
      </c>
      <c r="E382" s="76">
        <v>0</v>
      </c>
      <c r="F382" s="126">
        <f t="shared" si="124"/>
        <v>0</v>
      </c>
      <c r="G382" s="125">
        <v>0</v>
      </c>
      <c r="H382" s="125">
        <v>0</v>
      </c>
      <c r="I382" s="125">
        <v>0</v>
      </c>
      <c r="J382" s="76">
        <v>0</v>
      </c>
      <c r="K382" s="126">
        <f t="shared" si="119"/>
        <v>0</v>
      </c>
      <c r="L382" s="125">
        <v>0</v>
      </c>
      <c r="M382" s="125">
        <v>0</v>
      </c>
      <c r="N382" s="125">
        <v>0</v>
      </c>
      <c r="O382" s="38">
        <v>0</v>
      </c>
      <c r="P382" s="125">
        <f t="shared" si="120"/>
        <v>0</v>
      </c>
      <c r="Q382" s="125">
        <v>0</v>
      </c>
      <c r="R382" s="125">
        <v>0</v>
      </c>
      <c r="S382" s="36">
        <v>0</v>
      </c>
      <c r="T382" s="38">
        <v>0</v>
      </c>
      <c r="U382" s="125">
        <v>0</v>
      </c>
      <c r="V382" s="125">
        <v>0</v>
      </c>
      <c r="W382" s="125">
        <v>0</v>
      </c>
      <c r="X382" s="36">
        <v>0</v>
      </c>
      <c r="Y382" s="38">
        <v>0</v>
      </c>
      <c r="Z382" s="125">
        <f t="shared" si="121"/>
        <v>0</v>
      </c>
      <c r="AA382" s="125">
        <v>0</v>
      </c>
      <c r="AB382" s="125">
        <v>0</v>
      </c>
      <c r="AC382" s="36">
        <v>0</v>
      </c>
      <c r="AD382" s="94"/>
    </row>
    <row r="383" spans="1:30" s="108" customFormat="1" ht="26.25" customHeight="1" outlineLevel="1" x14ac:dyDescent="0.2">
      <c r="A383" s="114" t="s">
        <v>1441</v>
      </c>
      <c r="B383" s="127" t="s">
        <v>206</v>
      </c>
      <c r="C383" s="38">
        <f t="shared" si="122"/>
        <v>0</v>
      </c>
      <c r="D383" s="125">
        <f t="shared" si="123"/>
        <v>0</v>
      </c>
      <c r="E383" s="76">
        <v>0</v>
      </c>
      <c r="F383" s="126">
        <f t="shared" si="124"/>
        <v>0</v>
      </c>
      <c r="G383" s="125">
        <v>0</v>
      </c>
      <c r="H383" s="125">
        <v>0</v>
      </c>
      <c r="I383" s="125">
        <v>0</v>
      </c>
      <c r="J383" s="76">
        <v>0</v>
      </c>
      <c r="K383" s="126">
        <f t="shared" si="119"/>
        <v>0</v>
      </c>
      <c r="L383" s="125">
        <v>0</v>
      </c>
      <c r="M383" s="125">
        <v>0</v>
      </c>
      <c r="N383" s="125">
        <v>0</v>
      </c>
      <c r="O383" s="38">
        <v>0</v>
      </c>
      <c r="P383" s="125">
        <f t="shared" si="120"/>
        <v>0</v>
      </c>
      <c r="Q383" s="125">
        <v>0</v>
      </c>
      <c r="R383" s="125">
        <v>0</v>
      </c>
      <c r="S383" s="36">
        <v>0</v>
      </c>
      <c r="T383" s="38">
        <v>0</v>
      </c>
      <c r="U383" s="125">
        <v>0</v>
      </c>
      <c r="V383" s="125">
        <v>0</v>
      </c>
      <c r="W383" s="125">
        <v>0</v>
      </c>
      <c r="X383" s="36">
        <v>0</v>
      </c>
      <c r="Y383" s="38">
        <v>0</v>
      </c>
      <c r="Z383" s="125">
        <f t="shared" si="121"/>
        <v>0</v>
      </c>
      <c r="AA383" s="125">
        <v>0</v>
      </c>
      <c r="AB383" s="125">
        <v>0</v>
      </c>
      <c r="AC383" s="36">
        <v>0</v>
      </c>
      <c r="AD383" s="94"/>
    </row>
    <row r="384" spans="1:30" s="108" customFormat="1" ht="25.15" customHeight="1" outlineLevel="1" x14ac:dyDescent="0.2">
      <c r="A384" s="114" t="s">
        <v>1442</v>
      </c>
      <c r="B384" s="127" t="s">
        <v>207</v>
      </c>
      <c r="C384" s="38">
        <f t="shared" si="122"/>
        <v>0</v>
      </c>
      <c r="D384" s="125">
        <f t="shared" si="123"/>
        <v>0</v>
      </c>
      <c r="E384" s="76">
        <v>0</v>
      </c>
      <c r="F384" s="126">
        <f t="shared" si="124"/>
        <v>0</v>
      </c>
      <c r="G384" s="125">
        <v>0</v>
      </c>
      <c r="H384" s="125">
        <v>0</v>
      </c>
      <c r="I384" s="125">
        <v>0</v>
      </c>
      <c r="J384" s="76">
        <v>0</v>
      </c>
      <c r="K384" s="126">
        <f t="shared" si="119"/>
        <v>0</v>
      </c>
      <c r="L384" s="125">
        <v>0</v>
      </c>
      <c r="M384" s="125">
        <v>0</v>
      </c>
      <c r="N384" s="125">
        <v>0</v>
      </c>
      <c r="O384" s="38">
        <v>0</v>
      </c>
      <c r="P384" s="125">
        <f t="shared" si="120"/>
        <v>0</v>
      </c>
      <c r="Q384" s="125">
        <v>0</v>
      </c>
      <c r="R384" s="125">
        <v>0</v>
      </c>
      <c r="S384" s="36">
        <v>0</v>
      </c>
      <c r="T384" s="38">
        <v>0</v>
      </c>
      <c r="U384" s="125">
        <v>0</v>
      </c>
      <c r="V384" s="125">
        <v>0</v>
      </c>
      <c r="W384" s="125">
        <v>0</v>
      </c>
      <c r="X384" s="36">
        <v>0</v>
      </c>
      <c r="Y384" s="38">
        <v>0</v>
      </c>
      <c r="Z384" s="125">
        <f t="shared" si="121"/>
        <v>0</v>
      </c>
      <c r="AA384" s="125">
        <v>0</v>
      </c>
      <c r="AB384" s="125">
        <v>0</v>
      </c>
      <c r="AC384" s="36">
        <v>0</v>
      </c>
      <c r="AD384" s="94"/>
    </row>
    <row r="385" spans="1:30" s="108" customFormat="1" ht="25.9" customHeight="1" outlineLevel="1" x14ac:dyDescent="0.2">
      <c r="A385" s="114" t="s">
        <v>1443</v>
      </c>
      <c r="B385" s="127" t="s">
        <v>208</v>
      </c>
      <c r="C385" s="38">
        <f t="shared" si="122"/>
        <v>0</v>
      </c>
      <c r="D385" s="125">
        <f t="shared" si="123"/>
        <v>0</v>
      </c>
      <c r="E385" s="76">
        <v>0</v>
      </c>
      <c r="F385" s="126">
        <f t="shared" si="124"/>
        <v>0</v>
      </c>
      <c r="G385" s="125">
        <v>0</v>
      </c>
      <c r="H385" s="125">
        <v>0</v>
      </c>
      <c r="I385" s="125">
        <v>0</v>
      </c>
      <c r="J385" s="76">
        <v>0</v>
      </c>
      <c r="K385" s="126">
        <f t="shared" si="119"/>
        <v>0</v>
      </c>
      <c r="L385" s="125">
        <v>0</v>
      </c>
      <c r="M385" s="125">
        <v>0</v>
      </c>
      <c r="N385" s="125">
        <v>0</v>
      </c>
      <c r="O385" s="38">
        <v>0</v>
      </c>
      <c r="P385" s="125">
        <f t="shared" si="120"/>
        <v>0</v>
      </c>
      <c r="Q385" s="125">
        <v>0</v>
      </c>
      <c r="R385" s="125">
        <v>0</v>
      </c>
      <c r="S385" s="36">
        <v>0</v>
      </c>
      <c r="T385" s="38">
        <v>0</v>
      </c>
      <c r="U385" s="125">
        <v>0</v>
      </c>
      <c r="V385" s="125">
        <v>0</v>
      </c>
      <c r="W385" s="125">
        <v>0</v>
      </c>
      <c r="X385" s="36">
        <v>0</v>
      </c>
      <c r="Y385" s="38">
        <v>0</v>
      </c>
      <c r="Z385" s="125">
        <f t="shared" si="121"/>
        <v>0</v>
      </c>
      <c r="AA385" s="125">
        <v>0</v>
      </c>
      <c r="AB385" s="125">
        <v>0</v>
      </c>
      <c r="AC385" s="36">
        <v>0</v>
      </c>
      <c r="AD385" s="94"/>
    </row>
    <row r="386" spans="1:30" s="108" customFormat="1" ht="28.15" customHeight="1" outlineLevel="1" x14ac:dyDescent="0.2">
      <c r="A386" s="114" t="s">
        <v>1444</v>
      </c>
      <c r="B386" s="127" t="s">
        <v>209</v>
      </c>
      <c r="C386" s="38">
        <f t="shared" si="122"/>
        <v>0</v>
      </c>
      <c r="D386" s="125">
        <f t="shared" si="123"/>
        <v>0</v>
      </c>
      <c r="E386" s="76">
        <v>0</v>
      </c>
      <c r="F386" s="126">
        <f t="shared" si="124"/>
        <v>0</v>
      </c>
      <c r="G386" s="125">
        <v>0</v>
      </c>
      <c r="H386" s="125">
        <v>0</v>
      </c>
      <c r="I386" s="125">
        <v>0</v>
      </c>
      <c r="J386" s="76">
        <v>0</v>
      </c>
      <c r="K386" s="126">
        <f t="shared" si="119"/>
        <v>0</v>
      </c>
      <c r="L386" s="125">
        <v>0</v>
      </c>
      <c r="M386" s="125">
        <v>0</v>
      </c>
      <c r="N386" s="125">
        <v>0</v>
      </c>
      <c r="O386" s="38">
        <v>0</v>
      </c>
      <c r="P386" s="125">
        <f t="shared" si="120"/>
        <v>0</v>
      </c>
      <c r="Q386" s="125">
        <v>0</v>
      </c>
      <c r="R386" s="125">
        <v>0</v>
      </c>
      <c r="S386" s="36">
        <v>0</v>
      </c>
      <c r="T386" s="38">
        <v>0</v>
      </c>
      <c r="U386" s="125">
        <v>0</v>
      </c>
      <c r="V386" s="125">
        <v>0</v>
      </c>
      <c r="W386" s="125">
        <v>0</v>
      </c>
      <c r="X386" s="36">
        <v>0</v>
      </c>
      <c r="Y386" s="38">
        <v>0</v>
      </c>
      <c r="Z386" s="125">
        <f t="shared" si="121"/>
        <v>0</v>
      </c>
      <c r="AA386" s="125">
        <v>0</v>
      </c>
      <c r="AB386" s="125">
        <v>0</v>
      </c>
      <c r="AC386" s="36">
        <v>0</v>
      </c>
      <c r="AD386" s="94"/>
    </row>
    <row r="387" spans="1:30" s="108" customFormat="1" ht="28.15" customHeight="1" outlineLevel="1" x14ac:dyDescent="0.2">
      <c r="A387" s="114" t="s">
        <v>1445</v>
      </c>
      <c r="B387" s="127" t="s">
        <v>210</v>
      </c>
      <c r="C387" s="38">
        <f t="shared" si="122"/>
        <v>0</v>
      </c>
      <c r="D387" s="125">
        <f t="shared" si="123"/>
        <v>0</v>
      </c>
      <c r="E387" s="76">
        <v>0</v>
      </c>
      <c r="F387" s="126">
        <f t="shared" si="124"/>
        <v>0</v>
      </c>
      <c r="G387" s="125">
        <v>0</v>
      </c>
      <c r="H387" s="125">
        <v>0</v>
      </c>
      <c r="I387" s="125">
        <v>0</v>
      </c>
      <c r="J387" s="76">
        <v>0</v>
      </c>
      <c r="K387" s="126">
        <f t="shared" si="119"/>
        <v>0</v>
      </c>
      <c r="L387" s="125">
        <v>0</v>
      </c>
      <c r="M387" s="125">
        <v>0</v>
      </c>
      <c r="N387" s="125">
        <v>0</v>
      </c>
      <c r="O387" s="38">
        <v>0</v>
      </c>
      <c r="P387" s="125">
        <f t="shared" si="120"/>
        <v>0</v>
      </c>
      <c r="Q387" s="125">
        <v>0</v>
      </c>
      <c r="R387" s="125">
        <v>0</v>
      </c>
      <c r="S387" s="36">
        <v>0</v>
      </c>
      <c r="T387" s="38">
        <v>0</v>
      </c>
      <c r="U387" s="125">
        <v>0</v>
      </c>
      <c r="V387" s="125">
        <v>0</v>
      </c>
      <c r="W387" s="125">
        <v>0</v>
      </c>
      <c r="X387" s="36">
        <v>0</v>
      </c>
      <c r="Y387" s="38">
        <v>0</v>
      </c>
      <c r="Z387" s="125">
        <f t="shared" si="121"/>
        <v>0</v>
      </c>
      <c r="AA387" s="125">
        <v>0</v>
      </c>
      <c r="AB387" s="125">
        <v>0</v>
      </c>
      <c r="AC387" s="36">
        <v>0</v>
      </c>
      <c r="AD387" s="94"/>
    </row>
    <row r="388" spans="1:30" s="108" customFormat="1" ht="24" customHeight="1" outlineLevel="1" x14ac:dyDescent="0.2">
      <c r="A388" s="114" t="s">
        <v>1446</v>
      </c>
      <c r="B388" s="127" t="s">
        <v>211</v>
      </c>
      <c r="C388" s="38">
        <f t="shared" si="122"/>
        <v>0</v>
      </c>
      <c r="D388" s="125">
        <f t="shared" si="123"/>
        <v>0</v>
      </c>
      <c r="E388" s="76">
        <v>0</v>
      </c>
      <c r="F388" s="126">
        <f t="shared" si="124"/>
        <v>0</v>
      </c>
      <c r="G388" s="125">
        <v>0</v>
      </c>
      <c r="H388" s="125">
        <v>0</v>
      </c>
      <c r="I388" s="125">
        <v>0</v>
      </c>
      <c r="J388" s="76">
        <v>0</v>
      </c>
      <c r="K388" s="126">
        <f t="shared" si="119"/>
        <v>0</v>
      </c>
      <c r="L388" s="125">
        <v>0</v>
      </c>
      <c r="M388" s="125">
        <v>0</v>
      </c>
      <c r="N388" s="125">
        <v>0</v>
      </c>
      <c r="O388" s="38">
        <v>0</v>
      </c>
      <c r="P388" s="125">
        <f t="shared" si="120"/>
        <v>0</v>
      </c>
      <c r="Q388" s="125">
        <v>0</v>
      </c>
      <c r="R388" s="125">
        <v>0</v>
      </c>
      <c r="S388" s="36">
        <v>0</v>
      </c>
      <c r="T388" s="38">
        <v>0</v>
      </c>
      <c r="U388" s="125">
        <v>0</v>
      </c>
      <c r="V388" s="125">
        <v>0</v>
      </c>
      <c r="W388" s="125">
        <v>0</v>
      </c>
      <c r="X388" s="36">
        <v>0</v>
      </c>
      <c r="Y388" s="38">
        <v>0</v>
      </c>
      <c r="Z388" s="125">
        <f t="shared" si="121"/>
        <v>0</v>
      </c>
      <c r="AA388" s="125">
        <v>0</v>
      </c>
      <c r="AB388" s="125">
        <v>0</v>
      </c>
      <c r="AC388" s="36">
        <v>0</v>
      </c>
      <c r="AD388" s="94"/>
    </row>
    <row r="389" spans="1:30" s="108" customFormat="1" ht="26.45" customHeight="1" outlineLevel="1" x14ac:dyDescent="0.2">
      <c r="A389" s="114" t="s">
        <v>1447</v>
      </c>
      <c r="B389" s="127" t="s">
        <v>212</v>
      </c>
      <c r="C389" s="38">
        <f t="shared" si="122"/>
        <v>0</v>
      </c>
      <c r="D389" s="125">
        <f t="shared" si="123"/>
        <v>0</v>
      </c>
      <c r="E389" s="76">
        <v>0</v>
      </c>
      <c r="F389" s="126">
        <f t="shared" si="124"/>
        <v>0</v>
      </c>
      <c r="G389" s="125">
        <v>0</v>
      </c>
      <c r="H389" s="125">
        <v>0</v>
      </c>
      <c r="I389" s="125">
        <v>0</v>
      </c>
      <c r="J389" s="76">
        <v>0</v>
      </c>
      <c r="K389" s="126">
        <f t="shared" si="119"/>
        <v>0</v>
      </c>
      <c r="L389" s="125">
        <v>0</v>
      </c>
      <c r="M389" s="125">
        <v>0</v>
      </c>
      <c r="N389" s="125">
        <v>0</v>
      </c>
      <c r="O389" s="38">
        <v>0</v>
      </c>
      <c r="P389" s="125">
        <f t="shared" si="120"/>
        <v>0</v>
      </c>
      <c r="Q389" s="125">
        <v>0</v>
      </c>
      <c r="R389" s="125">
        <v>0</v>
      </c>
      <c r="S389" s="36">
        <v>0</v>
      </c>
      <c r="T389" s="38">
        <v>0</v>
      </c>
      <c r="U389" s="125">
        <v>0</v>
      </c>
      <c r="V389" s="125">
        <v>0</v>
      </c>
      <c r="W389" s="125">
        <v>0</v>
      </c>
      <c r="X389" s="36">
        <v>0</v>
      </c>
      <c r="Y389" s="38">
        <v>0</v>
      </c>
      <c r="Z389" s="125">
        <f t="shared" si="121"/>
        <v>0</v>
      </c>
      <c r="AA389" s="125">
        <v>0</v>
      </c>
      <c r="AB389" s="125">
        <v>0</v>
      </c>
      <c r="AC389" s="36">
        <v>0</v>
      </c>
      <c r="AD389" s="94"/>
    </row>
    <row r="390" spans="1:30" s="108" customFormat="1" ht="34.15" customHeight="1" outlineLevel="1" x14ac:dyDescent="0.2">
      <c r="A390" s="114" t="s">
        <v>1448</v>
      </c>
      <c r="B390" s="127" t="s">
        <v>213</v>
      </c>
      <c r="C390" s="38">
        <f t="shared" si="122"/>
        <v>0</v>
      </c>
      <c r="D390" s="125">
        <f t="shared" si="123"/>
        <v>0</v>
      </c>
      <c r="E390" s="76">
        <v>0</v>
      </c>
      <c r="F390" s="126">
        <f t="shared" si="124"/>
        <v>0</v>
      </c>
      <c r="G390" s="125">
        <v>0</v>
      </c>
      <c r="H390" s="125">
        <v>0</v>
      </c>
      <c r="I390" s="125">
        <v>0</v>
      </c>
      <c r="J390" s="76">
        <v>0</v>
      </c>
      <c r="K390" s="126">
        <f t="shared" si="119"/>
        <v>0</v>
      </c>
      <c r="L390" s="125">
        <v>0</v>
      </c>
      <c r="M390" s="125">
        <v>0</v>
      </c>
      <c r="N390" s="125">
        <v>0</v>
      </c>
      <c r="O390" s="38">
        <v>0</v>
      </c>
      <c r="P390" s="125">
        <f t="shared" si="120"/>
        <v>0</v>
      </c>
      <c r="Q390" s="125">
        <v>0</v>
      </c>
      <c r="R390" s="125">
        <v>0</v>
      </c>
      <c r="S390" s="36">
        <v>0</v>
      </c>
      <c r="T390" s="38">
        <v>0</v>
      </c>
      <c r="U390" s="125">
        <v>0</v>
      </c>
      <c r="V390" s="125">
        <v>0</v>
      </c>
      <c r="W390" s="125">
        <v>0</v>
      </c>
      <c r="X390" s="36">
        <v>0</v>
      </c>
      <c r="Y390" s="38">
        <v>0</v>
      </c>
      <c r="Z390" s="125">
        <f t="shared" si="121"/>
        <v>0</v>
      </c>
      <c r="AA390" s="125">
        <v>0</v>
      </c>
      <c r="AB390" s="125">
        <v>0</v>
      </c>
      <c r="AC390" s="36">
        <v>0</v>
      </c>
      <c r="AD390" s="94"/>
    </row>
    <row r="391" spans="1:30" s="108" customFormat="1" ht="28.9" customHeight="1" outlineLevel="1" x14ac:dyDescent="0.2">
      <c r="A391" s="114" t="s">
        <v>1449</v>
      </c>
      <c r="B391" s="127" t="s">
        <v>214</v>
      </c>
      <c r="C391" s="38">
        <f t="shared" si="122"/>
        <v>0</v>
      </c>
      <c r="D391" s="125">
        <f t="shared" si="123"/>
        <v>0</v>
      </c>
      <c r="E391" s="76">
        <v>0</v>
      </c>
      <c r="F391" s="126">
        <f t="shared" si="124"/>
        <v>0</v>
      </c>
      <c r="G391" s="125">
        <v>0</v>
      </c>
      <c r="H391" s="125">
        <v>0</v>
      </c>
      <c r="I391" s="125">
        <v>0</v>
      </c>
      <c r="J391" s="76">
        <v>0</v>
      </c>
      <c r="K391" s="126">
        <f t="shared" si="119"/>
        <v>0</v>
      </c>
      <c r="L391" s="125">
        <v>0</v>
      </c>
      <c r="M391" s="125">
        <v>0</v>
      </c>
      <c r="N391" s="125">
        <v>0</v>
      </c>
      <c r="O391" s="38">
        <v>0</v>
      </c>
      <c r="P391" s="125">
        <f t="shared" si="120"/>
        <v>0</v>
      </c>
      <c r="Q391" s="125">
        <v>0</v>
      </c>
      <c r="R391" s="125">
        <v>0</v>
      </c>
      <c r="S391" s="36">
        <v>0</v>
      </c>
      <c r="T391" s="38">
        <v>0</v>
      </c>
      <c r="U391" s="125">
        <v>0</v>
      </c>
      <c r="V391" s="125">
        <v>0</v>
      </c>
      <c r="W391" s="125">
        <v>0</v>
      </c>
      <c r="X391" s="36">
        <v>0</v>
      </c>
      <c r="Y391" s="38">
        <v>0</v>
      </c>
      <c r="Z391" s="125">
        <f t="shared" si="121"/>
        <v>0</v>
      </c>
      <c r="AA391" s="125">
        <v>0</v>
      </c>
      <c r="AB391" s="125">
        <v>0</v>
      </c>
      <c r="AC391" s="36">
        <v>0</v>
      </c>
      <c r="AD391" s="94"/>
    </row>
    <row r="392" spans="1:30" s="108" customFormat="1" ht="26.45" customHeight="1" outlineLevel="1" x14ac:dyDescent="0.2">
      <c r="A392" s="114" t="s">
        <v>1450</v>
      </c>
      <c r="B392" s="127" t="s">
        <v>215</v>
      </c>
      <c r="C392" s="38">
        <f t="shared" si="122"/>
        <v>0</v>
      </c>
      <c r="D392" s="125">
        <f t="shared" si="123"/>
        <v>0</v>
      </c>
      <c r="E392" s="76">
        <v>0</v>
      </c>
      <c r="F392" s="126">
        <f t="shared" si="124"/>
        <v>0</v>
      </c>
      <c r="G392" s="125">
        <v>0</v>
      </c>
      <c r="H392" s="125">
        <v>0</v>
      </c>
      <c r="I392" s="125">
        <v>0</v>
      </c>
      <c r="J392" s="76">
        <v>0</v>
      </c>
      <c r="K392" s="126">
        <f t="shared" si="119"/>
        <v>0</v>
      </c>
      <c r="L392" s="125">
        <v>0</v>
      </c>
      <c r="M392" s="125">
        <v>0</v>
      </c>
      <c r="N392" s="125">
        <v>0</v>
      </c>
      <c r="O392" s="38">
        <v>0</v>
      </c>
      <c r="P392" s="125">
        <f t="shared" si="120"/>
        <v>0</v>
      </c>
      <c r="Q392" s="125">
        <v>0</v>
      </c>
      <c r="R392" s="125">
        <v>0</v>
      </c>
      <c r="S392" s="36">
        <v>0</v>
      </c>
      <c r="T392" s="38">
        <v>0</v>
      </c>
      <c r="U392" s="125">
        <v>0</v>
      </c>
      <c r="V392" s="125">
        <v>0</v>
      </c>
      <c r="W392" s="125">
        <v>0</v>
      </c>
      <c r="X392" s="36">
        <v>0</v>
      </c>
      <c r="Y392" s="38">
        <v>0</v>
      </c>
      <c r="Z392" s="125">
        <f t="shared" si="121"/>
        <v>0</v>
      </c>
      <c r="AA392" s="125">
        <v>0</v>
      </c>
      <c r="AB392" s="125">
        <v>0</v>
      </c>
      <c r="AC392" s="36">
        <v>0</v>
      </c>
      <c r="AD392" s="94"/>
    </row>
    <row r="393" spans="1:30" s="108" customFormat="1" ht="24" customHeight="1" outlineLevel="1" x14ac:dyDescent="0.2">
      <c r="A393" s="114" t="s">
        <v>1451</v>
      </c>
      <c r="B393" s="127" t="s">
        <v>216</v>
      </c>
      <c r="C393" s="38">
        <f t="shared" si="122"/>
        <v>0</v>
      </c>
      <c r="D393" s="125">
        <f t="shared" si="123"/>
        <v>0</v>
      </c>
      <c r="E393" s="76">
        <v>0</v>
      </c>
      <c r="F393" s="126">
        <f t="shared" si="124"/>
        <v>0</v>
      </c>
      <c r="G393" s="125">
        <v>0</v>
      </c>
      <c r="H393" s="125">
        <v>0</v>
      </c>
      <c r="I393" s="125">
        <v>0</v>
      </c>
      <c r="J393" s="76">
        <v>0</v>
      </c>
      <c r="K393" s="126">
        <f t="shared" si="119"/>
        <v>0</v>
      </c>
      <c r="L393" s="125">
        <v>0</v>
      </c>
      <c r="M393" s="125">
        <v>0</v>
      </c>
      <c r="N393" s="125">
        <v>0</v>
      </c>
      <c r="O393" s="38">
        <v>0</v>
      </c>
      <c r="P393" s="125">
        <f t="shared" si="120"/>
        <v>0</v>
      </c>
      <c r="Q393" s="125">
        <v>0</v>
      </c>
      <c r="R393" s="125">
        <v>0</v>
      </c>
      <c r="S393" s="36">
        <v>0</v>
      </c>
      <c r="T393" s="38">
        <v>0</v>
      </c>
      <c r="U393" s="125">
        <v>0</v>
      </c>
      <c r="V393" s="125">
        <v>0</v>
      </c>
      <c r="W393" s="125">
        <v>0</v>
      </c>
      <c r="X393" s="36">
        <v>0</v>
      </c>
      <c r="Y393" s="38">
        <v>0</v>
      </c>
      <c r="Z393" s="125">
        <f t="shared" si="121"/>
        <v>0</v>
      </c>
      <c r="AA393" s="125">
        <v>0</v>
      </c>
      <c r="AB393" s="125">
        <v>0</v>
      </c>
      <c r="AC393" s="36">
        <v>0</v>
      </c>
      <c r="AD393" s="94"/>
    </row>
    <row r="394" spans="1:30" s="108" customFormat="1" ht="24" customHeight="1" outlineLevel="1" x14ac:dyDescent="0.2">
      <c r="A394" s="114" t="s">
        <v>1452</v>
      </c>
      <c r="B394" s="127" t="s">
        <v>217</v>
      </c>
      <c r="C394" s="38">
        <f t="shared" si="122"/>
        <v>0</v>
      </c>
      <c r="D394" s="125">
        <f t="shared" si="123"/>
        <v>0</v>
      </c>
      <c r="E394" s="76">
        <v>0</v>
      </c>
      <c r="F394" s="126">
        <f t="shared" si="124"/>
        <v>0</v>
      </c>
      <c r="G394" s="125">
        <v>0</v>
      </c>
      <c r="H394" s="125">
        <v>0</v>
      </c>
      <c r="I394" s="125">
        <v>0</v>
      </c>
      <c r="J394" s="76">
        <v>0</v>
      </c>
      <c r="K394" s="126">
        <f t="shared" si="119"/>
        <v>0</v>
      </c>
      <c r="L394" s="125">
        <v>0</v>
      </c>
      <c r="M394" s="125">
        <v>0</v>
      </c>
      <c r="N394" s="125">
        <v>0</v>
      </c>
      <c r="O394" s="38">
        <v>0</v>
      </c>
      <c r="P394" s="125">
        <f t="shared" si="120"/>
        <v>0</v>
      </c>
      <c r="Q394" s="125">
        <v>0</v>
      </c>
      <c r="R394" s="125">
        <v>0</v>
      </c>
      <c r="S394" s="36">
        <v>0</v>
      </c>
      <c r="T394" s="38">
        <v>0</v>
      </c>
      <c r="U394" s="125">
        <v>0</v>
      </c>
      <c r="V394" s="125">
        <v>0</v>
      </c>
      <c r="W394" s="125">
        <v>0</v>
      </c>
      <c r="X394" s="36">
        <v>0</v>
      </c>
      <c r="Y394" s="38">
        <v>0</v>
      </c>
      <c r="Z394" s="125">
        <f t="shared" si="121"/>
        <v>0</v>
      </c>
      <c r="AA394" s="125">
        <v>0</v>
      </c>
      <c r="AB394" s="125">
        <v>0</v>
      </c>
      <c r="AC394" s="36">
        <v>0</v>
      </c>
      <c r="AD394" s="94"/>
    </row>
    <row r="395" spans="1:30" s="108" customFormat="1" ht="37.9" customHeight="1" outlineLevel="1" x14ac:dyDescent="0.2">
      <c r="A395" s="114" t="s">
        <v>1453</v>
      </c>
      <c r="B395" s="127" t="s">
        <v>338</v>
      </c>
      <c r="C395" s="38">
        <f t="shared" si="122"/>
        <v>0</v>
      </c>
      <c r="D395" s="125">
        <f t="shared" si="123"/>
        <v>0</v>
      </c>
      <c r="E395" s="76">
        <v>0</v>
      </c>
      <c r="F395" s="126">
        <f t="shared" si="124"/>
        <v>0</v>
      </c>
      <c r="G395" s="125">
        <v>0</v>
      </c>
      <c r="H395" s="125">
        <v>0</v>
      </c>
      <c r="I395" s="125">
        <v>0</v>
      </c>
      <c r="J395" s="76">
        <v>0</v>
      </c>
      <c r="K395" s="126">
        <f t="shared" si="119"/>
        <v>0</v>
      </c>
      <c r="L395" s="125">
        <v>0</v>
      </c>
      <c r="M395" s="125">
        <v>0</v>
      </c>
      <c r="N395" s="125">
        <v>0</v>
      </c>
      <c r="O395" s="38">
        <v>0</v>
      </c>
      <c r="P395" s="125">
        <f t="shared" si="120"/>
        <v>0</v>
      </c>
      <c r="Q395" s="125">
        <v>0</v>
      </c>
      <c r="R395" s="125">
        <v>0</v>
      </c>
      <c r="S395" s="36">
        <v>0</v>
      </c>
      <c r="T395" s="38">
        <v>0</v>
      </c>
      <c r="U395" s="125">
        <v>0</v>
      </c>
      <c r="V395" s="125">
        <v>0</v>
      </c>
      <c r="W395" s="125">
        <v>0</v>
      </c>
      <c r="X395" s="36">
        <v>0</v>
      </c>
      <c r="Y395" s="38">
        <v>0</v>
      </c>
      <c r="Z395" s="125">
        <f t="shared" si="121"/>
        <v>0</v>
      </c>
      <c r="AA395" s="125">
        <v>0</v>
      </c>
      <c r="AB395" s="125">
        <v>0</v>
      </c>
      <c r="AC395" s="36">
        <v>0</v>
      </c>
      <c r="AD395" s="94"/>
    </row>
    <row r="396" spans="1:30" s="108" customFormat="1" ht="29.45" customHeight="1" outlineLevel="1" x14ac:dyDescent="0.2">
      <c r="A396" s="114" t="s">
        <v>1454</v>
      </c>
      <c r="B396" s="127" t="s">
        <v>218</v>
      </c>
      <c r="C396" s="38">
        <f t="shared" si="122"/>
        <v>0</v>
      </c>
      <c r="D396" s="125">
        <f t="shared" si="123"/>
        <v>0</v>
      </c>
      <c r="E396" s="76">
        <v>0</v>
      </c>
      <c r="F396" s="126">
        <f t="shared" si="124"/>
        <v>0</v>
      </c>
      <c r="G396" s="125">
        <v>0</v>
      </c>
      <c r="H396" s="125">
        <v>0</v>
      </c>
      <c r="I396" s="125">
        <v>0</v>
      </c>
      <c r="J396" s="76">
        <v>0</v>
      </c>
      <c r="K396" s="126">
        <f t="shared" si="119"/>
        <v>0</v>
      </c>
      <c r="L396" s="125">
        <v>0</v>
      </c>
      <c r="M396" s="125">
        <v>0</v>
      </c>
      <c r="N396" s="125">
        <v>0</v>
      </c>
      <c r="O396" s="38">
        <v>0</v>
      </c>
      <c r="P396" s="125">
        <f t="shared" si="120"/>
        <v>0</v>
      </c>
      <c r="Q396" s="125">
        <v>0</v>
      </c>
      <c r="R396" s="125">
        <v>0</v>
      </c>
      <c r="S396" s="36">
        <v>0</v>
      </c>
      <c r="T396" s="38">
        <v>0</v>
      </c>
      <c r="U396" s="125">
        <v>0</v>
      </c>
      <c r="V396" s="125">
        <v>0</v>
      </c>
      <c r="W396" s="125">
        <v>0</v>
      </c>
      <c r="X396" s="36">
        <v>0</v>
      </c>
      <c r="Y396" s="38">
        <v>0</v>
      </c>
      <c r="Z396" s="125">
        <f t="shared" si="121"/>
        <v>0</v>
      </c>
      <c r="AA396" s="125">
        <v>0</v>
      </c>
      <c r="AB396" s="125">
        <v>0</v>
      </c>
      <c r="AC396" s="36">
        <v>0</v>
      </c>
      <c r="AD396" s="94"/>
    </row>
    <row r="397" spans="1:30" s="108" customFormat="1" ht="25.15" customHeight="1" outlineLevel="1" x14ac:dyDescent="0.2">
      <c r="A397" s="114" t="s">
        <v>1455</v>
      </c>
      <c r="B397" s="127" t="s">
        <v>219</v>
      </c>
      <c r="C397" s="38">
        <f t="shared" si="122"/>
        <v>0</v>
      </c>
      <c r="D397" s="125">
        <f t="shared" si="123"/>
        <v>0</v>
      </c>
      <c r="E397" s="76">
        <v>0</v>
      </c>
      <c r="F397" s="126">
        <f t="shared" si="124"/>
        <v>0</v>
      </c>
      <c r="G397" s="125">
        <v>0</v>
      </c>
      <c r="H397" s="125">
        <v>0</v>
      </c>
      <c r="I397" s="125">
        <v>0</v>
      </c>
      <c r="J397" s="76">
        <v>0</v>
      </c>
      <c r="K397" s="126">
        <f t="shared" si="119"/>
        <v>0</v>
      </c>
      <c r="L397" s="125">
        <v>0</v>
      </c>
      <c r="M397" s="125">
        <v>0</v>
      </c>
      <c r="N397" s="125">
        <v>0</v>
      </c>
      <c r="O397" s="38">
        <v>0</v>
      </c>
      <c r="P397" s="125">
        <f t="shared" si="120"/>
        <v>0</v>
      </c>
      <c r="Q397" s="125">
        <v>0</v>
      </c>
      <c r="R397" s="125">
        <v>0</v>
      </c>
      <c r="S397" s="36">
        <v>0</v>
      </c>
      <c r="T397" s="38">
        <v>0</v>
      </c>
      <c r="U397" s="125">
        <v>0</v>
      </c>
      <c r="V397" s="125">
        <v>0</v>
      </c>
      <c r="W397" s="125">
        <v>0</v>
      </c>
      <c r="X397" s="36">
        <v>0</v>
      </c>
      <c r="Y397" s="38">
        <v>0</v>
      </c>
      <c r="Z397" s="125">
        <f t="shared" si="121"/>
        <v>0</v>
      </c>
      <c r="AA397" s="125">
        <v>0</v>
      </c>
      <c r="AB397" s="125">
        <v>0</v>
      </c>
      <c r="AC397" s="36">
        <v>0</v>
      </c>
      <c r="AD397" s="94"/>
    </row>
    <row r="398" spans="1:30" s="108" customFormat="1" ht="37.15" customHeight="1" outlineLevel="1" x14ac:dyDescent="0.2">
      <c r="A398" s="114" t="s">
        <v>1456</v>
      </c>
      <c r="B398" s="127" t="s">
        <v>220</v>
      </c>
      <c r="C398" s="38">
        <f t="shared" si="122"/>
        <v>0</v>
      </c>
      <c r="D398" s="125">
        <f t="shared" si="123"/>
        <v>0</v>
      </c>
      <c r="E398" s="76">
        <v>0</v>
      </c>
      <c r="F398" s="126">
        <f t="shared" si="124"/>
        <v>0</v>
      </c>
      <c r="G398" s="125">
        <v>0</v>
      </c>
      <c r="H398" s="125">
        <v>0</v>
      </c>
      <c r="I398" s="125">
        <v>0</v>
      </c>
      <c r="J398" s="76">
        <v>0</v>
      </c>
      <c r="K398" s="126">
        <f t="shared" si="119"/>
        <v>0</v>
      </c>
      <c r="L398" s="125">
        <v>0</v>
      </c>
      <c r="M398" s="125">
        <v>0</v>
      </c>
      <c r="N398" s="125">
        <v>0</v>
      </c>
      <c r="O398" s="38">
        <v>0</v>
      </c>
      <c r="P398" s="125">
        <f t="shared" si="120"/>
        <v>0</v>
      </c>
      <c r="Q398" s="125">
        <v>0</v>
      </c>
      <c r="R398" s="125">
        <v>0</v>
      </c>
      <c r="S398" s="36">
        <v>0</v>
      </c>
      <c r="T398" s="38">
        <v>0</v>
      </c>
      <c r="U398" s="125">
        <v>0</v>
      </c>
      <c r="V398" s="125">
        <v>0</v>
      </c>
      <c r="W398" s="125">
        <v>0</v>
      </c>
      <c r="X398" s="36">
        <v>0</v>
      </c>
      <c r="Y398" s="38">
        <v>0</v>
      </c>
      <c r="Z398" s="125">
        <f t="shared" si="121"/>
        <v>0</v>
      </c>
      <c r="AA398" s="125">
        <v>0</v>
      </c>
      <c r="AB398" s="125">
        <v>0</v>
      </c>
      <c r="AC398" s="36">
        <v>0</v>
      </c>
      <c r="AD398" s="94"/>
    </row>
    <row r="399" spans="1:30" s="108" customFormat="1" ht="25.9" customHeight="1" outlineLevel="1" x14ac:dyDescent="0.2">
      <c r="A399" s="114" t="s">
        <v>1457</v>
      </c>
      <c r="B399" s="127" t="s">
        <v>339</v>
      </c>
      <c r="C399" s="38">
        <f t="shared" si="122"/>
        <v>0</v>
      </c>
      <c r="D399" s="125">
        <f t="shared" si="123"/>
        <v>0</v>
      </c>
      <c r="E399" s="76">
        <v>0</v>
      </c>
      <c r="F399" s="126">
        <f t="shared" si="124"/>
        <v>0</v>
      </c>
      <c r="G399" s="125">
        <v>0</v>
      </c>
      <c r="H399" s="125">
        <v>0</v>
      </c>
      <c r="I399" s="125">
        <v>0</v>
      </c>
      <c r="J399" s="76">
        <v>0</v>
      </c>
      <c r="K399" s="126">
        <f t="shared" si="119"/>
        <v>0</v>
      </c>
      <c r="L399" s="125">
        <v>0</v>
      </c>
      <c r="M399" s="125">
        <v>0</v>
      </c>
      <c r="N399" s="125">
        <v>0</v>
      </c>
      <c r="O399" s="38">
        <v>0</v>
      </c>
      <c r="P399" s="125">
        <f t="shared" si="120"/>
        <v>0</v>
      </c>
      <c r="Q399" s="125">
        <v>0</v>
      </c>
      <c r="R399" s="125">
        <v>0</v>
      </c>
      <c r="S399" s="36">
        <v>0</v>
      </c>
      <c r="T399" s="38">
        <v>0</v>
      </c>
      <c r="U399" s="125">
        <v>0</v>
      </c>
      <c r="V399" s="125">
        <v>0</v>
      </c>
      <c r="W399" s="125">
        <v>0</v>
      </c>
      <c r="X399" s="36">
        <v>0</v>
      </c>
      <c r="Y399" s="38">
        <v>0</v>
      </c>
      <c r="Z399" s="125">
        <f t="shared" si="121"/>
        <v>0</v>
      </c>
      <c r="AA399" s="125">
        <v>0</v>
      </c>
      <c r="AB399" s="125">
        <v>0</v>
      </c>
      <c r="AC399" s="36">
        <v>0</v>
      </c>
      <c r="AD399" s="94"/>
    </row>
    <row r="400" spans="1:30" s="108" customFormat="1" ht="29.45" customHeight="1" outlineLevel="1" x14ac:dyDescent="0.2">
      <c r="A400" s="114" t="s">
        <v>1458</v>
      </c>
      <c r="B400" s="127" t="s">
        <v>340</v>
      </c>
      <c r="C400" s="38">
        <f t="shared" si="122"/>
        <v>0</v>
      </c>
      <c r="D400" s="125">
        <f t="shared" si="123"/>
        <v>0</v>
      </c>
      <c r="E400" s="76">
        <v>0</v>
      </c>
      <c r="F400" s="126">
        <f t="shared" si="124"/>
        <v>0</v>
      </c>
      <c r="G400" s="125">
        <v>0</v>
      </c>
      <c r="H400" s="125">
        <v>0</v>
      </c>
      <c r="I400" s="125">
        <v>0</v>
      </c>
      <c r="J400" s="76">
        <v>0</v>
      </c>
      <c r="K400" s="126">
        <f t="shared" si="119"/>
        <v>0</v>
      </c>
      <c r="L400" s="125">
        <v>0</v>
      </c>
      <c r="M400" s="125">
        <v>0</v>
      </c>
      <c r="N400" s="125">
        <v>0</v>
      </c>
      <c r="O400" s="38">
        <v>0</v>
      </c>
      <c r="P400" s="125">
        <f t="shared" si="120"/>
        <v>0</v>
      </c>
      <c r="Q400" s="125">
        <v>0</v>
      </c>
      <c r="R400" s="125">
        <v>0</v>
      </c>
      <c r="S400" s="36">
        <v>0</v>
      </c>
      <c r="T400" s="38">
        <v>0</v>
      </c>
      <c r="U400" s="125">
        <v>0</v>
      </c>
      <c r="V400" s="125">
        <v>0</v>
      </c>
      <c r="W400" s="125">
        <v>0</v>
      </c>
      <c r="X400" s="36">
        <v>0</v>
      </c>
      <c r="Y400" s="38">
        <v>0</v>
      </c>
      <c r="Z400" s="125">
        <f t="shared" si="121"/>
        <v>0</v>
      </c>
      <c r="AA400" s="125">
        <v>0</v>
      </c>
      <c r="AB400" s="125">
        <v>0</v>
      </c>
      <c r="AC400" s="36">
        <v>0</v>
      </c>
      <c r="AD400" s="94"/>
    </row>
    <row r="401" spans="1:30" s="108" customFormat="1" ht="25.15" customHeight="1" outlineLevel="1" x14ac:dyDescent="0.2">
      <c r="A401" s="114" t="s">
        <v>1459</v>
      </c>
      <c r="B401" s="127" t="s">
        <v>341</v>
      </c>
      <c r="C401" s="38">
        <f t="shared" si="122"/>
        <v>0</v>
      </c>
      <c r="D401" s="125">
        <f t="shared" si="123"/>
        <v>0</v>
      </c>
      <c r="E401" s="76">
        <v>0</v>
      </c>
      <c r="F401" s="126">
        <f t="shared" si="124"/>
        <v>0</v>
      </c>
      <c r="G401" s="125">
        <v>0</v>
      </c>
      <c r="H401" s="125">
        <v>0</v>
      </c>
      <c r="I401" s="125">
        <v>0</v>
      </c>
      <c r="J401" s="76">
        <v>0</v>
      </c>
      <c r="K401" s="126">
        <f t="shared" si="119"/>
        <v>0</v>
      </c>
      <c r="L401" s="125">
        <v>0</v>
      </c>
      <c r="M401" s="125">
        <v>0</v>
      </c>
      <c r="N401" s="125">
        <v>0</v>
      </c>
      <c r="O401" s="38">
        <v>0</v>
      </c>
      <c r="P401" s="125">
        <f t="shared" si="120"/>
        <v>0</v>
      </c>
      <c r="Q401" s="125">
        <v>0</v>
      </c>
      <c r="R401" s="125">
        <v>0</v>
      </c>
      <c r="S401" s="36">
        <v>0</v>
      </c>
      <c r="T401" s="38">
        <v>0</v>
      </c>
      <c r="U401" s="125">
        <v>0</v>
      </c>
      <c r="V401" s="125">
        <v>0</v>
      </c>
      <c r="W401" s="125">
        <v>0</v>
      </c>
      <c r="X401" s="36">
        <v>0</v>
      </c>
      <c r="Y401" s="38">
        <v>0</v>
      </c>
      <c r="Z401" s="125">
        <f t="shared" si="121"/>
        <v>0</v>
      </c>
      <c r="AA401" s="125">
        <v>0</v>
      </c>
      <c r="AB401" s="125">
        <v>0</v>
      </c>
      <c r="AC401" s="36">
        <v>0</v>
      </c>
      <c r="AD401" s="94"/>
    </row>
    <row r="402" spans="1:30" s="108" customFormat="1" ht="27" customHeight="1" outlineLevel="1" x14ac:dyDescent="0.2">
      <c r="A402" s="114" t="s">
        <v>1460</v>
      </c>
      <c r="B402" s="127" t="s">
        <v>342</v>
      </c>
      <c r="C402" s="38">
        <f t="shared" si="122"/>
        <v>0</v>
      </c>
      <c r="D402" s="125">
        <f t="shared" si="123"/>
        <v>0</v>
      </c>
      <c r="E402" s="76">
        <v>0</v>
      </c>
      <c r="F402" s="126">
        <f t="shared" si="124"/>
        <v>0</v>
      </c>
      <c r="G402" s="125">
        <v>0</v>
      </c>
      <c r="H402" s="125">
        <v>0</v>
      </c>
      <c r="I402" s="125">
        <v>0</v>
      </c>
      <c r="J402" s="76">
        <v>0</v>
      </c>
      <c r="K402" s="126">
        <f t="shared" si="119"/>
        <v>0</v>
      </c>
      <c r="L402" s="125">
        <v>0</v>
      </c>
      <c r="M402" s="125">
        <v>0</v>
      </c>
      <c r="N402" s="125">
        <v>0</v>
      </c>
      <c r="O402" s="38">
        <v>0</v>
      </c>
      <c r="P402" s="125">
        <f t="shared" si="120"/>
        <v>0</v>
      </c>
      <c r="Q402" s="125">
        <v>0</v>
      </c>
      <c r="R402" s="125">
        <v>0</v>
      </c>
      <c r="S402" s="36">
        <v>0</v>
      </c>
      <c r="T402" s="38">
        <v>0</v>
      </c>
      <c r="U402" s="125">
        <v>0</v>
      </c>
      <c r="V402" s="125">
        <v>0</v>
      </c>
      <c r="W402" s="125">
        <v>0</v>
      </c>
      <c r="X402" s="36">
        <v>0</v>
      </c>
      <c r="Y402" s="38">
        <v>0</v>
      </c>
      <c r="Z402" s="125">
        <f t="shared" si="121"/>
        <v>0</v>
      </c>
      <c r="AA402" s="125">
        <v>0</v>
      </c>
      <c r="AB402" s="125">
        <v>0</v>
      </c>
      <c r="AC402" s="36">
        <v>0</v>
      </c>
      <c r="AD402" s="94"/>
    </row>
    <row r="403" spans="1:30" s="108" customFormat="1" ht="25.15" customHeight="1" outlineLevel="1" x14ac:dyDescent="0.2">
      <c r="A403" s="114" t="s">
        <v>1461</v>
      </c>
      <c r="B403" s="127" t="s">
        <v>221</v>
      </c>
      <c r="C403" s="38">
        <f t="shared" si="122"/>
        <v>0</v>
      </c>
      <c r="D403" s="125">
        <f t="shared" si="123"/>
        <v>0</v>
      </c>
      <c r="E403" s="76">
        <v>0</v>
      </c>
      <c r="F403" s="126">
        <f t="shared" si="124"/>
        <v>0</v>
      </c>
      <c r="G403" s="125">
        <v>0</v>
      </c>
      <c r="H403" s="125">
        <v>0</v>
      </c>
      <c r="I403" s="125">
        <v>0</v>
      </c>
      <c r="J403" s="76">
        <v>0</v>
      </c>
      <c r="K403" s="126">
        <f t="shared" si="119"/>
        <v>0</v>
      </c>
      <c r="L403" s="125">
        <v>0</v>
      </c>
      <c r="M403" s="125">
        <v>0</v>
      </c>
      <c r="N403" s="125">
        <v>0</v>
      </c>
      <c r="O403" s="38">
        <v>0</v>
      </c>
      <c r="P403" s="125">
        <f t="shared" si="120"/>
        <v>0</v>
      </c>
      <c r="Q403" s="125">
        <v>0</v>
      </c>
      <c r="R403" s="125">
        <v>0</v>
      </c>
      <c r="S403" s="36">
        <v>0</v>
      </c>
      <c r="T403" s="38">
        <v>0</v>
      </c>
      <c r="U403" s="125">
        <v>0</v>
      </c>
      <c r="V403" s="125">
        <v>0</v>
      </c>
      <c r="W403" s="125">
        <v>0</v>
      </c>
      <c r="X403" s="36">
        <v>0</v>
      </c>
      <c r="Y403" s="38">
        <v>0</v>
      </c>
      <c r="Z403" s="125">
        <f t="shared" si="121"/>
        <v>0</v>
      </c>
      <c r="AA403" s="125">
        <v>0</v>
      </c>
      <c r="AB403" s="125">
        <v>0</v>
      </c>
      <c r="AC403" s="36">
        <v>0</v>
      </c>
      <c r="AD403" s="94"/>
    </row>
    <row r="404" spans="1:30" s="108" customFormat="1" ht="22.9" customHeight="1" outlineLevel="1" x14ac:dyDescent="0.2">
      <c r="A404" s="114" t="s">
        <v>1462</v>
      </c>
      <c r="B404" s="127" t="s">
        <v>222</v>
      </c>
      <c r="C404" s="38">
        <f t="shared" si="122"/>
        <v>0</v>
      </c>
      <c r="D404" s="125">
        <f t="shared" si="123"/>
        <v>0</v>
      </c>
      <c r="E404" s="76">
        <v>0</v>
      </c>
      <c r="F404" s="126">
        <f t="shared" si="124"/>
        <v>0</v>
      </c>
      <c r="G404" s="125">
        <v>0</v>
      </c>
      <c r="H404" s="125">
        <v>0</v>
      </c>
      <c r="I404" s="125">
        <v>0</v>
      </c>
      <c r="J404" s="76">
        <v>0</v>
      </c>
      <c r="K404" s="126">
        <f t="shared" si="119"/>
        <v>0</v>
      </c>
      <c r="L404" s="125">
        <v>0</v>
      </c>
      <c r="M404" s="125">
        <v>0</v>
      </c>
      <c r="N404" s="125">
        <v>0</v>
      </c>
      <c r="O404" s="38">
        <v>0</v>
      </c>
      <c r="P404" s="125">
        <f t="shared" si="120"/>
        <v>0</v>
      </c>
      <c r="Q404" s="125">
        <v>0</v>
      </c>
      <c r="R404" s="125">
        <v>0</v>
      </c>
      <c r="S404" s="36">
        <v>0</v>
      </c>
      <c r="T404" s="38">
        <v>0</v>
      </c>
      <c r="U404" s="125">
        <v>0</v>
      </c>
      <c r="V404" s="125">
        <v>0</v>
      </c>
      <c r="W404" s="125">
        <v>0</v>
      </c>
      <c r="X404" s="36">
        <v>0</v>
      </c>
      <c r="Y404" s="38">
        <v>0</v>
      </c>
      <c r="Z404" s="125">
        <f t="shared" si="121"/>
        <v>0</v>
      </c>
      <c r="AA404" s="125">
        <v>0</v>
      </c>
      <c r="AB404" s="125">
        <v>0</v>
      </c>
      <c r="AC404" s="36">
        <v>0</v>
      </c>
      <c r="AD404" s="94"/>
    </row>
    <row r="405" spans="1:30" s="108" customFormat="1" ht="31.15" customHeight="1" outlineLevel="1" x14ac:dyDescent="0.2">
      <c r="A405" s="114" t="s">
        <v>1463</v>
      </c>
      <c r="B405" s="127" t="s">
        <v>223</v>
      </c>
      <c r="C405" s="38">
        <f t="shared" si="122"/>
        <v>0</v>
      </c>
      <c r="D405" s="125">
        <f t="shared" si="123"/>
        <v>0</v>
      </c>
      <c r="E405" s="76">
        <v>0</v>
      </c>
      <c r="F405" s="126">
        <f t="shared" si="124"/>
        <v>0</v>
      </c>
      <c r="G405" s="125">
        <v>0</v>
      </c>
      <c r="H405" s="125">
        <v>0</v>
      </c>
      <c r="I405" s="125">
        <v>0</v>
      </c>
      <c r="J405" s="76">
        <v>0</v>
      </c>
      <c r="K405" s="126">
        <f t="shared" si="119"/>
        <v>0</v>
      </c>
      <c r="L405" s="125">
        <v>0</v>
      </c>
      <c r="M405" s="125">
        <v>0</v>
      </c>
      <c r="N405" s="125">
        <v>0</v>
      </c>
      <c r="O405" s="38">
        <v>0</v>
      </c>
      <c r="P405" s="125">
        <f t="shared" si="120"/>
        <v>0</v>
      </c>
      <c r="Q405" s="125">
        <v>0</v>
      </c>
      <c r="R405" s="125">
        <v>0</v>
      </c>
      <c r="S405" s="36">
        <v>0</v>
      </c>
      <c r="T405" s="38">
        <v>0</v>
      </c>
      <c r="U405" s="125">
        <v>0</v>
      </c>
      <c r="V405" s="125">
        <v>0</v>
      </c>
      <c r="W405" s="125">
        <v>0</v>
      </c>
      <c r="X405" s="36">
        <v>0</v>
      </c>
      <c r="Y405" s="38">
        <v>0</v>
      </c>
      <c r="Z405" s="125">
        <f t="shared" si="121"/>
        <v>0</v>
      </c>
      <c r="AA405" s="125">
        <v>0</v>
      </c>
      <c r="AB405" s="125">
        <v>0</v>
      </c>
      <c r="AC405" s="36">
        <v>0</v>
      </c>
      <c r="AD405" s="94"/>
    </row>
    <row r="406" spans="1:30" s="108" customFormat="1" ht="31.15" customHeight="1" outlineLevel="1" x14ac:dyDescent="0.2">
      <c r="A406" s="114" t="s">
        <v>1464</v>
      </c>
      <c r="B406" s="127" t="s">
        <v>224</v>
      </c>
      <c r="C406" s="38">
        <f t="shared" si="122"/>
        <v>0</v>
      </c>
      <c r="D406" s="125">
        <f t="shared" si="123"/>
        <v>0</v>
      </c>
      <c r="E406" s="76">
        <v>0</v>
      </c>
      <c r="F406" s="126">
        <f t="shared" si="124"/>
        <v>0</v>
      </c>
      <c r="G406" s="125">
        <v>0</v>
      </c>
      <c r="H406" s="125">
        <v>0</v>
      </c>
      <c r="I406" s="125">
        <v>0</v>
      </c>
      <c r="J406" s="76">
        <v>0</v>
      </c>
      <c r="K406" s="126">
        <f t="shared" si="119"/>
        <v>0</v>
      </c>
      <c r="L406" s="125">
        <v>0</v>
      </c>
      <c r="M406" s="125">
        <v>0</v>
      </c>
      <c r="N406" s="125">
        <v>0</v>
      </c>
      <c r="O406" s="38">
        <v>0</v>
      </c>
      <c r="P406" s="125">
        <f t="shared" si="120"/>
        <v>0</v>
      </c>
      <c r="Q406" s="125">
        <v>0</v>
      </c>
      <c r="R406" s="125">
        <v>0</v>
      </c>
      <c r="S406" s="36">
        <v>0</v>
      </c>
      <c r="T406" s="38">
        <v>0</v>
      </c>
      <c r="U406" s="125">
        <v>0</v>
      </c>
      <c r="V406" s="125">
        <v>0</v>
      </c>
      <c r="W406" s="125">
        <v>0</v>
      </c>
      <c r="X406" s="36">
        <v>0</v>
      </c>
      <c r="Y406" s="38">
        <v>0</v>
      </c>
      <c r="Z406" s="125">
        <f t="shared" si="121"/>
        <v>0</v>
      </c>
      <c r="AA406" s="125">
        <v>0</v>
      </c>
      <c r="AB406" s="125">
        <v>0</v>
      </c>
      <c r="AC406" s="36">
        <v>0</v>
      </c>
      <c r="AD406" s="94"/>
    </row>
    <row r="407" spans="1:30" s="108" customFormat="1" ht="31.9" customHeight="1" outlineLevel="1" x14ac:dyDescent="0.2">
      <c r="A407" s="114" t="s">
        <v>1465</v>
      </c>
      <c r="B407" s="127" t="s">
        <v>225</v>
      </c>
      <c r="C407" s="38">
        <f t="shared" si="122"/>
        <v>0</v>
      </c>
      <c r="D407" s="125">
        <f t="shared" si="123"/>
        <v>0</v>
      </c>
      <c r="E407" s="76">
        <v>0</v>
      </c>
      <c r="F407" s="126">
        <f t="shared" si="124"/>
        <v>0</v>
      </c>
      <c r="G407" s="125">
        <v>0</v>
      </c>
      <c r="H407" s="125">
        <v>0</v>
      </c>
      <c r="I407" s="125">
        <v>0</v>
      </c>
      <c r="J407" s="76">
        <v>0</v>
      </c>
      <c r="K407" s="126">
        <f t="shared" si="119"/>
        <v>0</v>
      </c>
      <c r="L407" s="125">
        <v>0</v>
      </c>
      <c r="M407" s="125">
        <v>0</v>
      </c>
      <c r="N407" s="125">
        <v>0</v>
      </c>
      <c r="O407" s="38">
        <v>0</v>
      </c>
      <c r="P407" s="125">
        <f t="shared" si="120"/>
        <v>0</v>
      </c>
      <c r="Q407" s="125">
        <v>0</v>
      </c>
      <c r="R407" s="125">
        <v>0</v>
      </c>
      <c r="S407" s="36">
        <v>0</v>
      </c>
      <c r="T407" s="38">
        <v>0</v>
      </c>
      <c r="U407" s="125">
        <v>0</v>
      </c>
      <c r="V407" s="125">
        <v>0</v>
      </c>
      <c r="W407" s="125">
        <v>0</v>
      </c>
      <c r="X407" s="36">
        <v>0</v>
      </c>
      <c r="Y407" s="38">
        <v>0</v>
      </c>
      <c r="Z407" s="125">
        <f t="shared" si="121"/>
        <v>0</v>
      </c>
      <c r="AA407" s="125">
        <v>0</v>
      </c>
      <c r="AB407" s="125">
        <v>0</v>
      </c>
      <c r="AC407" s="36">
        <v>0</v>
      </c>
      <c r="AD407" s="94"/>
    </row>
    <row r="408" spans="1:30" s="108" customFormat="1" ht="33" customHeight="1" outlineLevel="1" x14ac:dyDescent="0.2">
      <c r="A408" s="114" t="s">
        <v>1466</v>
      </c>
      <c r="B408" s="127" t="s">
        <v>226</v>
      </c>
      <c r="C408" s="38">
        <f t="shared" si="122"/>
        <v>0</v>
      </c>
      <c r="D408" s="125">
        <f t="shared" si="123"/>
        <v>0</v>
      </c>
      <c r="E408" s="76">
        <v>0</v>
      </c>
      <c r="F408" s="126">
        <f t="shared" si="124"/>
        <v>0</v>
      </c>
      <c r="G408" s="125">
        <v>0</v>
      </c>
      <c r="H408" s="125">
        <v>0</v>
      </c>
      <c r="I408" s="125">
        <v>0</v>
      </c>
      <c r="J408" s="76">
        <v>0</v>
      </c>
      <c r="K408" s="126">
        <f t="shared" si="119"/>
        <v>0</v>
      </c>
      <c r="L408" s="125">
        <v>0</v>
      </c>
      <c r="M408" s="125">
        <v>0</v>
      </c>
      <c r="N408" s="125">
        <v>0</v>
      </c>
      <c r="O408" s="38">
        <v>0</v>
      </c>
      <c r="P408" s="125">
        <f t="shared" si="120"/>
        <v>0</v>
      </c>
      <c r="Q408" s="125">
        <v>0</v>
      </c>
      <c r="R408" s="125">
        <v>0</v>
      </c>
      <c r="S408" s="36">
        <v>0</v>
      </c>
      <c r="T408" s="38">
        <v>0</v>
      </c>
      <c r="U408" s="125">
        <v>0</v>
      </c>
      <c r="V408" s="125">
        <v>0</v>
      </c>
      <c r="W408" s="125">
        <v>0</v>
      </c>
      <c r="X408" s="36">
        <v>0</v>
      </c>
      <c r="Y408" s="38">
        <v>0</v>
      </c>
      <c r="Z408" s="125">
        <f t="shared" si="121"/>
        <v>0</v>
      </c>
      <c r="AA408" s="125">
        <v>0</v>
      </c>
      <c r="AB408" s="125">
        <v>0</v>
      </c>
      <c r="AC408" s="36">
        <v>0</v>
      </c>
      <c r="AD408" s="94"/>
    </row>
    <row r="409" spans="1:30" s="108" customFormat="1" ht="31.15" customHeight="1" outlineLevel="1" x14ac:dyDescent="0.2">
      <c r="A409" s="114" t="s">
        <v>1467</v>
      </c>
      <c r="B409" s="127" t="s">
        <v>227</v>
      </c>
      <c r="C409" s="38">
        <f t="shared" si="122"/>
        <v>0</v>
      </c>
      <c r="D409" s="125">
        <f t="shared" si="123"/>
        <v>0</v>
      </c>
      <c r="E409" s="76">
        <v>0</v>
      </c>
      <c r="F409" s="126">
        <f t="shared" si="124"/>
        <v>0</v>
      </c>
      <c r="G409" s="125">
        <v>0</v>
      </c>
      <c r="H409" s="125">
        <v>0</v>
      </c>
      <c r="I409" s="125">
        <v>0</v>
      </c>
      <c r="J409" s="76">
        <v>0</v>
      </c>
      <c r="K409" s="126">
        <f t="shared" si="119"/>
        <v>0</v>
      </c>
      <c r="L409" s="125">
        <v>0</v>
      </c>
      <c r="M409" s="125">
        <v>0</v>
      </c>
      <c r="N409" s="125">
        <v>0</v>
      </c>
      <c r="O409" s="38">
        <v>0</v>
      </c>
      <c r="P409" s="125">
        <f t="shared" si="120"/>
        <v>0</v>
      </c>
      <c r="Q409" s="125">
        <v>0</v>
      </c>
      <c r="R409" s="125">
        <v>0</v>
      </c>
      <c r="S409" s="36">
        <v>0</v>
      </c>
      <c r="T409" s="38">
        <v>0</v>
      </c>
      <c r="U409" s="125">
        <v>0</v>
      </c>
      <c r="V409" s="125">
        <v>0</v>
      </c>
      <c r="W409" s="125">
        <v>0</v>
      </c>
      <c r="X409" s="36">
        <v>0</v>
      </c>
      <c r="Y409" s="38">
        <v>0</v>
      </c>
      <c r="Z409" s="125">
        <f t="shared" si="121"/>
        <v>0</v>
      </c>
      <c r="AA409" s="125">
        <v>0</v>
      </c>
      <c r="AB409" s="125">
        <v>0</v>
      </c>
      <c r="AC409" s="36">
        <v>0</v>
      </c>
      <c r="AD409" s="94"/>
    </row>
    <row r="410" spans="1:30" s="108" customFormat="1" ht="31.15" customHeight="1" outlineLevel="1" x14ac:dyDescent="0.2">
      <c r="A410" s="114" t="s">
        <v>1468</v>
      </c>
      <c r="B410" s="127" t="s">
        <v>228</v>
      </c>
      <c r="C410" s="38">
        <f t="shared" si="122"/>
        <v>0</v>
      </c>
      <c r="D410" s="125">
        <f t="shared" si="123"/>
        <v>0</v>
      </c>
      <c r="E410" s="76">
        <v>0</v>
      </c>
      <c r="F410" s="126">
        <f t="shared" si="124"/>
        <v>0</v>
      </c>
      <c r="G410" s="125">
        <v>0</v>
      </c>
      <c r="H410" s="125">
        <v>0</v>
      </c>
      <c r="I410" s="125">
        <v>0</v>
      </c>
      <c r="J410" s="76">
        <v>0</v>
      </c>
      <c r="K410" s="126">
        <f t="shared" si="119"/>
        <v>0</v>
      </c>
      <c r="L410" s="125">
        <v>0</v>
      </c>
      <c r="M410" s="125">
        <v>0</v>
      </c>
      <c r="N410" s="125">
        <v>0</v>
      </c>
      <c r="O410" s="38">
        <v>0</v>
      </c>
      <c r="P410" s="125">
        <f t="shared" si="120"/>
        <v>0</v>
      </c>
      <c r="Q410" s="125">
        <v>0</v>
      </c>
      <c r="R410" s="125">
        <v>0</v>
      </c>
      <c r="S410" s="36">
        <v>0</v>
      </c>
      <c r="T410" s="38">
        <v>0</v>
      </c>
      <c r="U410" s="125">
        <v>0</v>
      </c>
      <c r="V410" s="125">
        <v>0</v>
      </c>
      <c r="W410" s="125">
        <v>0</v>
      </c>
      <c r="X410" s="36">
        <v>0</v>
      </c>
      <c r="Y410" s="38">
        <v>0</v>
      </c>
      <c r="Z410" s="125">
        <f t="shared" si="121"/>
        <v>0</v>
      </c>
      <c r="AA410" s="125">
        <v>0</v>
      </c>
      <c r="AB410" s="125">
        <v>0</v>
      </c>
      <c r="AC410" s="36">
        <v>0</v>
      </c>
      <c r="AD410" s="94"/>
    </row>
    <row r="411" spans="1:30" s="108" customFormat="1" ht="30" customHeight="1" outlineLevel="1" x14ac:dyDescent="0.2">
      <c r="A411" s="114" t="s">
        <v>1469</v>
      </c>
      <c r="B411" s="127" t="s">
        <v>229</v>
      </c>
      <c r="C411" s="38">
        <f t="shared" si="122"/>
        <v>0</v>
      </c>
      <c r="D411" s="125">
        <f t="shared" si="123"/>
        <v>0</v>
      </c>
      <c r="E411" s="76">
        <v>0</v>
      </c>
      <c r="F411" s="126">
        <f t="shared" si="124"/>
        <v>0</v>
      </c>
      <c r="G411" s="125">
        <v>0</v>
      </c>
      <c r="H411" s="125">
        <v>0</v>
      </c>
      <c r="I411" s="125">
        <v>0</v>
      </c>
      <c r="J411" s="76">
        <v>0</v>
      </c>
      <c r="K411" s="126">
        <f t="shared" si="119"/>
        <v>0</v>
      </c>
      <c r="L411" s="125">
        <v>0</v>
      </c>
      <c r="M411" s="125">
        <v>0</v>
      </c>
      <c r="N411" s="125">
        <v>0</v>
      </c>
      <c r="O411" s="38">
        <v>0</v>
      </c>
      <c r="P411" s="125">
        <f t="shared" si="120"/>
        <v>0</v>
      </c>
      <c r="Q411" s="125">
        <v>0</v>
      </c>
      <c r="R411" s="125">
        <v>0</v>
      </c>
      <c r="S411" s="36">
        <v>0</v>
      </c>
      <c r="T411" s="38">
        <v>0</v>
      </c>
      <c r="U411" s="125">
        <v>0</v>
      </c>
      <c r="V411" s="125">
        <v>0</v>
      </c>
      <c r="W411" s="125">
        <v>0</v>
      </c>
      <c r="X411" s="36">
        <v>0</v>
      </c>
      <c r="Y411" s="38">
        <v>0</v>
      </c>
      <c r="Z411" s="125">
        <f t="shared" si="121"/>
        <v>0</v>
      </c>
      <c r="AA411" s="125">
        <v>0</v>
      </c>
      <c r="AB411" s="125">
        <v>0</v>
      </c>
      <c r="AC411" s="36">
        <v>0</v>
      </c>
      <c r="AD411" s="94"/>
    </row>
    <row r="412" spans="1:30" s="108" customFormat="1" ht="22.15" customHeight="1" outlineLevel="1" x14ac:dyDescent="0.2">
      <c r="A412" s="114" t="s">
        <v>1470</v>
      </c>
      <c r="B412" s="127" t="s">
        <v>230</v>
      </c>
      <c r="C412" s="38">
        <f t="shared" si="122"/>
        <v>0</v>
      </c>
      <c r="D412" s="125">
        <f t="shared" si="123"/>
        <v>0</v>
      </c>
      <c r="E412" s="76">
        <v>0</v>
      </c>
      <c r="F412" s="126">
        <f t="shared" si="124"/>
        <v>0</v>
      </c>
      <c r="G412" s="125">
        <v>0</v>
      </c>
      <c r="H412" s="125">
        <v>0</v>
      </c>
      <c r="I412" s="125">
        <v>0</v>
      </c>
      <c r="J412" s="76">
        <v>0</v>
      </c>
      <c r="K412" s="126">
        <f t="shared" si="119"/>
        <v>0</v>
      </c>
      <c r="L412" s="125">
        <v>0</v>
      </c>
      <c r="M412" s="125">
        <v>0</v>
      </c>
      <c r="N412" s="125">
        <v>0</v>
      </c>
      <c r="O412" s="38">
        <v>0</v>
      </c>
      <c r="P412" s="125">
        <f t="shared" si="120"/>
        <v>0</v>
      </c>
      <c r="Q412" s="125">
        <v>0</v>
      </c>
      <c r="R412" s="125">
        <v>0</v>
      </c>
      <c r="S412" s="36">
        <v>0</v>
      </c>
      <c r="T412" s="38">
        <v>0</v>
      </c>
      <c r="U412" s="125">
        <v>0</v>
      </c>
      <c r="V412" s="125">
        <v>0</v>
      </c>
      <c r="W412" s="125">
        <v>0</v>
      </c>
      <c r="X412" s="36">
        <v>0</v>
      </c>
      <c r="Y412" s="38">
        <v>0</v>
      </c>
      <c r="Z412" s="125">
        <f t="shared" si="121"/>
        <v>0</v>
      </c>
      <c r="AA412" s="125">
        <v>0</v>
      </c>
      <c r="AB412" s="125">
        <v>0</v>
      </c>
      <c r="AC412" s="36">
        <v>0</v>
      </c>
      <c r="AD412" s="94"/>
    </row>
    <row r="413" spans="1:30" s="108" customFormat="1" ht="26.45" customHeight="1" outlineLevel="1" x14ac:dyDescent="0.2">
      <c r="A413" s="114" t="s">
        <v>1471</v>
      </c>
      <c r="B413" s="127" t="s">
        <v>231</v>
      </c>
      <c r="C413" s="38">
        <f t="shared" si="122"/>
        <v>0</v>
      </c>
      <c r="D413" s="125">
        <f t="shared" si="123"/>
        <v>0</v>
      </c>
      <c r="E413" s="76">
        <v>0</v>
      </c>
      <c r="F413" s="126">
        <f t="shared" si="124"/>
        <v>0</v>
      </c>
      <c r="G413" s="125">
        <v>0</v>
      </c>
      <c r="H413" s="125">
        <v>0</v>
      </c>
      <c r="I413" s="125">
        <v>0</v>
      </c>
      <c r="J413" s="76">
        <v>0</v>
      </c>
      <c r="K413" s="126">
        <f t="shared" si="119"/>
        <v>0</v>
      </c>
      <c r="L413" s="125">
        <v>0</v>
      </c>
      <c r="M413" s="125">
        <v>0</v>
      </c>
      <c r="N413" s="125">
        <v>0</v>
      </c>
      <c r="O413" s="38">
        <v>0</v>
      </c>
      <c r="P413" s="125">
        <f t="shared" si="120"/>
        <v>0</v>
      </c>
      <c r="Q413" s="125">
        <v>0</v>
      </c>
      <c r="R413" s="125">
        <v>0</v>
      </c>
      <c r="S413" s="36">
        <v>0</v>
      </c>
      <c r="T413" s="38">
        <v>0</v>
      </c>
      <c r="U413" s="125">
        <v>0</v>
      </c>
      <c r="V413" s="125">
        <v>0</v>
      </c>
      <c r="W413" s="125">
        <v>0</v>
      </c>
      <c r="X413" s="36">
        <v>0</v>
      </c>
      <c r="Y413" s="38">
        <v>0</v>
      </c>
      <c r="Z413" s="125">
        <f t="shared" si="121"/>
        <v>0</v>
      </c>
      <c r="AA413" s="125">
        <v>0</v>
      </c>
      <c r="AB413" s="125">
        <v>0</v>
      </c>
      <c r="AC413" s="36">
        <v>0</v>
      </c>
      <c r="AD413" s="94"/>
    </row>
    <row r="414" spans="1:30" s="108" customFormat="1" ht="25.9" customHeight="1" outlineLevel="1" x14ac:dyDescent="0.2">
      <c r="A414" s="114" t="s">
        <v>1472</v>
      </c>
      <c r="B414" s="127" t="s">
        <v>232</v>
      </c>
      <c r="C414" s="38">
        <f t="shared" si="122"/>
        <v>0</v>
      </c>
      <c r="D414" s="125">
        <f t="shared" si="123"/>
        <v>0</v>
      </c>
      <c r="E414" s="76">
        <v>0</v>
      </c>
      <c r="F414" s="126">
        <f t="shared" si="124"/>
        <v>0</v>
      </c>
      <c r="G414" s="125">
        <v>0</v>
      </c>
      <c r="H414" s="125">
        <v>0</v>
      </c>
      <c r="I414" s="125">
        <v>0</v>
      </c>
      <c r="J414" s="76">
        <v>0</v>
      </c>
      <c r="K414" s="126">
        <f t="shared" si="119"/>
        <v>0</v>
      </c>
      <c r="L414" s="125">
        <v>0</v>
      </c>
      <c r="M414" s="125">
        <v>0</v>
      </c>
      <c r="N414" s="125">
        <v>0</v>
      </c>
      <c r="O414" s="38">
        <v>0</v>
      </c>
      <c r="P414" s="125">
        <f t="shared" si="120"/>
        <v>0</v>
      </c>
      <c r="Q414" s="125">
        <v>0</v>
      </c>
      <c r="R414" s="125">
        <v>0</v>
      </c>
      <c r="S414" s="36">
        <v>0</v>
      </c>
      <c r="T414" s="38">
        <v>0</v>
      </c>
      <c r="U414" s="125">
        <v>0</v>
      </c>
      <c r="V414" s="125">
        <v>0</v>
      </c>
      <c r="W414" s="125">
        <v>0</v>
      </c>
      <c r="X414" s="36">
        <v>0</v>
      </c>
      <c r="Y414" s="38">
        <v>0</v>
      </c>
      <c r="Z414" s="125">
        <f t="shared" si="121"/>
        <v>0</v>
      </c>
      <c r="AA414" s="125">
        <v>0</v>
      </c>
      <c r="AB414" s="125">
        <v>0</v>
      </c>
      <c r="AC414" s="36">
        <v>0</v>
      </c>
      <c r="AD414" s="94"/>
    </row>
    <row r="415" spans="1:30" s="108" customFormat="1" ht="24" customHeight="1" outlineLevel="1" x14ac:dyDescent="0.2">
      <c r="A415" s="114" t="s">
        <v>1473</v>
      </c>
      <c r="B415" s="127" t="s">
        <v>233</v>
      </c>
      <c r="C415" s="38">
        <f t="shared" si="122"/>
        <v>0</v>
      </c>
      <c r="D415" s="125">
        <f t="shared" si="123"/>
        <v>0</v>
      </c>
      <c r="E415" s="76">
        <v>0</v>
      </c>
      <c r="F415" s="126">
        <f t="shared" si="124"/>
        <v>0</v>
      </c>
      <c r="G415" s="125">
        <v>0</v>
      </c>
      <c r="H415" s="125">
        <v>0</v>
      </c>
      <c r="I415" s="125">
        <v>0</v>
      </c>
      <c r="J415" s="76">
        <v>0</v>
      </c>
      <c r="K415" s="126">
        <f t="shared" si="119"/>
        <v>0</v>
      </c>
      <c r="L415" s="125">
        <v>0</v>
      </c>
      <c r="M415" s="125">
        <v>0</v>
      </c>
      <c r="N415" s="125">
        <v>0</v>
      </c>
      <c r="O415" s="38">
        <v>0</v>
      </c>
      <c r="P415" s="125">
        <f t="shared" si="120"/>
        <v>0</v>
      </c>
      <c r="Q415" s="125">
        <v>0</v>
      </c>
      <c r="R415" s="125">
        <v>0</v>
      </c>
      <c r="S415" s="36">
        <v>0</v>
      </c>
      <c r="T415" s="38">
        <v>0</v>
      </c>
      <c r="U415" s="125">
        <v>0</v>
      </c>
      <c r="V415" s="125">
        <v>0</v>
      </c>
      <c r="W415" s="125">
        <v>0</v>
      </c>
      <c r="X415" s="36">
        <v>0</v>
      </c>
      <c r="Y415" s="38">
        <v>0</v>
      </c>
      <c r="Z415" s="125">
        <f t="shared" si="121"/>
        <v>0</v>
      </c>
      <c r="AA415" s="125">
        <v>0</v>
      </c>
      <c r="AB415" s="125">
        <v>0</v>
      </c>
      <c r="AC415" s="36">
        <v>0</v>
      </c>
      <c r="AD415" s="94"/>
    </row>
    <row r="416" spans="1:30" s="108" customFormat="1" ht="25.9" customHeight="1" outlineLevel="1" x14ac:dyDescent="0.2">
      <c r="A416" s="114" t="s">
        <v>1474</v>
      </c>
      <c r="B416" s="127" t="s">
        <v>234</v>
      </c>
      <c r="C416" s="38">
        <f t="shared" si="122"/>
        <v>0</v>
      </c>
      <c r="D416" s="125">
        <f t="shared" si="123"/>
        <v>0</v>
      </c>
      <c r="E416" s="76">
        <v>0</v>
      </c>
      <c r="F416" s="126">
        <f t="shared" si="124"/>
        <v>0</v>
      </c>
      <c r="G416" s="125">
        <v>0</v>
      </c>
      <c r="H416" s="125">
        <v>0</v>
      </c>
      <c r="I416" s="125">
        <v>0</v>
      </c>
      <c r="J416" s="76">
        <v>0</v>
      </c>
      <c r="K416" s="126">
        <f t="shared" si="119"/>
        <v>0</v>
      </c>
      <c r="L416" s="125">
        <v>0</v>
      </c>
      <c r="M416" s="125">
        <v>0</v>
      </c>
      <c r="N416" s="125">
        <v>0</v>
      </c>
      <c r="O416" s="38">
        <v>0</v>
      </c>
      <c r="P416" s="125">
        <f t="shared" si="120"/>
        <v>0</v>
      </c>
      <c r="Q416" s="125">
        <v>0</v>
      </c>
      <c r="R416" s="125">
        <v>0</v>
      </c>
      <c r="S416" s="36">
        <v>0</v>
      </c>
      <c r="T416" s="38">
        <v>0</v>
      </c>
      <c r="U416" s="125">
        <v>0</v>
      </c>
      <c r="V416" s="125">
        <v>0</v>
      </c>
      <c r="W416" s="125">
        <v>0</v>
      </c>
      <c r="X416" s="36">
        <v>0</v>
      </c>
      <c r="Y416" s="38">
        <v>0</v>
      </c>
      <c r="Z416" s="125">
        <f t="shared" si="121"/>
        <v>0</v>
      </c>
      <c r="AA416" s="125">
        <v>0</v>
      </c>
      <c r="AB416" s="125">
        <v>0</v>
      </c>
      <c r="AC416" s="36">
        <v>0</v>
      </c>
      <c r="AD416" s="94"/>
    </row>
    <row r="417" spans="1:30" s="108" customFormat="1" ht="28.15" customHeight="1" outlineLevel="1" x14ac:dyDescent="0.2">
      <c r="A417" s="114" t="s">
        <v>1475</v>
      </c>
      <c r="B417" s="127" t="s">
        <v>235</v>
      </c>
      <c r="C417" s="38">
        <f t="shared" si="122"/>
        <v>0</v>
      </c>
      <c r="D417" s="125">
        <f t="shared" si="123"/>
        <v>0</v>
      </c>
      <c r="E417" s="76">
        <v>0</v>
      </c>
      <c r="F417" s="126">
        <f t="shared" si="124"/>
        <v>0</v>
      </c>
      <c r="G417" s="125">
        <v>0</v>
      </c>
      <c r="H417" s="125">
        <v>0</v>
      </c>
      <c r="I417" s="125">
        <v>0</v>
      </c>
      <c r="J417" s="76">
        <v>0</v>
      </c>
      <c r="K417" s="126">
        <f t="shared" si="119"/>
        <v>0</v>
      </c>
      <c r="L417" s="125">
        <v>0</v>
      </c>
      <c r="M417" s="125">
        <v>0</v>
      </c>
      <c r="N417" s="125">
        <v>0</v>
      </c>
      <c r="O417" s="38">
        <v>0</v>
      </c>
      <c r="P417" s="125">
        <f t="shared" si="120"/>
        <v>0</v>
      </c>
      <c r="Q417" s="125">
        <v>0</v>
      </c>
      <c r="R417" s="125">
        <v>0</v>
      </c>
      <c r="S417" s="36">
        <v>0</v>
      </c>
      <c r="T417" s="38">
        <v>0</v>
      </c>
      <c r="U417" s="125">
        <v>0</v>
      </c>
      <c r="V417" s="125">
        <v>0</v>
      </c>
      <c r="W417" s="125">
        <v>0</v>
      </c>
      <c r="X417" s="36">
        <v>0</v>
      </c>
      <c r="Y417" s="38">
        <v>0</v>
      </c>
      <c r="Z417" s="125">
        <f t="shared" si="121"/>
        <v>0</v>
      </c>
      <c r="AA417" s="125">
        <v>0</v>
      </c>
      <c r="AB417" s="125">
        <v>0</v>
      </c>
      <c r="AC417" s="36">
        <v>0</v>
      </c>
      <c r="AD417" s="94"/>
    </row>
    <row r="418" spans="1:30" s="108" customFormat="1" ht="31.9" customHeight="1" outlineLevel="1" x14ac:dyDescent="0.2">
      <c r="A418" s="114" t="s">
        <v>1476</v>
      </c>
      <c r="B418" s="127" t="s">
        <v>236</v>
      </c>
      <c r="C418" s="38">
        <f t="shared" si="122"/>
        <v>0</v>
      </c>
      <c r="D418" s="125">
        <f t="shared" si="123"/>
        <v>0</v>
      </c>
      <c r="E418" s="76">
        <v>0</v>
      </c>
      <c r="F418" s="126">
        <f t="shared" si="124"/>
        <v>0</v>
      </c>
      <c r="G418" s="125">
        <v>0</v>
      </c>
      <c r="H418" s="125">
        <v>0</v>
      </c>
      <c r="I418" s="125">
        <v>0</v>
      </c>
      <c r="J418" s="76">
        <v>0</v>
      </c>
      <c r="K418" s="126">
        <f t="shared" si="119"/>
        <v>0</v>
      </c>
      <c r="L418" s="125">
        <v>0</v>
      </c>
      <c r="M418" s="125">
        <v>0</v>
      </c>
      <c r="N418" s="125">
        <v>0</v>
      </c>
      <c r="O418" s="38">
        <v>0</v>
      </c>
      <c r="P418" s="125">
        <f t="shared" si="120"/>
        <v>0</v>
      </c>
      <c r="Q418" s="125">
        <v>0</v>
      </c>
      <c r="R418" s="125">
        <v>0</v>
      </c>
      <c r="S418" s="36">
        <v>0</v>
      </c>
      <c r="T418" s="38">
        <v>0</v>
      </c>
      <c r="U418" s="125">
        <v>0</v>
      </c>
      <c r="V418" s="125">
        <v>0</v>
      </c>
      <c r="W418" s="125">
        <v>0</v>
      </c>
      <c r="X418" s="36">
        <v>0</v>
      </c>
      <c r="Y418" s="38">
        <v>0</v>
      </c>
      <c r="Z418" s="125">
        <f t="shared" si="121"/>
        <v>0</v>
      </c>
      <c r="AA418" s="125">
        <v>0</v>
      </c>
      <c r="AB418" s="125">
        <v>0</v>
      </c>
      <c r="AC418" s="36">
        <v>0</v>
      </c>
      <c r="AD418" s="94"/>
    </row>
    <row r="419" spans="1:30" s="108" customFormat="1" ht="30" customHeight="1" outlineLevel="1" x14ac:dyDescent="0.2">
      <c r="A419" s="114" t="s">
        <v>1477</v>
      </c>
      <c r="B419" s="127" t="s">
        <v>343</v>
      </c>
      <c r="C419" s="38">
        <f t="shared" si="122"/>
        <v>0</v>
      </c>
      <c r="D419" s="125">
        <f t="shared" si="123"/>
        <v>0</v>
      </c>
      <c r="E419" s="76">
        <v>0</v>
      </c>
      <c r="F419" s="126">
        <f t="shared" si="124"/>
        <v>0</v>
      </c>
      <c r="G419" s="125">
        <v>0</v>
      </c>
      <c r="H419" s="125">
        <v>0</v>
      </c>
      <c r="I419" s="125">
        <v>0</v>
      </c>
      <c r="J419" s="76">
        <v>0</v>
      </c>
      <c r="K419" s="126">
        <f t="shared" si="119"/>
        <v>0</v>
      </c>
      <c r="L419" s="125">
        <v>0</v>
      </c>
      <c r="M419" s="125">
        <v>0</v>
      </c>
      <c r="N419" s="125">
        <v>0</v>
      </c>
      <c r="O419" s="38">
        <v>0</v>
      </c>
      <c r="P419" s="125">
        <f t="shared" si="120"/>
        <v>0</v>
      </c>
      <c r="Q419" s="125">
        <v>0</v>
      </c>
      <c r="R419" s="125">
        <v>0</v>
      </c>
      <c r="S419" s="36">
        <v>0</v>
      </c>
      <c r="T419" s="38">
        <v>0</v>
      </c>
      <c r="U419" s="125">
        <v>0</v>
      </c>
      <c r="V419" s="125">
        <v>0</v>
      </c>
      <c r="W419" s="125">
        <v>0</v>
      </c>
      <c r="X419" s="36">
        <v>0</v>
      </c>
      <c r="Y419" s="38">
        <v>0</v>
      </c>
      <c r="Z419" s="125">
        <f t="shared" si="121"/>
        <v>0</v>
      </c>
      <c r="AA419" s="125">
        <v>0</v>
      </c>
      <c r="AB419" s="125">
        <v>0</v>
      </c>
      <c r="AC419" s="36">
        <v>0</v>
      </c>
      <c r="AD419" s="94"/>
    </row>
    <row r="420" spans="1:30" s="108" customFormat="1" ht="33" customHeight="1" outlineLevel="1" x14ac:dyDescent="0.2">
      <c r="A420" s="114" t="s">
        <v>1478</v>
      </c>
      <c r="B420" s="127" t="s">
        <v>237</v>
      </c>
      <c r="C420" s="38">
        <f t="shared" si="122"/>
        <v>0</v>
      </c>
      <c r="D420" s="125">
        <f t="shared" si="123"/>
        <v>0</v>
      </c>
      <c r="E420" s="76">
        <v>0</v>
      </c>
      <c r="F420" s="126">
        <f t="shared" si="124"/>
        <v>0</v>
      </c>
      <c r="G420" s="125">
        <v>0</v>
      </c>
      <c r="H420" s="125">
        <v>0</v>
      </c>
      <c r="I420" s="125">
        <v>0</v>
      </c>
      <c r="J420" s="76">
        <v>0</v>
      </c>
      <c r="K420" s="126">
        <f t="shared" si="119"/>
        <v>0</v>
      </c>
      <c r="L420" s="125">
        <v>0</v>
      </c>
      <c r="M420" s="125">
        <v>0</v>
      </c>
      <c r="N420" s="125">
        <v>0</v>
      </c>
      <c r="O420" s="38">
        <v>0</v>
      </c>
      <c r="P420" s="125">
        <f t="shared" si="120"/>
        <v>0</v>
      </c>
      <c r="Q420" s="125">
        <v>0</v>
      </c>
      <c r="R420" s="125">
        <v>0</v>
      </c>
      <c r="S420" s="36">
        <v>0</v>
      </c>
      <c r="T420" s="38">
        <v>0</v>
      </c>
      <c r="U420" s="125">
        <v>0</v>
      </c>
      <c r="V420" s="125">
        <v>0</v>
      </c>
      <c r="W420" s="125">
        <v>0</v>
      </c>
      <c r="X420" s="36">
        <v>0</v>
      </c>
      <c r="Y420" s="38">
        <v>0</v>
      </c>
      <c r="Z420" s="125">
        <f t="shared" si="121"/>
        <v>0</v>
      </c>
      <c r="AA420" s="125">
        <v>0</v>
      </c>
      <c r="AB420" s="125">
        <v>0</v>
      </c>
      <c r="AC420" s="36">
        <v>0</v>
      </c>
      <c r="AD420" s="94"/>
    </row>
    <row r="421" spans="1:30" s="108" customFormat="1" ht="34.9" customHeight="1" outlineLevel="1" x14ac:dyDescent="0.2">
      <c r="A421" s="114" t="s">
        <v>1479</v>
      </c>
      <c r="B421" s="127" t="s">
        <v>344</v>
      </c>
      <c r="C421" s="38">
        <f t="shared" si="122"/>
        <v>0</v>
      </c>
      <c r="D421" s="125">
        <f t="shared" si="123"/>
        <v>0</v>
      </c>
      <c r="E421" s="76">
        <v>0</v>
      </c>
      <c r="F421" s="126">
        <f t="shared" si="124"/>
        <v>0</v>
      </c>
      <c r="G421" s="125">
        <v>0</v>
      </c>
      <c r="H421" s="125">
        <v>0</v>
      </c>
      <c r="I421" s="125">
        <v>0</v>
      </c>
      <c r="J421" s="76">
        <v>0</v>
      </c>
      <c r="K421" s="126">
        <f t="shared" si="119"/>
        <v>0</v>
      </c>
      <c r="L421" s="125">
        <v>0</v>
      </c>
      <c r="M421" s="125">
        <v>0</v>
      </c>
      <c r="N421" s="125">
        <v>0</v>
      </c>
      <c r="O421" s="38">
        <v>0</v>
      </c>
      <c r="P421" s="125">
        <f t="shared" si="120"/>
        <v>0</v>
      </c>
      <c r="Q421" s="125">
        <v>0</v>
      </c>
      <c r="R421" s="125">
        <v>0</v>
      </c>
      <c r="S421" s="36">
        <v>0</v>
      </c>
      <c r="T421" s="38">
        <v>0</v>
      </c>
      <c r="U421" s="125">
        <v>0</v>
      </c>
      <c r="V421" s="125">
        <v>0</v>
      </c>
      <c r="W421" s="125">
        <v>0</v>
      </c>
      <c r="X421" s="36">
        <v>0</v>
      </c>
      <c r="Y421" s="38">
        <v>0</v>
      </c>
      <c r="Z421" s="125">
        <f t="shared" si="121"/>
        <v>0</v>
      </c>
      <c r="AA421" s="125">
        <v>0</v>
      </c>
      <c r="AB421" s="125">
        <v>0</v>
      </c>
      <c r="AC421" s="36">
        <v>0</v>
      </c>
      <c r="AD421" s="94"/>
    </row>
    <row r="422" spans="1:30" s="108" customFormat="1" ht="25.9" customHeight="1" outlineLevel="1" x14ac:dyDescent="0.2">
      <c r="A422" s="114" t="s">
        <v>1480</v>
      </c>
      <c r="B422" s="127" t="s">
        <v>238</v>
      </c>
      <c r="C422" s="38">
        <f t="shared" si="122"/>
        <v>0</v>
      </c>
      <c r="D422" s="125">
        <f t="shared" si="123"/>
        <v>0</v>
      </c>
      <c r="E422" s="76">
        <v>0</v>
      </c>
      <c r="F422" s="126">
        <f t="shared" si="124"/>
        <v>0</v>
      </c>
      <c r="G422" s="125">
        <v>0</v>
      </c>
      <c r="H422" s="125">
        <v>0</v>
      </c>
      <c r="I422" s="125">
        <v>0</v>
      </c>
      <c r="J422" s="76">
        <v>0</v>
      </c>
      <c r="K422" s="126">
        <f t="shared" si="119"/>
        <v>0</v>
      </c>
      <c r="L422" s="125">
        <v>0</v>
      </c>
      <c r="M422" s="125">
        <v>0</v>
      </c>
      <c r="N422" s="125">
        <v>0</v>
      </c>
      <c r="O422" s="38">
        <v>0</v>
      </c>
      <c r="P422" s="125">
        <f t="shared" si="120"/>
        <v>0</v>
      </c>
      <c r="Q422" s="125">
        <v>0</v>
      </c>
      <c r="R422" s="125">
        <v>0</v>
      </c>
      <c r="S422" s="36">
        <v>0</v>
      </c>
      <c r="T422" s="38">
        <v>0</v>
      </c>
      <c r="U422" s="125">
        <v>0</v>
      </c>
      <c r="V422" s="125">
        <v>0</v>
      </c>
      <c r="W422" s="125">
        <v>0</v>
      </c>
      <c r="X422" s="36">
        <v>0</v>
      </c>
      <c r="Y422" s="38">
        <v>0</v>
      </c>
      <c r="Z422" s="125">
        <f t="shared" si="121"/>
        <v>0</v>
      </c>
      <c r="AA422" s="125">
        <v>0</v>
      </c>
      <c r="AB422" s="125">
        <v>0</v>
      </c>
      <c r="AC422" s="36">
        <v>0</v>
      </c>
      <c r="AD422" s="94"/>
    </row>
    <row r="423" spans="1:30" s="108" customFormat="1" ht="24" customHeight="1" outlineLevel="1" x14ac:dyDescent="0.2">
      <c r="A423" s="114" t="s">
        <v>1481</v>
      </c>
      <c r="B423" s="127" t="s">
        <v>239</v>
      </c>
      <c r="C423" s="38">
        <f t="shared" si="122"/>
        <v>0</v>
      </c>
      <c r="D423" s="125">
        <f t="shared" si="123"/>
        <v>0</v>
      </c>
      <c r="E423" s="76">
        <v>0</v>
      </c>
      <c r="F423" s="126">
        <f t="shared" si="124"/>
        <v>0</v>
      </c>
      <c r="G423" s="125">
        <v>0</v>
      </c>
      <c r="H423" s="125">
        <v>0</v>
      </c>
      <c r="I423" s="125">
        <v>0</v>
      </c>
      <c r="J423" s="76">
        <v>0</v>
      </c>
      <c r="K423" s="126">
        <f t="shared" si="119"/>
        <v>0</v>
      </c>
      <c r="L423" s="125">
        <v>0</v>
      </c>
      <c r="M423" s="125">
        <v>0</v>
      </c>
      <c r="N423" s="125">
        <v>0</v>
      </c>
      <c r="O423" s="38">
        <v>0</v>
      </c>
      <c r="P423" s="125">
        <f t="shared" si="120"/>
        <v>0</v>
      </c>
      <c r="Q423" s="125">
        <v>0</v>
      </c>
      <c r="R423" s="125">
        <v>0</v>
      </c>
      <c r="S423" s="36">
        <v>0</v>
      </c>
      <c r="T423" s="38">
        <v>0</v>
      </c>
      <c r="U423" s="125">
        <v>0</v>
      </c>
      <c r="V423" s="125">
        <v>0</v>
      </c>
      <c r="W423" s="125">
        <v>0</v>
      </c>
      <c r="X423" s="36">
        <v>0</v>
      </c>
      <c r="Y423" s="38">
        <v>0</v>
      </c>
      <c r="Z423" s="125">
        <f t="shared" si="121"/>
        <v>0</v>
      </c>
      <c r="AA423" s="125">
        <v>0</v>
      </c>
      <c r="AB423" s="125">
        <v>0</v>
      </c>
      <c r="AC423" s="36">
        <v>0</v>
      </c>
      <c r="AD423" s="94"/>
    </row>
    <row r="424" spans="1:30" s="108" customFormat="1" ht="22.9" customHeight="1" outlineLevel="1" x14ac:dyDescent="0.2">
      <c r="A424" s="114" t="s">
        <v>1482</v>
      </c>
      <c r="B424" s="127" t="s">
        <v>345</v>
      </c>
      <c r="C424" s="38">
        <f t="shared" si="122"/>
        <v>0</v>
      </c>
      <c r="D424" s="125">
        <f t="shared" si="123"/>
        <v>0</v>
      </c>
      <c r="E424" s="76">
        <v>0</v>
      </c>
      <c r="F424" s="126">
        <f t="shared" si="124"/>
        <v>0</v>
      </c>
      <c r="G424" s="125">
        <v>0</v>
      </c>
      <c r="H424" s="125">
        <v>0</v>
      </c>
      <c r="I424" s="125">
        <v>0</v>
      </c>
      <c r="J424" s="76">
        <v>0</v>
      </c>
      <c r="K424" s="126">
        <f t="shared" si="119"/>
        <v>0</v>
      </c>
      <c r="L424" s="125">
        <v>0</v>
      </c>
      <c r="M424" s="125">
        <v>0</v>
      </c>
      <c r="N424" s="125">
        <v>0</v>
      </c>
      <c r="O424" s="38">
        <v>0</v>
      </c>
      <c r="P424" s="125">
        <f t="shared" si="120"/>
        <v>0</v>
      </c>
      <c r="Q424" s="125">
        <v>0</v>
      </c>
      <c r="R424" s="125">
        <v>0</v>
      </c>
      <c r="S424" s="36">
        <v>0</v>
      </c>
      <c r="T424" s="38">
        <v>0</v>
      </c>
      <c r="U424" s="125">
        <v>0</v>
      </c>
      <c r="V424" s="125">
        <v>0</v>
      </c>
      <c r="W424" s="125">
        <v>0</v>
      </c>
      <c r="X424" s="36">
        <v>0</v>
      </c>
      <c r="Y424" s="38">
        <v>0</v>
      </c>
      <c r="Z424" s="125">
        <f t="shared" si="121"/>
        <v>0</v>
      </c>
      <c r="AA424" s="125">
        <v>0</v>
      </c>
      <c r="AB424" s="125">
        <v>0</v>
      </c>
      <c r="AC424" s="36">
        <v>0</v>
      </c>
      <c r="AD424" s="94"/>
    </row>
    <row r="425" spans="1:30" s="108" customFormat="1" ht="32.450000000000003" customHeight="1" outlineLevel="1" x14ac:dyDescent="0.2">
      <c r="A425" s="114" t="s">
        <v>1483</v>
      </c>
      <c r="B425" s="127" t="s">
        <v>240</v>
      </c>
      <c r="C425" s="38">
        <f t="shared" si="122"/>
        <v>0</v>
      </c>
      <c r="D425" s="125">
        <f t="shared" si="123"/>
        <v>0</v>
      </c>
      <c r="E425" s="76">
        <v>0</v>
      </c>
      <c r="F425" s="126">
        <f t="shared" si="124"/>
        <v>0</v>
      </c>
      <c r="G425" s="125">
        <v>0</v>
      </c>
      <c r="H425" s="125">
        <v>0</v>
      </c>
      <c r="I425" s="125">
        <v>0</v>
      </c>
      <c r="J425" s="76">
        <v>0</v>
      </c>
      <c r="K425" s="126">
        <f t="shared" si="119"/>
        <v>0</v>
      </c>
      <c r="L425" s="125">
        <v>0</v>
      </c>
      <c r="M425" s="125">
        <v>0</v>
      </c>
      <c r="N425" s="125">
        <v>0</v>
      </c>
      <c r="O425" s="38">
        <v>0</v>
      </c>
      <c r="P425" s="125">
        <f t="shared" si="120"/>
        <v>0</v>
      </c>
      <c r="Q425" s="125">
        <v>0</v>
      </c>
      <c r="R425" s="125">
        <v>0</v>
      </c>
      <c r="S425" s="36">
        <v>0</v>
      </c>
      <c r="T425" s="38">
        <v>0</v>
      </c>
      <c r="U425" s="125">
        <v>0</v>
      </c>
      <c r="V425" s="125">
        <v>0</v>
      </c>
      <c r="W425" s="125">
        <v>0</v>
      </c>
      <c r="X425" s="36">
        <v>0</v>
      </c>
      <c r="Y425" s="38">
        <v>0</v>
      </c>
      <c r="Z425" s="125">
        <f t="shared" si="121"/>
        <v>0</v>
      </c>
      <c r="AA425" s="125">
        <v>0</v>
      </c>
      <c r="AB425" s="125">
        <v>0</v>
      </c>
      <c r="AC425" s="36">
        <v>0</v>
      </c>
      <c r="AD425" s="94"/>
    </row>
    <row r="426" spans="1:30" s="108" customFormat="1" ht="28.9" customHeight="1" outlineLevel="1" x14ac:dyDescent="0.2">
      <c r="A426" s="114" t="s">
        <v>1484</v>
      </c>
      <c r="B426" s="127" t="s">
        <v>241</v>
      </c>
      <c r="C426" s="38">
        <f t="shared" si="122"/>
        <v>0</v>
      </c>
      <c r="D426" s="125">
        <f t="shared" si="123"/>
        <v>0</v>
      </c>
      <c r="E426" s="76">
        <v>0</v>
      </c>
      <c r="F426" s="126">
        <f t="shared" si="124"/>
        <v>0</v>
      </c>
      <c r="G426" s="125">
        <v>0</v>
      </c>
      <c r="H426" s="125">
        <v>0</v>
      </c>
      <c r="I426" s="125">
        <v>0</v>
      </c>
      <c r="J426" s="76">
        <v>0</v>
      </c>
      <c r="K426" s="126">
        <f t="shared" si="119"/>
        <v>0</v>
      </c>
      <c r="L426" s="125">
        <v>0</v>
      </c>
      <c r="M426" s="125">
        <v>0</v>
      </c>
      <c r="N426" s="125">
        <v>0</v>
      </c>
      <c r="O426" s="38">
        <v>0</v>
      </c>
      <c r="P426" s="125">
        <f t="shared" si="120"/>
        <v>0</v>
      </c>
      <c r="Q426" s="125">
        <v>0</v>
      </c>
      <c r="R426" s="125">
        <v>0</v>
      </c>
      <c r="S426" s="36">
        <v>0</v>
      </c>
      <c r="T426" s="38">
        <v>0</v>
      </c>
      <c r="U426" s="125">
        <v>0</v>
      </c>
      <c r="V426" s="125">
        <v>0</v>
      </c>
      <c r="W426" s="125">
        <v>0</v>
      </c>
      <c r="X426" s="36">
        <v>0</v>
      </c>
      <c r="Y426" s="38">
        <v>0</v>
      </c>
      <c r="Z426" s="125">
        <f t="shared" si="121"/>
        <v>0</v>
      </c>
      <c r="AA426" s="125">
        <v>0</v>
      </c>
      <c r="AB426" s="125">
        <v>0</v>
      </c>
      <c r="AC426" s="36">
        <v>0</v>
      </c>
      <c r="AD426" s="94"/>
    </row>
    <row r="427" spans="1:30" s="108" customFormat="1" ht="28.9" customHeight="1" outlineLevel="1" x14ac:dyDescent="0.2">
      <c r="A427" s="114" t="s">
        <v>1485</v>
      </c>
      <c r="B427" s="127" t="s">
        <v>242</v>
      </c>
      <c r="C427" s="38">
        <f t="shared" si="122"/>
        <v>0</v>
      </c>
      <c r="D427" s="125">
        <f t="shared" si="123"/>
        <v>0</v>
      </c>
      <c r="E427" s="76">
        <v>0</v>
      </c>
      <c r="F427" s="126">
        <f t="shared" si="124"/>
        <v>0</v>
      </c>
      <c r="G427" s="125">
        <v>0</v>
      </c>
      <c r="H427" s="125">
        <v>0</v>
      </c>
      <c r="I427" s="125">
        <v>0</v>
      </c>
      <c r="J427" s="76">
        <v>0</v>
      </c>
      <c r="K427" s="126">
        <f t="shared" si="119"/>
        <v>0</v>
      </c>
      <c r="L427" s="125">
        <v>0</v>
      </c>
      <c r="M427" s="125">
        <v>0</v>
      </c>
      <c r="N427" s="125">
        <v>0</v>
      </c>
      <c r="O427" s="38">
        <v>0</v>
      </c>
      <c r="P427" s="125">
        <f t="shared" si="120"/>
        <v>0</v>
      </c>
      <c r="Q427" s="125">
        <v>0</v>
      </c>
      <c r="R427" s="125">
        <v>0</v>
      </c>
      <c r="S427" s="36">
        <v>0</v>
      </c>
      <c r="T427" s="38">
        <v>0</v>
      </c>
      <c r="U427" s="125">
        <v>0</v>
      </c>
      <c r="V427" s="125">
        <v>0</v>
      </c>
      <c r="W427" s="125">
        <v>0</v>
      </c>
      <c r="X427" s="36">
        <v>0</v>
      </c>
      <c r="Y427" s="38">
        <v>0</v>
      </c>
      <c r="Z427" s="125">
        <f t="shared" si="121"/>
        <v>0</v>
      </c>
      <c r="AA427" s="125">
        <v>0</v>
      </c>
      <c r="AB427" s="125">
        <v>0</v>
      </c>
      <c r="AC427" s="36">
        <v>0</v>
      </c>
      <c r="AD427" s="94"/>
    </row>
    <row r="428" spans="1:30" s="108" customFormat="1" ht="41.45" customHeight="1" outlineLevel="1" x14ac:dyDescent="0.2">
      <c r="A428" s="114" t="s">
        <v>1486</v>
      </c>
      <c r="B428" s="127" t="s">
        <v>1012</v>
      </c>
      <c r="C428" s="38">
        <f t="shared" si="122"/>
        <v>0</v>
      </c>
      <c r="D428" s="125">
        <f t="shared" si="123"/>
        <v>0</v>
      </c>
      <c r="E428" s="76">
        <v>0</v>
      </c>
      <c r="F428" s="126">
        <f t="shared" si="124"/>
        <v>0</v>
      </c>
      <c r="G428" s="125">
        <v>0</v>
      </c>
      <c r="H428" s="125">
        <v>0</v>
      </c>
      <c r="I428" s="125">
        <v>0</v>
      </c>
      <c r="J428" s="76">
        <v>0</v>
      </c>
      <c r="K428" s="126">
        <f t="shared" si="119"/>
        <v>0</v>
      </c>
      <c r="L428" s="125">
        <v>0</v>
      </c>
      <c r="M428" s="125">
        <v>0</v>
      </c>
      <c r="N428" s="125">
        <v>0</v>
      </c>
      <c r="O428" s="38">
        <v>0</v>
      </c>
      <c r="P428" s="125">
        <f t="shared" si="120"/>
        <v>0</v>
      </c>
      <c r="Q428" s="125">
        <v>0</v>
      </c>
      <c r="R428" s="125">
        <v>0</v>
      </c>
      <c r="S428" s="36">
        <v>0</v>
      </c>
      <c r="T428" s="38">
        <v>0</v>
      </c>
      <c r="U428" s="125">
        <v>0</v>
      </c>
      <c r="V428" s="125">
        <v>0</v>
      </c>
      <c r="W428" s="125">
        <v>0</v>
      </c>
      <c r="X428" s="36">
        <v>0</v>
      </c>
      <c r="Y428" s="38">
        <v>0</v>
      </c>
      <c r="Z428" s="125">
        <f t="shared" si="121"/>
        <v>0</v>
      </c>
      <c r="AA428" s="125">
        <v>0</v>
      </c>
      <c r="AB428" s="125">
        <v>0</v>
      </c>
      <c r="AC428" s="36">
        <v>0</v>
      </c>
      <c r="AD428" s="94"/>
    </row>
    <row r="429" spans="1:30" s="108" customFormat="1" ht="25.5" customHeight="1" outlineLevel="1" x14ac:dyDescent="0.2">
      <c r="A429" s="114" t="s">
        <v>1487</v>
      </c>
      <c r="B429" s="127" t="s">
        <v>243</v>
      </c>
      <c r="C429" s="38">
        <f t="shared" si="122"/>
        <v>0</v>
      </c>
      <c r="D429" s="125">
        <f t="shared" si="123"/>
        <v>0</v>
      </c>
      <c r="E429" s="76">
        <v>0</v>
      </c>
      <c r="F429" s="126">
        <f t="shared" si="124"/>
        <v>0</v>
      </c>
      <c r="G429" s="125">
        <v>0</v>
      </c>
      <c r="H429" s="125">
        <v>0</v>
      </c>
      <c r="I429" s="125">
        <v>0</v>
      </c>
      <c r="J429" s="76">
        <v>0</v>
      </c>
      <c r="K429" s="126">
        <f t="shared" si="119"/>
        <v>0</v>
      </c>
      <c r="L429" s="125">
        <v>0</v>
      </c>
      <c r="M429" s="125">
        <v>0</v>
      </c>
      <c r="N429" s="125">
        <v>0</v>
      </c>
      <c r="O429" s="38">
        <v>0</v>
      </c>
      <c r="P429" s="125">
        <f t="shared" si="120"/>
        <v>0</v>
      </c>
      <c r="Q429" s="125">
        <v>0</v>
      </c>
      <c r="R429" s="125">
        <v>0</v>
      </c>
      <c r="S429" s="36">
        <v>0</v>
      </c>
      <c r="T429" s="38">
        <v>0</v>
      </c>
      <c r="U429" s="125">
        <v>0</v>
      </c>
      <c r="V429" s="125">
        <v>0</v>
      </c>
      <c r="W429" s="125">
        <v>0</v>
      </c>
      <c r="X429" s="36">
        <v>0</v>
      </c>
      <c r="Y429" s="38">
        <v>0</v>
      </c>
      <c r="Z429" s="125">
        <f t="shared" si="121"/>
        <v>0</v>
      </c>
      <c r="AA429" s="125">
        <v>0</v>
      </c>
      <c r="AB429" s="125">
        <v>0</v>
      </c>
      <c r="AC429" s="36">
        <v>0</v>
      </c>
      <c r="AD429" s="94"/>
    </row>
    <row r="430" spans="1:30" s="108" customFormat="1" ht="24" customHeight="1" outlineLevel="1" x14ac:dyDescent="0.2">
      <c r="A430" s="114" t="s">
        <v>1488</v>
      </c>
      <c r="B430" s="127" t="s">
        <v>244</v>
      </c>
      <c r="C430" s="38">
        <f t="shared" si="122"/>
        <v>0</v>
      </c>
      <c r="D430" s="125">
        <f t="shared" si="123"/>
        <v>0</v>
      </c>
      <c r="E430" s="76">
        <v>0</v>
      </c>
      <c r="F430" s="126">
        <f t="shared" si="124"/>
        <v>0</v>
      </c>
      <c r="G430" s="125">
        <v>0</v>
      </c>
      <c r="H430" s="125">
        <v>0</v>
      </c>
      <c r="I430" s="125">
        <v>0</v>
      </c>
      <c r="J430" s="76">
        <v>0</v>
      </c>
      <c r="K430" s="126">
        <f t="shared" si="119"/>
        <v>0</v>
      </c>
      <c r="L430" s="125">
        <v>0</v>
      </c>
      <c r="M430" s="125">
        <v>0</v>
      </c>
      <c r="N430" s="125">
        <v>0</v>
      </c>
      <c r="O430" s="38">
        <v>0</v>
      </c>
      <c r="P430" s="125">
        <f t="shared" si="120"/>
        <v>0</v>
      </c>
      <c r="Q430" s="125">
        <v>0</v>
      </c>
      <c r="R430" s="125">
        <v>0</v>
      </c>
      <c r="S430" s="36">
        <v>0</v>
      </c>
      <c r="T430" s="38">
        <v>0</v>
      </c>
      <c r="U430" s="125">
        <v>0</v>
      </c>
      <c r="V430" s="125">
        <v>0</v>
      </c>
      <c r="W430" s="125">
        <v>0</v>
      </c>
      <c r="X430" s="36">
        <v>0</v>
      </c>
      <c r="Y430" s="38">
        <v>0</v>
      </c>
      <c r="Z430" s="125">
        <f t="shared" si="121"/>
        <v>0</v>
      </c>
      <c r="AA430" s="125">
        <v>0</v>
      </c>
      <c r="AB430" s="125">
        <v>0</v>
      </c>
      <c r="AC430" s="36">
        <v>0</v>
      </c>
      <c r="AD430" s="94"/>
    </row>
    <row r="431" spans="1:30" s="108" customFormat="1" ht="46.9" customHeight="1" outlineLevel="1" x14ac:dyDescent="0.2">
      <c r="A431" s="114" t="s">
        <v>1489</v>
      </c>
      <c r="B431" s="127" t="s">
        <v>245</v>
      </c>
      <c r="C431" s="38">
        <f t="shared" si="122"/>
        <v>0</v>
      </c>
      <c r="D431" s="125">
        <f t="shared" si="123"/>
        <v>0</v>
      </c>
      <c r="E431" s="76">
        <v>0</v>
      </c>
      <c r="F431" s="126">
        <f t="shared" si="124"/>
        <v>0</v>
      </c>
      <c r="G431" s="125">
        <v>0</v>
      </c>
      <c r="H431" s="125">
        <v>0</v>
      </c>
      <c r="I431" s="125">
        <v>0</v>
      </c>
      <c r="J431" s="76">
        <v>0</v>
      </c>
      <c r="K431" s="126">
        <f t="shared" si="119"/>
        <v>0</v>
      </c>
      <c r="L431" s="125">
        <v>0</v>
      </c>
      <c r="M431" s="125">
        <v>0</v>
      </c>
      <c r="N431" s="125">
        <v>0</v>
      </c>
      <c r="O431" s="38">
        <v>0</v>
      </c>
      <c r="P431" s="125">
        <f t="shared" si="120"/>
        <v>0</v>
      </c>
      <c r="Q431" s="125">
        <v>0</v>
      </c>
      <c r="R431" s="125">
        <v>0</v>
      </c>
      <c r="S431" s="36">
        <v>0</v>
      </c>
      <c r="T431" s="38">
        <v>0</v>
      </c>
      <c r="U431" s="125">
        <v>0</v>
      </c>
      <c r="V431" s="125">
        <v>0</v>
      </c>
      <c r="W431" s="125">
        <v>0</v>
      </c>
      <c r="X431" s="36">
        <v>0</v>
      </c>
      <c r="Y431" s="38">
        <v>0</v>
      </c>
      <c r="Z431" s="125">
        <f t="shared" si="121"/>
        <v>0</v>
      </c>
      <c r="AA431" s="125">
        <v>0</v>
      </c>
      <c r="AB431" s="125">
        <v>0</v>
      </c>
      <c r="AC431" s="36">
        <v>0</v>
      </c>
      <c r="AD431" s="94"/>
    </row>
    <row r="432" spans="1:30" s="108" customFormat="1" ht="46.9" customHeight="1" outlineLevel="1" x14ac:dyDescent="0.2">
      <c r="A432" s="114" t="s">
        <v>1490</v>
      </c>
      <c r="B432" s="127" t="s">
        <v>246</v>
      </c>
      <c r="C432" s="38">
        <f t="shared" si="122"/>
        <v>0</v>
      </c>
      <c r="D432" s="125">
        <f t="shared" si="123"/>
        <v>0</v>
      </c>
      <c r="E432" s="76">
        <v>0</v>
      </c>
      <c r="F432" s="126">
        <f t="shared" si="124"/>
        <v>0</v>
      </c>
      <c r="G432" s="125">
        <v>0</v>
      </c>
      <c r="H432" s="125">
        <v>0</v>
      </c>
      <c r="I432" s="125">
        <v>0</v>
      </c>
      <c r="J432" s="76">
        <v>0</v>
      </c>
      <c r="K432" s="126">
        <f t="shared" si="119"/>
        <v>0</v>
      </c>
      <c r="L432" s="125">
        <v>0</v>
      </c>
      <c r="M432" s="125">
        <v>0</v>
      </c>
      <c r="N432" s="125">
        <v>0</v>
      </c>
      <c r="O432" s="38">
        <v>0</v>
      </c>
      <c r="P432" s="125">
        <f t="shared" si="120"/>
        <v>0</v>
      </c>
      <c r="Q432" s="125">
        <v>0</v>
      </c>
      <c r="R432" s="125">
        <v>0</v>
      </c>
      <c r="S432" s="36">
        <v>0</v>
      </c>
      <c r="T432" s="38">
        <v>0</v>
      </c>
      <c r="U432" s="125">
        <v>0</v>
      </c>
      <c r="V432" s="125">
        <v>0</v>
      </c>
      <c r="W432" s="125">
        <v>0</v>
      </c>
      <c r="X432" s="36">
        <v>0</v>
      </c>
      <c r="Y432" s="38">
        <v>0</v>
      </c>
      <c r="Z432" s="125">
        <f t="shared" si="121"/>
        <v>0</v>
      </c>
      <c r="AA432" s="125">
        <v>0</v>
      </c>
      <c r="AB432" s="125">
        <v>0</v>
      </c>
      <c r="AC432" s="36">
        <v>0</v>
      </c>
      <c r="AD432" s="94"/>
    </row>
    <row r="433" spans="1:30" s="108" customFormat="1" ht="46.9" customHeight="1" outlineLevel="1" x14ac:dyDescent="0.2">
      <c r="A433" s="114" t="s">
        <v>1491</v>
      </c>
      <c r="B433" s="127" t="s">
        <v>1013</v>
      </c>
      <c r="C433" s="38">
        <f t="shared" si="122"/>
        <v>0</v>
      </c>
      <c r="D433" s="125">
        <f t="shared" si="123"/>
        <v>0</v>
      </c>
      <c r="E433" s="76">
        <v>0</v>
      </c>
      <c r="F433" s="126">
        <f t="shared" si="124"/>
        <v>0</v>
      </c>
      <c r="G433" s="125">
        <v>0</v>
      </c>
      <c r="H433" s="125">
        <v>0</v>
      </c>
      <c r="I433" s="125">
        <v>0</v>
      </c>
      <c r="J433" s="76">
        <v>0</v>
      </c>
      <c r="K433" s="126">
        <f t="shared" si="119"/>
        <v>0</v>
      </c>
      <c r="L433" s="125">
        <v>0</v>
      </c>
      <c r="M433" s="125">
        <v>0</v>
      </c>
      <c r="N433" s="125">
        <v>0</v>
      </c>
      <c r="O433" s="38">
        <v>0</v>
      </c>
      <c r="P433" s="125">
        <f t="shared" si="120"/>
        <v>0</v>
      </c>
      <c r="Q433" s="125">
        <v>0</v>
      </c>
      <c r="R433" s="125">
        <v>0</v>
      </c>
      <c r="S433" s="36">
        <v>0</v>
      </c>
      <c r="T433" s="38">
        <v>0</v>
      </c>
      <c r="U433" s="125">
        <v>0</v>
      </c>
      <c r="V433" s="125">
        <v>0</v>
      </c>
      <c r="W433" s="125">
        <v>0</v>
      </c>
      <c r="X433" s="36">
        <v>0</v>
      </c>
      <c r="Y433" s="38">
        <v>0</v>
      </c>
      <c r="Z433" s="125">
        <f t="shared" si="121"/>
        <v>0</v>
      </c>
      <c r="AA433" s="125">
        <v>0</v>
      </c>
      <c r="AB433" s="125">
        <v>0</v>
      </c>
      <c r="AC433" s="36">
        <v>0</v>
      </c>
      <c r="AD433" s="94"/>
    </row>
    <row r="434" spans="1:30" s="108" customFormat="1" ht="26.45" customHeight="1" outlineLevel="1" x14ac:dyDescent="0.2">
      <c r="A434" s="114" t="s">
        <v>1492</v>
      </c>
      <c r="B434" s="127" t="s">
        <v>247</v>
      </c>
      <c r="C434" s="38">
        <f t="shared" si="122"/>
        <v>0</v>
      </c>
      <c r="D434" s="125">
        <f t="shared" si="123"/>
        <v>0</v>
      </c>
      <c r="E434" s="76">
        <v>0</v>
      </c>
      <c r="F434" s="126">
        <f t="shared" si="124"/>
        <v>0</v>
      </c>
      <c r="G434" s="125">
        <v>0</v>
      </c>
      <c r="H434" s="125">
        <v>0</v>
      </c>
      <c r="I434" s="125">
        <v>0</v>
      </c>
      <c r="J434" s="76">
        <v>0</v>
      </c>
      <c r="K434" s="126">
        <f t="shared" si="119"/>
        <v>0</v>
      </c>
      <c r="L434" s="125">
        <v>0</v>
      </c>
      <c r="M434" s="125">
        <v>0</v>
      </c>
      <c r="N434" s="125">
        <v>0</v>
      </c>
      <c r="O434" s="38">
        <v>0</v>
      </c>
      <c r="P434" s="125">
        <f t="shared" si="120"/>
        <v>0</v>
      </c>
      <c r="Q434" s="125">
        <v>0</v>
      </c>
      <c r="R434" s="125">
        <v>0</v>
      </c>
      <c r="S434" s="36">
        <v>0</v>
      </c>
      <c r="T434" s="38">
        <v>0</v>
      </c>
      <c r="U434" s="125">
        <v>0</v>
      </c>
      <c r="V434" s="125">
        <v>0</v>
      </c>
      <c r="W434" s="125">
        <v>0</v>
      </c>
      <c r="X434" s="36">
        <v>0</v>
      </c>
      <c r="Y434" s="38">
        <v>0</v>
      </c>
      <c r="Z434" s="125">
        <f t="shared" si="121"/>
        <v>0</v>
      </c>
      <c r="AA434" s="125">
        <v>0</v>
      </c>
      <c r="AB434" s="125">
        <v>0</v>
      </c>
      <c r="AC434" s="36">
        <v>0</v>
      </c>
      <c r="AD434" s="94"/>
    </row>
    <row r="435" spans="1:30" s="108" customFormat="1" ht="24" customHeight="1" outlineLevel="1" x14ac:dyDescent="0.2">
      <c r="A435" s="114" t="s">
        <v>1493</v>
      </c>
      <c r="B435" s="127" t="s">
        <v>355</v>
      </c>
      <c r="C435" s="38">
        <f t="shared" si="122"/>
        <v>0</v>
      </c>
      <c r="D435" s="125">
        <f t="shared" si="123"/>
        <v>0</v>
      </c>
      <c r="E435" s="76">
        <v>0</v>
      </c>
      <c r="F435" s="126">
        <f t="shared" si="124"/>
        <v>0</v>
      </c>
      <c r="G435" s="125">
        <v>0</v>
      </c>
      <c r="H435" s="125">
        <v>0</v>
      </c>
      <c r="I435" s="125">
        <v>0</v>
      </c>
      <c r="J435" s="76">
        <v>0</v>
      </c>
      <c r="K435" s="126">
        <f t="shared" si="119"/>
        <v>0</v>
      </c>
      <c r="L435" s="125">
        <v>0</v>
      </c>
      <c r="M435" s="125">
        <v>0</v>
      </c>
      <c r="N435" s="125">
        <v>0</v>
      </c>
      <c r="O435" s="38">
        <v>0</v>
      </c>
      <c r="P435" s="125">
        <f t="shared" si="120"/>
        <v>0</v>
      </c>
      <c r="Q435" s="125">
        <v>0</v>
      </c>
      <c r="R435" s="125">
        <v>0</v>
      </c>
      <c r="S435" s="36">
        <v>0</v>
      </c>
      <c r="T435" s="38">
        <v>0</v>
      </c>
      <c r="U435" s="125">
        <v>0</v>
      </c>
      <c r="V435" s="125">
        <v>0</v>
      </c>
      <c r="W435" s="125">
        <v>0</v>
      </c>
      <c r="X435" s="36">
        <v>0</v>
      </c>
      <c r="Y435" s="38">
        <v>0</v>
      </c>
      <c r="Z435" s="125">
        <f t="shared" si="121"/>
        <v>0</v>
      </c>
      <c r="AA435" s="125">
        <v>0</v>
      </c>
      <c r="AB435" s="125">
        <v>0</v>
      </c>
      <c r="AC435" s="36">
        <v>0</v>
      </c>
      <c r="AD435" s="94"/>
    </row>
    <row r="436" spans="1:30" s="108" customFormat="1" ht="23.45" customHeight="1" outlineLevel="1" x14ac:dyDescent="0.2">
      <c r="A436" s="114" t="s">
        <v>1494</v>
      </c>
      <c r="B436" s="127" t="s">
        <v>248</v>
      </c>
      <c r="C436" s="38">
        <f t="shared" si="122"/>
        <v>0</v>
      </c>
      <c r="D436" s="125">
        <f t="shared" si="123"/>
        <v>0</v>
      </c>
      <c r="E436" s="76">
        <v>0</v>
      </c>
      <c r="F436" s="126">
        <f t="shared" si="124"/>
        <v>0</v>
      </c>
      <c r="G436" s="125">
        <v>0</v>
      </c>
      <c r="H436" s="125">
        <v>0</v>
      </c>
      <c r="I436" s="125">
        <v>0</v>
      </c>
      <c r="J436" s="76">
        <v>0</v>
      </c>
      <c r="K436" s="126">
        <f>L436+M436+N436</f>
        <v>0</v>
      </c>
      <c r="L436" s="125">
        <v>0</v>
      </c>
      <c r="M436" s="125">
        <v>0</v>
      </c>
      <c r="N436" s="125">
        <v>0</v>
      </c>
      <c r="O436" s="38">
        <v>0</v>
      </c>
      <c r="P436" s="125">
        <f>Q436+R436+S436</f>
        <v>0</v>
      </c>
      <c r="Q436" s="125">
        <v>0</v>
      </c>
      <c r="R436" s="125">
        <v>0</v>
      </c>
      <c r="S436" s="36">
        <v>0</v>
      </c>
      <c r="T436" s="38">
        <v>0</v>
      </c>
      <c r="U436" s="125">
        <v>0</v>
      </c>
      <c r="V436" s="125">
        <v>0</v>
      </c>
      <c r="W436" s="125">
        <v>0</v>
      </c>
      <c r="X436" s="36">
        <v>0</v>
      </c>
      <c r="Y436" s="38">
        <v>0</v>
      </c>
      <c r="Z436" s="125">
        <f>AA436+AB436+AC436</f>
        <v>0</v>
      </c>
      <c r="AA436" s="125">
        <v>0</v>
      </c>
      <c r="AB436" s="125">
        <v>0</v>
      </c>
      <c r="AC436" s="36">
        <v>0</v>
      </c>
      <c r="AD436" s="94"/>
    </row>
    <row r="437" spans="1:30" s="108" customFormat="1" ht="27" customHeight="1" outlineLevel="1" x14ac:dyDescent="0.2">
      <c r="A437" s="128"/>
      <c r="B437" s="129" t="s">
        <v>358</v>
      </c>
      <c r="C437" s="128">
        <f>SUM(C438:C439)</f>
        <v>0</v>
      </c>
      <c r="D437" s="130">
        <f>SUM(D438:D439)</f>
        <v>0</v>
      </c>
      <c r="E437" s="128">
        <f t="shared" ref="E437:O437" si="125">SUM(E438:E439)</f>
        <v>0</v>
      </c>
      <c r="F437" s="130">
        <f>SUM(F438:F439)</f>
        <v>0</v>
      </c>
      <c r="G437" s="130">
        <f t="shared" si="125"/>
        <v>0</v>
      </c>
      <c r="H437" s="130">
        <f t="shared" si="125"/>
        <v>0</v>
      </c>
      <c r="I437" s="130">
        <f t="shared" si="125"/>
        <v>0</v>
      </c>
      <c r="J437" s="128">
        <f t="shared" si="125"/>
        <v>0</v>
      </c>
      <c r="K437" s="130">
        <f>SUM(L437:N437)</f>
        <v>0</v>
      </c>
      <c r="L437" s="130">
        <f t="shared" si="125"/>
        <v>0</v>
      </c>
      <c r="M437" s="130">
        <f t="shared" si="125"/>
        <v>0</v>
      </c>
      <c r="N437" s="130">
        <f t="shared" si="125"/>
        <v>0</v>
      </c>
      <c r="O437" s="128">
        <f t="shared" si="125"/>
        <v>0</v>
      </c>
      <c r="P437" s="123">
        <f>Q437+R437+S437</f>
        <v>0</v>
      </c>
      <c r="Q437" s="130">
        <f>SUM(Q438:Q439)</f>
        <v>0</v>
      </c>
      <c r="R437" s="130">
        <f>SUM(R438:R439)</f>
        <v>0</v>
      </c>
      <c r="S437" s="130">
        <f>SUM(S438:S439)</f>
        <v>0</v>
      </c>
      <c r="T437" s="128">
        <f>SUM(T438:T439)</f>
        <v>0</v>
      </c>
      <c r="U437" s="123">
        <f>V437+W437+X437</f>
        <v>0</v>
      </c>
      <c r="V437" s="130">
        <f>SUM(AA438:AA439)</f>
        <v>0</v>
      </c>
      <c r="W437" s="130">
        <f>SUM(AB438:AB439)</f>
        <v>0</v>
      </c>
      <c r="X437" s="130">
        <f t="shared" ref="X437:AC437" si="126">SUM(X438:X439)</f>
        <v>0</v>
      </c>
      <c r="Y437" s="128">
        <f t="shared" si="126"/>
        <v>0</v>
      </c>
      <c r="Z437" s="123">
        <f t="shared" si="126"/>
        <v>0</v>
      </c>
      <c r="AA437" s="130">
        <f t="shared" si="126"/>
        <v>0</v>
      </c>
      <c r="AB437" s="130">
        <f t="shared" si="126"/>
        <v>0</v>
      </c>
      <c r="AC437" s="130">
        <f t="shared" si="126"/>
        <v>0</v>
      </c>
      <c r="AD437" s="94"/>
    </row>
    <row r="438" spans="1:30" s="108" customFormat="1" ht="25.15" customHeight="1" outlineLevel="1" x14ac:dyDescent="0.2">
      <c r="A438" s="114" t="s">
        <v>1495</v>
      </c>
      <c r="B438" s="127" t="s">
        <v>336</v>
      </c>
      <c r="C438" s="38">
        <f>E438+J438+O438+Y438+U438</f>
        <v>0</v>
      </c>
      <c r="D438" s="125">
        <f t="shared" si="123"/>
        <v>0</v>
      </c>
      <c r="E438" s="76">
        <v>0</v>
      </c>
      <c r="F438" s="126">
        <f t="shared" si="124"/>
        <v>0</v>
      </c>
      <c r="G438" s="125">
        <v>0</v>
      </c>
      <c r="H438" s="125">
        <v>0</v>
      </c>
      <c r="I438" s="125">
        <v>0</v>
      </c>
      <c r="J438" s="76">
        <v>0</v>
      </c>
      <c r="K438" s="126">
        <f>SUM(L438:N438)</f>
        <v>0</v>
      </c>
      <c r="L438" s="125">
        <v>0</v>
      </c>
      <c r="M438" s="125">
        <v>0</v>
      </c>
      <c r="N438" s="125">
        <v>0</v>
      </c>
      <c r="O438" s="38">
        <v>0</v>
      </c>
      <c r="P438" s="125">
        <f t="shared" ref="P438:P503" si="127">Q438+R438+S438</f>
        <v>0</v>
      </c>
      <c r="Q438" s="125">
        <v>0</v>
      </c>
      <c r="R438" s="125">
        <v>0</v>
      </c>
      <c r="S438" s="36">
        <v>0</v>
      </c>
      <c r="T438" s="38">
        <v>0</v>
      </c>
      <c r="U438" s="125">
        <f>V438+W438+X438</f>
        <v>0</v>
      </c>
      <c r="V438" s="131">
        <v>0</v>
      </c>
      <c r="W438" s="131">
        <v>0</v>
      </c>
      <c r="X438" s="131">
        <v>0</v>
      </c>
      <c r="Y438" s="38">
        <v>0</v>
      </c>
      <c r="Z438" s="125">
        <f>AA438+AB438+AC438</f>
        <v>0</v>
      </c>
      <c r="AA438" s="125">
        <v>0</v>
      </c>
      <c r="AB438" s="125">
        <v>0</v>
      </c>
      <c r="AC438" s="36">
        <v>0</v>
      </c>
      <c r="AD438" s="94"/>
    </row>
    <row r="439" spans="1:30" s="108" customFormat="1" ht="34.9" customHeight="1" outlineLevel="1" x14ac:dyDescent="0.2">
      <c r="A439" s="114" t="s">
        <v>1496</v>
      </c>
      <c r="B439" s="127" t="s">
        <v>346</v>
      </c>
      <c r="C439" s="38">
        <f>E439+J439+O439+Y439+U439</f>
        <v>0</v>
      </c>
      <c r="D439" s="125">
        <f t="shared" si="123"/>
        <v>0</v>
      </c>
      <c r="E439" s="76">
        <v>0</v>
      </c>
      <c r="F439" s="126">
        <f t="shared" si="124"/>
        <v>0</v>
      </c>
      <c r="G439" s="125">
        <v>0</v>
      </c>
      <c r="H439" s="125">
        <v>0</v>
      </c>
      <c r="I439" s="125">
        <v>0</v>
      </c>
      <c r="J439" s="76">
        <v>0</v>
      </c>
      <c r="K439" s="126">
        <f>SUM(L439:N439)</f>
        <v>0</v>
      </c>
      <c r="L439" s="125">
        <v>0</v>
      </c>
      <c r="M439" s="125">
        <v>0</v>
      </c>
      <c r="N439" s="125">
        <v>0</v>
      </c>
      <c r="O439" s="38">
        <v>0</v>
      </c>
      <c r="P439" s="125">
        <f t="shared" si="127"/>
        <v>0</v>
      </c>
      <c r="Q439" s="125">
        <v>0</v>
      </c>
      <c r="R439" s="125">
        <v>0</v>
      </c>
      <c r="S439" s="36">
        <v>0</v>
      </c>
      <c r="T439" s="38">
        <v>0</v>
      </c>
      <c r="U439" s="131">
        <v>0</v>
      </c>
      <c r="V439" s="131">
        <v>0</v>
      </c>
      <c r="W439" s="131">
        <v>0</v>
      </c>
      <c r="X439" s="131">
        <v>0</v>
      </c>
      <c r="Y439" s="38">
        <v>0</v>
      </c>
      <c r="Z439" s="125">
        <f>AA439+AB439+AC439</f>
        <v>0</v>
      </c>
      <c r="AA439" s="125">
        <v>0</v>
      </c>
      <c r="AB439" s="125">
        <v>0</v>
      </c>
      <c r="AC439" s="36">
        <v>0</v>
      </c>
      <c r="AD439" s="94"/>
    </row>
    <row r="440" spans="1:30" s="108" customFormat="1" ht="32.450000000000003" customHeight="1" outlineLevel="1" x14ac:dyDescent="0.2">
      <c r="A440" s="92"/>
      <c r="B440" s="129" t="s">
        <v>337</v>
      </c>
      <c r="C440" s="128">
        <f>SUM(C441:C465)</f>
        <v>23.700000000000003</v>
      </c>
      <c r="D440" s="130">
        <f>SUM(D441:D467)</f>
        <v>4922</v>
      </c>
      <c r="E440" s="128">
        <f t="shared" ref="E440:X440" si="128">SUM(E441:E465)</f>
        <v>13.8</v>
      </c>
      <c r="F440" s="130">
        <f>SUM(F441:F466)</f>
        <v>2746</v>
      </c>
      <c r="G440" s="130">
        <f t="shared" si="128"/>
        <v>0</v>
      </c>
      <c r="H440" s="130">
        <f t="shared" si="128"/>
        <v>0</v>
      </c>
      <c r="I440" s="130">
        <f t="shared" si="128"/>
        <v>2746</v>
      </c>
      <c r="J440" s="128">
        <f>SUM(J441:J466)</f>
        <v>0</v>
      </c>
      <c r="K440" s="130">
        <f>SUM(K441:K466)</f>
        <v>0</v>
      </c>
      <c r="L440" s="130">
        <f t="shared" si="128"/>
        <v>0</v>
      </c>
      <c r="M440" s="130">
        <f t="shared" si="128"/>
        <v>0</v>
      </c>
      <c r="N440" s="130">
        <f>SUM(N441:N466)</f>
        <v>0</v>
      </c>
      <c r="O440" s="128">
        <f>SUM(O441:O466)</f>
        <v>5.9</v>
      </c>
      <c r="P440" s="130">
        <f>SUM(P442:P466)</f>
        <v>903</v>
      </c>
      <c r="Q440" s="130">
        <f t="shared" si="128"/>
        <v>0</v>
      </c>
      <c r="R440" s="130">
        <f t="shared" si="128"/>
        <v>0</v>
      </c>
      <c r="S440" s="130">
        <f>SUM(S441:S467)</f>
        <v>1248</v>
      </c>
      <c r="T440" s="128">
        <f t="shared" si="128"/>
        <v>4</v>
      </c>
      <c r="U440" s="130">
        <f>SUM(U441:U465)</f>
        <v>928</v>
      </c>
      <c r="V440" s="130">
        <f t="shared" si="128"/>
        <v>0</v>
      </c>
      <c r="W440" s="130">
        <f t="shared" si="128"/>
        <v>0</v>
      </c>
      <c r="X440" s="130">
        <f t="shared" si="128"/>
        <v>928</v>
      </c>
      <c r="Y440" s="128">
        <f>SUM(Y441:Y465)</f>
        <v>0</v>
      </c>
      <c r="Z440" s="130">
        <f>SUM(Z441:Z465)</f>
        <v>0</v>
      </c>
      <c r="AA440" s="130">
        <f>SUM(AA441:AA465)</f>
        <v>0</v>
      </c>
      <c r="AB440" s="130">
        <f>SUM(AB441:AB465)</f>
        <v>0</v>
      </c>
      <c r="AC440" s="130">
        <f>SUM(AC441:AC465)</f>
        <v>0</v>
      </c>
      <c r="AD440" s="94"/>
    </row>
    <row r="441" spans="1:30" s="108" customFormat="1" ht="42.75" customHeight="1" outlineLevel="1" x14ac:dyDescent="0.2">
      <c r="A441" s="114" t="s">
        <v>1497</v>
      </c>
      <c r="B441" s="127" t="s">
        <v>679</v>
      </c>
      <c r="C441" s="38">
        <f>E441+J441+P441+T441+Y441</f>
        <v>7.25</v>
      </c>
      <c r="D441" s="77">
        <f>F441+K441+P441+Z441+U441</f>
        <v>831</v>
      </c>
      <c r="E441" s="76">
        <v>7.25</v>
      </c>
      <c r="F441" s="89">
        <f t="shared" si="124"/>
        <v>831</v>
      </c>
      <c r="G441" s="89">
        <v>0</v>
      </c>
      <c r="H441" s="89">
        <v>0</v>
      </c>
      <c r="I441" s="89">
        <v>831</v>
      </c>
      <c r="J441" s="76">
        <f t="shared" ref="J441:K456" si="129">K441+L441+M441</f>
        <v>0</v>
      </c>
      <c r="K441" s="89">
        <f t="shared" si="129"/>
        <v>0</v>
      </c>
      <c r="L441" s="89">
        <v>0</v>
      </c>
      <c r="M441" s="89">
        <v>0</v>
      </c>
      <c r="N441" s="89">
        <v>0</v>
      </c>
      <c r="O441" s="39">
        <v>0</v>
      </c>
      <c r="P441" s="125">
        <v>0</v>
      </c>
      <c r="Q441" s="89">
        <v>0</v>
      </c>
      <c r="R441" s="89">
        <v>0</v>
      </c>
      <c r="S441" s="89">
        <v>0</v>
      </c>
      <c r="T441" s="76">
        <v>0</v>
      </c>
      <c r="U441" s="89">
        <f>V441+W441+X441</f>
        <v>0</v>
      </c>
      <c r="V441" s="89">
        <v>0</v>
      </c>
      <c r="W441" s="89">
        <v>0</v>
      </c>
      <c r="X441" s="89">
        <v>0</v>
      </c>
      <c r="Y441" s="76">
        <v>0</v>
      </c>
      <c r="Z441" s="89">
        <f>AA441+AB441+AC441</f>
        <v>0</v>
      </c>
      <c r="AA441" s="89">
        <v>0</v>
      </c>
      <c r="AB441" s="89">
        <v>0</v>
      </c>
      <c r="AC441" s="89">
        <v>0</v>
      </c>
      <c r="AD441" s="94"/>
    </row>
    <row r="442" spans="1:30" s="108" customFormat="1" ht="44.45" customHeight="1" outlineLevel="1" x14ac:dyDescent="0.2">
      <c r="A442" s="114" t="s">
        <v>1498</v>
      </c>
      <c r="B442" s="127" t="s">
        <v>249</v>
      </c>
      <c r="C442" s="38">
        <f t="shared" ref="C442:C465" si="130">E442+J442+O442+T442+Y442</f>
        <v>0</v>
      </c>
      <c r="D442" s="77">
        <f t="shared" si="123"/>
        <v>0</v>
      </c>
      <c r="E442" s="76">
        <v>0</v>
      </c>
      <c r="F442" s="89">
        <f t="shared" si="124"/>
        <v>0</v>
      </c>
      <c r="G442" s="125">
        <v>0</v>
      </c>
      <c r="H442" s="125">
        <v>0</v>
      </c>
      <c r="I442" s="125">
        <v>0</v>
      </c>
      <c r="J442" s="76">
        <v>0</v>
      </c>
      <c r="K442" s="89">
        <f t="shared" si="129"/>
        <v>0</v>
      </c>
      <c r="L442" s="125">
        <v>0</v>
      </c>
      <c r="M442" s="125">
        <v>0</v>
      </c>
      <c r="N442" s="125">
        <v>0</v>
      </c>
      <c r="O442" s="38">
        <v>0</v>
      </c>
      <c r="P442" s="125">
        <f t="shared" si="127"/>
        <v>0</v>
      </c>
      <c r="Q442" s="125">
        <v>0</v>
      </c>
      <c r="R442" s="125">
        <v>0</v>
      </c>
      <c r="S442" s="36">
        <v>0</v>
      </c>
      <c r="T442" s="38">
        <v>0</v>
      </c>
      <c r="U442" s="125">
        <v>0</v>
      </c>
      <c r="V442" s="125">
        <v>0</v>
      </c>
      <c r="W442" s="125">
        <v>0</v>
      </c>
      <c r="X442" s="125">
        <v>0</v>
      </c>
      <c r="Y442" s="38">
        <v>0</v>
      </c>
      <c r="Z442" s="125">
        <f t="shared" ref="Z442:Z463" si="131">AA442+AB442+AC442</f>
        <v>0</v>
      </c>
      <c r="AA442" s="125">
        <v>0</v>
      </c>
      <c r="AB442" s="125">
        <v>0</v>
      </c>
      <c r="AC442" s="36">
        <v>0</v>
      </c>
      <c r="AD442" s="94"/>
    </row>
    <row r="443" spans="1:30" s="108" customFormat="1" ht="31.9" customHeight="1" outlineLevel="1" x14ac:dyDescent="0.2">
      <c r="A443" s="114" t="s">
        <v>1499</v>
      </c>
      <c r="B443" s="132" t="s">
        <v>1681</v>
      </c>
      <c r="C443" s="38">
        <f t="shared" si="130"/>
        <v>4</v>
      </c>
      <c r="D443" s="77">
        <f t="shared" ref="D443:D466" si="132">F443+K443+P443+Z443+U443</f>
        <v>928</v>
      </c>
      <c r="E443" s="76">
        <v>0</v>
      </c>
      <c r="F443" s="89">
        <f t="shared" ref="F443:F466" si="133">G443+H443+I443</f>
        <v>0</v>
      </c>
      <c r="G443" s="125">
        <v>0</v>
      </c>
      <c r="H443" s="125">
        <v>0</v>
      </c>
      <c r="I443" s="125">
        <v>0</v>
      </c>
      <c r="J443" s="76">
        <v>0</v>
      </c>
      <c r="K443" s="89">
        <f t="shared" si="129"/>
        <v>0</v>
      </c>
      <c r="L443" s="125">
        <v>0</v>
      </c>
      <c r="M443" s="125">
        <v>0</v>
      </c>
      <c r="N443" s="125">
        <v>0</v>
      </c>
      <c r="O443" s="38">
        <v>0</v>
      </c>
      <c r="P443" s="125">
        <f t="shared" si="127"/>
        <v>0</v>
      </c>
      <c r="Q443" s="125">
        <v>0</v>
      </c>
      <c r="R443" s="125">
        <v>0</v>
      </c>
      <c r="S443" s="36">
        <v>0</v>
      </c>
      <c r="T443" s="38">
        <v>4</v>
      </c>
      <c r="U443" s="125">
        <f>V443+W443+X443</f>
        <v>928</v>
      </c>
      <c r="V443" s="125">
        <v>0</v>
      </c>
      <c r="W443" s="125">
        <v>0</v>
      </c>
      <c r="X443" s="125">
        <v>928</v>
      </c>
      <c r="Y443" s="38">
        <v>0</v>
      </c>
      <c r="Z443" s="125">
        <f t="shared" si="131"/>
        <v>0</v>
      </c>
      <c r="AA443" s="125">
        <v>0</v>
      </c>
      <c r="AB443" s="125">
        <v>0</v>
      </c>
      <c r="AC443" s="36">
        <v>0</v>
      </c>
      <c r="AD443" s="94"/>
    </row>
    <row r="444" spans="1:30" s="108" customFormat="1" ht="24" customHeight="1" outlineLevel="1" x14ac:dyDescent="0.2">
      <c r="A444" s="114" t="s">
        <v>1500</v>
      </c>
      <c r="B444" s="127" t="s">
        <v>1678</v>
      </c>
      <c r="C444" s="38">
        <f t="shared" si="130"/>
        <v>4.46</v>
      </c>
      <c r="D444" s="77">
        <f t="shared" si="132"/>
        <v>600</v>
      </c>
      <c r="E444" s="76">
        <v>0</v>
      </c>
      <c r="F444" s="89">
        <f t="shared" si="133"/>
        <v>0</v>
      </c>
      <c r="G444" s="125">
        <v>0</v>
      </c>
      <c r="H444" s="125">
        <v>0</v>
      </c>
      <c r="I444" s="125">
        <v>0</v>
      </c>
      <c r="J444" s="76">
        <v>0</v>
      </c>
      <c r="K444" s="89">
        <f t="shared" si="129"/>
        <v>0</v>
      </c>
      <c r="L444" s="125">
        <v>0</v>
      </c>
      <c r="M444" s="125">
        <v>0</v>
      </c>
      <c r="N444" s="125">
        <v>0</v>
      </c>
      <c r="O444" s="38">
        <v>4.46</v>
      </c>
      <c r="P444" s="125">
        <f t="shared" si="127"/>
        <v>600</v>
      </c>
      <c r="Q444" s="125">
        <v>0</v>
      </c>
      <c r="R444" s="125">
        <v>0</v>
      </c>
      <c r="S444" s="36">
        <f>885-285</f>
        <v>600</v>
      </c>
      <c r="T444" s="38">
        <v>0</v>
      </c>
      <c r="U444" s="125">
        <v>0</v>
      </c>
      <c r="V444" s="125">
        <v>0</v>
      </c>
      <c r="W444" s="125">
        <v>0</v>
      </c>
      <c r="X444" s="125">
        <v>0</v>
      </c>
      <c r="Y444" s="38">
        <v>0</v>
      </c>
      <c r="Z444" s="125">
        <f t="shared" si="131"/>
        <v>0</v>
      </c>
      <c r="AA444" s="125">
        <v>0</v>
      </c>
      <c r="AB444" s="125">
        <v>0</v>
      </c>
      <c r="AC444" s="36">
        <v>0</v>
      </c>
      <c r="AD444" s="94"/>
    </row>
    <row r="445" spans="1:30" s="108" customFormat="1" ht="26.45" customHeight="1" outlineLevel="1" x14ac:dyDescent="0.2">
      <c r="A445" s="114" t="s">
        <v>1501</v>
      </c>
      <c r="B445" s="127" t="s">
        <v>250</v>
      </c>
      <c r="C445" s="38">
        <f t="shared" si="130"/>
        <v>0</v>
      </c>
      <c r="D445" s="77">
        <f t="shared" si="132"/>
        <v>0</v>
      </c>
      <c r="E445" s="76">
        <v>0</v>
      </c>
      <c r="F445" s="89">
        <f t="shared" si="133"/>
        <v>0</v>
      </c>
      <c r="G445" s="125">
        <v>0</v>
      </c>
      <c r="H445" s="125">
        <v>0</v>
      </c>
      <c r="I445" s="125">
        <v>0</v>
      </c>
      <c r="J445" s="76">
        <v>0</v>
      </c>
      <c r="K445" s="89">
        <f t="shared" si="129"/>
        <v>0</v>
      </c>
      <c r="L445" s="125">
        <v>0</v>
      </c>
      <c r="M445" s="125">
        <v>0</v>
      </c>
      <c r="N445" s="125">
        <v>0</v>
      </c>
      <c r="O445" s="38">
        <v>0</v>
      </c>
      <c r="P445" s="125">
        <f t="shared" si="127"/>
        <v>0</v>
      </c>
      <c r="Q445" s="125">
        <v>0</v>
      </c>
      <c r="R445" s="125">
        <v>0</v>
      </c>
      <c r="S445" s="36">
        <v>0</v>
      </c>
      <c r="T445" s="38">
        <v>0</v>
      </c>
      <c r="U445" s="125">
        <v>0</v>
      </c>
      <c r="V445" s="125">
        <v>0</v>
      </c>
      <c r="W445" s="125">
        <v>0</v>
      </c>
      <c r="X445" s="125">
        <v>0</v>
      </c>
      <c r="Y445" s="38">
        <v>0</v>
      </c>
      <c r="Z445" s="125">
        <f t="shared" si="131"/>
        <v>0</v>
      </c>
      <c r="AA445" s="125">
        <v>0</v>
      </c>
      <c r="AB445" s="125">
        <v>0</v>
      </c>
      <c r="AC445" s="36">
        <v>0</v>
      </c>
      <c r="AD445" s="94"/>
    </row>
    <row r="446" spans="1:30" s="108" customFormat="1" ht="27" customHeight="1" outlineLevel="1" x14ac:dyDescent="0.2">
      <c r="A446" s="114" t="s">
        <v>1502</v>
      </c>
      <c r="B446" s="127" t="s">
        <v>458</v>
      </c>
      <c r="C446" s="38">
        <f t="shared" si="130"/>
        <v>0</v>
      </c>
      <c r="D446" s="77">
        <f>F446+K446+P446+Z446+U446</f>
        <v>0</v>
      </c>
      <c r="E446" s="76">
        <v>0</v>
      </c>
      <c r="F446" s="89">
        <f t="shared" si="133"/>
        <v>0</v>
      </c>
      <c r="G446" s="125">
        <v>0</v>
      </c>
      <c r="H446" s="125">
        <v>0</v>
      </c>
      <c r="I446" s="125">
        <v>0</v>
      </c>
      <c r="J446" s="76">
        <v>0</v>
      </c>
      <c r="K446" s="89">
        <f t="shared" si="129"/>
        <v>0</v>
      </c>
      <c r="L446" s="125">
        <v>0</v>
      </c>
      <c r="M446" s="125">
        <v>0</v>
      </c>
      <c r="N446" s="125">
        <v>0</v>
      </c>
      <c r="O446" s="38">
        <v>0</v>
      </c>
      <c r="P446" s="125">
        <f t="shared" si="127"/>
        <v>0</v>
      </c>
      <c r="Q446" s="125">
        <v>0</v>
      </c>
      <c r="R446" s="125">
        <v>0</v>
      </c>
      <c r="S446" s="36">
        <v>0</v>
      </c>
      <c r="T446" s="38">
        <v>0</v>
      </c>
      <c r="U446" s="125">
        <f>V446+W446+X446</f>
        <v>0</v>
      </c>
      <c r="V446" s="125">
        <v>0</v>
      </c>
      <c r="W446" s="125">
        <v>0</v>
      </c>
      <c r="X446" s="125">
        <v>0</v>
      </c>
      <c r="Y446" s="38">
        <v>0</v>
      </c>
      <c r="Z446" s="125">
        <f t="shared" si="131"/>
        <v>0</v>
      </c>
      <c r="AA446" s="125">
        <v>0</v>
      </c>
      <c r="AB446" s="125">
        <v>0</v>
      </c>
      <c r="AC446" s="36">
        <v>0</v>
      </c>
      <c r="AD446" s="94"/>
    </row>
    <row r="447" spans="1:30" s="108" customFormat="1" ht="24" customHeight="1" outlineLevel="1" x14ac:dyDescent="0.2">
      <c r="A447" s="114" t="s">
        <v>1503</v>
      </c>
      <c r="B447" s="127" t="s">
        <v>459</v>
      </c>
      <c r="C447" s="38">
        <f t="shared" si="130"/>
        <v>0</v>
      </c>
      <c r="D447" s="77">
        <f t="shared" si="132"/>
        <v>0</v>
      </c>
      <c r="E447" s="76">
        <v>0</v>
      </c>
      <c r="F447" s="89">
        <f t="shared" si="133"/>
        <v>0</v>
      </c>
      <c r="G447" s="125">
        <v>0</v>
      </c>
      <c r="H447" s="125">
        <v>0</v>
      </c>
      <c r="I447" s="125">
        <v>0</v>
      </c>
      <c r="J447" s="76">
        <v>0</v>
      </c>
      <c r="K447" s="89">
        <f t="shared" si="129"/>
        <v>0</v>
      </c>
      <c r="L447" s="125">
        <v>0</v>
      </c>
      <c r="M447" s="125">
        <v>0</v>
      </c>
      <c r="N447" s="125">
        <v>0</v>
      </c>
      <c r="O447" s="38">
        <v>0</v>
      </c>
      <c r="P447" s="125">
        <f t="shared" si="127"/>
        <v>0</v>
      </c>
      <c r="Q447" s="125">
        <v>0</v>
      </c>
      <c r="R447" s="125">
        <v>0</v>
      </c>
      <c r="S447" s="36">
        <v>0</v>
      </c>
      <c r="T447" s="38">
        <v>0</v>
      </c>
      <c r="U447" s="125">
        <v>0</v>
      </c>
      <c r="V447" s="125">
        <v>0</v>
      </c>
      <c r="W447" s="125">
        <v>0</v>
      </c>
      <c r="X447" s="125">
        <v>0</v>
      </c>
      <c r="Y447" s="38">
        <v>0</v>
      </c>
      <c r="Z447" s="125">
        <f t="shared" si="131"/>
        <v>0</v>
      </c>
      <c r="AA447" s="125">
        <v>0</v>
      </c>
      <c r="AB447" s="125">
        <v>0</v>
      </c>
      <c r="AC447" s="36">
        <v>0</v>
      </c>
      <c r="AD447" s="94"/>
    </row>
    <row r="448" spans="1:30" s="108" customFormat="1" ht="28.15" customHeight="1" outlineLevel="1" x14ac:dyDescent="0.2">
      <c r="A448" s="114" t="s">
        <v>1504</v>
      </c>
      <c r="B448" s="127" t="s">
        <v>460</v>
      </c>
      <c r="C448" s="38">
        <f t="shared" si="130"/>
        <v>0</v>
      </c>
      <c r="D448" s="77">
        <f t="shared" si="132"/>
        <v>0</v>
      </c>
      <c r="E448" s="76">
        <v>0</v>
      </c>
      <c r="F448" s="89">
        <f t="shared" si="133"/>
        <v>0</v>
      </c>
      <c r="G448" s="125">
        <v>0</v>
      </c>
      <c r="H448" s="125">
        <v>0</v>
      </c>
      <c r="I448" s="125">
        <v>0</v>
      </c>
      <c r="J448" s="76">
        <v>0</v>
      </c>
      <c r="K448" s="89">
        <f t="shared" si="129"/>
        <v>0</v>
      </c>
      <c r="L448" s="125">
        <v>0</v>
      </c>
      <c r="M448" s="125">
        <v>0</v>
      </c>
      <c r="N448" s="125">
        <v>0</v>
      </c>
      <c r="O448" s="38">
        <v>0</v>
      </c>
      <c r="P448" s="125">
        <f t="shared" si="127"/>
        <v>0</v>
      </c>
      <c r="Q448" s="125">
        <v>0</v>
      </c>
      <c r="R448" s="125">
        <v>0</v>
      </c>
      <c r="S448" s="36">
        <v>0</v>
      </c>
      <c r="T448" s="38">
        <v>0</v>
      </c>
      <c r="U448" s="125">
        <v>0</v>
      </c>
      <c r="V448" s="125">
        <v>0</v>
      </c>
      <c r="W448" s="125">
        <v>0</v>
      </c>
      <c r="X448" s="125">
        <v>0</v>
      </c>
      <c r="Y448" s="38">
        <v>0</v>
      </c>
      <c r="Z448" s="125">
        <f t="shared" si="131"/>
        <v>0</v>
      </c>
      <c r="AA448" s="125">
        <v>0</v>
      </c>
      <c r="AB448" s="125">
        <v>0</v>
      </c>
      <c r="AC448" s="36">
        <v>0</v>
      </c>
      <c r="AD448" s="94"/>
    </row>
    <row r="449" spans="1:30" s="108" customFormat="1" ht="23.45" customHeight="1" outlineLevel="1" x14ac:dyDescent="0.2">
      <c r="A449" s="114" t="s">
        <v>1505</v>
      </c>
      <c r="B449" s="127" t="s">
        <v>251</v>
      </c>
      <c r="C449" s="38">
        <f t="shared" si="130"/>
        <v>0</v>
      </c>
      <c r="D449" s="77">
        <f t="shared" si="132"/>
        <v>0</v>
      </c>
      <c r="E449" s="76">
        <v>0</v>
      </c>
      <c r="F449" s="89">
        <f t="shared" si="133"/>
        <v>0</v>
      </c>
      <c r="G449" s="125">
        <v>0</v>
      </c>
      <c r="H449" s="125">
        <v>0</v>
      </c>
      <c r="I449" s="125">
        <v>0</v>
      </c>
      <c r="J449" s="76">
        <v>0</v>
      </c>
      <c r="K449" s="89">
        <f t="shared" si="129"/>
        <v>0</v>
      </c>
      <c r="L449" s="125">
        <v>0</v>
      </c>
      <c r="M449" s="125">
        <v>0</v>
      </c>
      <c r="N449" s="125">
        <v>0</v>
      </c>
      <c r="O449" s="38">
        <v>0</v>
      </c>
      <c r="P449" s="125">
        <f t="shared" si="127"/>
        <v>0</v>
      </c>
      <c r="Q449" s="125">
        <v>0</v>
      </c>
      <c r="R449" s="125">
        <v>0</v>
      </c>
      <c r="S449" s="36">
        <v>0</v>
      </c>
      <c r="T449" s="38">
        <v>0</v>
      </c>
      <c r="U449" s="125">
        <v>0</v>
      </c>
      <c r="V449" s="125">
        <v>0</v>
      </c>
      <c r="W449" s="125">
        <v>0</v>
      </c>
      <c r="X449" s="125">
        <v>0</v>
      </c>
      <c r="Y449" s="38">
        <v>0</v>
      </c>
      <c r="Z449" s="125">
        <f t="shared" si="131"/>
        <v>0</v>
      </c>
      <c r="AA449" s="125">
        <v>0</v>
      </c>
      <c r="AB449" s="125">
        <v>0</v>
      </c>
      <c r="AC449" s="36">
        <v>0</v>
      </c>
      <c r="AD449" s="94"/>
    </row>
    <row r="450" spans="1:30" s="108" customFormat="1" ht="24" customHeight="1" outlineLevel="1" x14ac:dyDescent="0.2">
      <c r="A450" s="114" t="s">
        <v>1506</v>
      </c>
      <c r="B450" s="127" t="s">
        <v>252</v>
      </c>
      <c r="C450" s="38">
        <f t="shared" si="130"/>
        <v>0</v>
      </c>
      <c r="D450" s="77">
        <f t="shared" si="132"/>
        <v>0</v>
      </c>
      <c r="E450" s="76">
        <v>0</v>
      </c>
      <c r="F450" s="89">
        <f t="shared" si="133"/>
        <v>0</v>
      </c>
      <c r="G450" s="125">
        <v>0</v>
      </c>
      <c r="H450" s="125">
        <v>0</v>
      </c>
      <c r="I450" s="125">
        <v>0</v>
      </c>
      <c r="J450" s="76">
        <v>0</v>
      </c>
      <c r="K450" s="89">
        <f t="shared" si="129"/>
        <v>0</v>
      </c>
      <c r="L450" s="125">
        <v>0</v>
      </c>
      <c r="M450" s="125">
        <v>0</v>
      </c>
      <c r="N450" s="125">
        <v>0</v>
      </c>
      <c r="O450" s="38">
        <v>0</v>
      </c>
      <c r="P450" s="125">
        <f t="shared" si="127"/>
        <v>0</v>
      </c>
      <c r="Q450" s="125">
        <v>0</v>
      </c>
      <c r="R450" s="125">
        <v>0</v>
      </c>
      <c r="S450" s="36">
        <v>0</v>
      </c>
      <c r="T450" s="38">
        <v>0</v>
      </c>
      <c r="U450" s="125">
        <v>0</v>
      </c>
      <c r="V450" s="125">
        <v>0</v>
      </c>
      <c r="W450" s="125">
        <v>0</v>
      </c>
      <c r="X450" s="125">
        <v>0</v>
      </c>
      <c r="Y450" s="38">
        <v>0</v>
      </c>
      <c r="Z450" s="125">
        <f t="shared" si="131"/>
        <v>0</v>
      </c>
      <c r="AA450" s="125">
        <v>0</v>
      </c>
      <c r="AB450" s="125">
        <v>0</v>
      </c>
      <c r="AC450" s="36">
        <v>0</v>
      </c>
      <c r="AD450" s="94"/>
    </row>
    <row r="451" spans="1:30" s="108" customFormat="1" ht="33.75" customHeight="1" outlineLevel="1" x14ac:dyDescent="0.2">
      <c r="A451" s="114" t="s">
        <v>1507</v>
      </c>
      <c r="B451" s="127" t="s">
        <v>253</v>
      </c>
      <c r="C451" s="38">
        <f t="shared" si="130"/>
        <v>0</v>
      </c>
      <c r="D451" s="77">
        <f t="shared" si="132"/>
        <v>0</v>
      </c>
      <c r="E451" s="76">
        <v>0</v>
      </c>
      <c r="F451" s="89">
        <f t="shared" si="133"/>
        <v>0</v>
      </c>
      <c r="G451" s="125">
        <v>0</v>
      </c>
      <c r="H451" s="125">
        <v>0</v>
      </c>
      <c r="I451" s="125">
        <v>0</v>
      </c>
      <c r="J451" s="76">
        <v>0</v>
      </c>
      <c r="K451" s="89">
        <f t="shared" si="129"/>
        <v>0</v>
      </c>
      <c r="L451" s="125">
        <v>0</v>
      </c>
      <c r="M451" s="125">
        <v>0</v>
      </c>
      <c r="N451" s="125">
        <v>0</v>
      </c>
      <c r="O451" s="38">
        <v>0</v>
      </c>
      <c r="P451" s="125">
        <f t="shared" si="127"/>
        <v>0</v>
      </c>
      <c r="Q451" s="125">
        <v>0</v>
      </c>
      <c r="R451" s="125">
        <v>0</v>
      </c>
      <c r="S451" s="36">
        <v>0</v>
      </c>
      <c r="T451" s="38">
        <v>0</v>
      </c>
      <c r="U451" s="125">
        <v>0</v>
      </c>
      <c r="V451" s="125">
        <v>0</v>
      </c>
      <c r="W451" s="125">
        <v>0</v>
      </c>
      <c r="X451" s="125">
        <v>0</v>
      </c>
      <c r="Y451" s="38">
        <v>0</v>
      </c>
      <c r="Z451" s="125">
        <f t="shared" si="131"/>
        <v>0</v>
      </c>
      <c r="AA451" s="125">
        <v>0</v>
      </c>
      <c r="AB451" s="125">
        <v>0</v>
      </c>
      <c r="AC451" s="36">
        <v>0</v>
      </c>
      <c r="AD451" s="94"/>
    </row>
    <row r="452" spans="1:30" s="108" customFormat="1" ht="22.9" customHeight="1" outlineLevel="1" x14ac:dyDescent="0.2">
      <c r="A452" s="114" t="s">
        <v>1508</v>
      </c>
      <c r="B452" s="127" t="s">
        <v>461</v>
      </c>
      <c r="C452" s="38">
        <f t="shared" si="130"/>
        <v>0</v>
      </c>
      <c r="D452" s="77">
        <f t="shared" si="132"/>
        <v>0</v>
      </c>
      <c r="E452" s="76">
        <v>0</v>
      </c>
      <c r="F452" s="89">
        <f t="shared" si="133"/>
        <v>0</v>
      </c>
      <c r="G452" s="125">
        <v>0</v>
      </c>
      <c r="H452" s="125">
        <v>0</v>
      </c>
      <c r="I452" s="125">
        <v>0</v>
      </c>
      <c r="J452" s="76">
        <v>0</v>
      </c>
      <c r="K452" s="89">
        <f t="shared" si="129"/>
        <v>0</v>
      </c>
      <c r="L452" s="125">
        <v>0</v>
      </c>
      <c r="M452" s="125">
        <v>0</v>
      </c>
      <c r="N452" s="125">
        <v>0</v>
      </c>
      <c r="O452" s="38">
        <v>0</v>
      </c>
      <c r="P452" s="125">
        <f t="shared" si="127"/>
        <v>0</v>
      </c>
      <c r="Q452" s="125">
        <v>0</v>
      </c>
      <c r="R452" s="125">
        <v>0</v>
      </c>
      <c r="S452" s="36">
        <v>0</v>
      </c>
      <c r="T452" s="38">
        <v>0</v>
      </c>
      <c r="U452" s="125">
        <v>0</v>
      </c>
      <c r="V452" s="125">
        <v>0</v>
      </c>
      <c r="W452" s="125">
        <v>0</v>
      </c>
      <c r="X452" s="125">
        <v>0</v>
      </c>
      <c r="Y452" s="38">
        <v>0</v>
      </c>
      <c r="Z452" s="125">
        <f t="shared" si="131"/>
        <v>0</v>
      </c>
      <c r="AA452" s="125">
        <v>0</v>
      </c>
      <c r="AB452" s="125">
        <v>0</v>
      </c>
      <c r="AC452" s="36">
        <v>0</v>
      </c>
      <c r="AD452" s="94"/>
    </row>
    <row r="453" spans="1:30" s="108" customFormat="1" ht="22.15" customHeight="1" outlineLevel="1" x14ac:dyDescent="0.2">
      <c r="A453" s="114" t="s">
        <v>1509</v>
      </c>
      <c r="B453" s="127" t="s">
        <v>254</v>
      </c>
      <c r="C453" s="38">
        <f t="shared" si="130"/>
        <v>0</v>
      </c>
      <c r="D453" s="77">
        <f t="shared" si="132"/>
        <v>0</v>
      </c>
      <c r="E453" s="76">
        <v>0</v>
      </c>
      <c r="F453" s="89">
        <f t="shared" si="133"/>
        <v>0</v>
      </c>
      <c r="G453" s="125">
        <v>0</v>
      </c>
      <c r="H453" s="125">
        <v>0</v>
      </c>
      <c r="I453" s="125">
        <v>0</v>
      </c>
      <c r="J453" s="76">
        <v>0</v>
      </c>
      <c r="K453" s="89">
        <f t="shared" si="129"/>
        <v>0</v>
      </c>
      <c r="L453" s="125">
        <v>0</v>
      </c>
      <c r="M453" s="125">
        <v>0</v>
      </c>
      <c r="N453" s="125">
        <v>0</v>
      </c>
      <c r="O453" s="38">
        <v>0</v>
      </c>
      <c r="P453" s="125">
        <f t="shared" si="127"/>
        <v>0</v>
      </c>
      <c r="Q453" s="125">
        <v>0</v>
      </c>
      <c r="R453" s="125">
        <v>0</v>
      </c>
      <c r="S453" s="36">
        <v>0</v>
      </c>
      <c r="T453" s="38">
        <v>0</v>
      </c>
      <c r="U453" s="125">
        <v>0</v>
      </c>
      <c r="V453" s="125">
        <v>0</v>
      </c>
      <c r="W453" s="125">
        <v>0</v>
      </c>
      <c r="X453" s="125">
        <v>0</v>
      </c>
      <c r="Y453" s="38">
        <v>0</v>
      </c>
      <c r="Z453" s="125">
        <f t="shared" si="131"/>
        <v>0</v>
      </c>
      <c r="AA453" s="125">
        <v>0</v>
      </c>
      <c r="AB453" s="125">
        <v>0</v>
      </c>
      <c r="AC453" s="36">
        <v>0</v>
      </c>
      <c r="AD453" s="94"/>
    </row>
    <row r="454" spans="1:30" s="108" customFormat="1" ht="22.15" customHeight="1" outlineLevel="1" x14ac:dyDescent="0.2">
      <c r="A454" s="114" t="s">
        <v>1510</v>
      </c>
      <c r="B454" s="127" t="s">
        <v>255</v>
      </c>
      <c r="C454" s="38">
        <f t="shared" si="130"/>
        <v>0</v>
      </c>
      <c r="D454" s="77">
        <f t="shared" si="132"/>
        <v>0</v>
      </c>
      <c r="E454" s="76">
        <v>0</v>
      </c>
      <c r="F454" s="89">
        <f t="shared" si="133"/>
        <v>0</v>
      </c>
      <c r="G454" s="125">
        <v>0</v>
      </c>
      <c r="H454" s="125">
        <v>0</v>
      </c>
      <c r="I454" s="125">
        <v>0</v>
      </c>
      <c r="J454" s="76">
        <v>0</v>
      </c>
      <c r="K454" s="89">
        <f t="shared" si="129"/>
        <v>0</v>
      </c>
      <c r="L454" s="125">
        <v>0</v>
      </c>
      <c r="M454" s="125">
        <v>0</v>
      </c>
      <c r="N454" s="125">
        <v>0</v>
      </c>
      <c r="O454" s="38">
        <v>0</v>
      </c>
      <c r="P454" s="125">
        <f t="shared" si="127"/>
        <v>0</v>
      </c>
      <c r="Q454" s="125">
        <v>0</v>
      </c>
      <c r="R454" s="125">
        <v>0</v>
      </c>
      <c r="S454" s="36">
        <v>0</v>
      </c>
      <c r="T454" s="38">
        <v>0</v>
      </c>
      <c r="U454" s="125">
        <v>0</v>
      </c>
      <c r="V454" s="125">
        <v>0</v>
      </c>
      <c r="W454" s="125">
        <v>0</v>
      </c>
      <c r="X454" s="125">
        <v>0</v>
      </c>
      <c r="Y454" s="38">
        <v>0</v>
      </c>
      <c r="Z454" s="125">
        <f t="shared" si="131"/>
        <v>0</v>
      </c>
      <c r="AA454" s="125">
        <v>0</v>
      </c>
      <c r="AB454" s="125">
        <v>0</v>
      </c>
      <c r="AC454" s="36">
        <v>0</v>
      </c>
      <c r="AD454" s="94"/>
    </row>
    <row r="455" spans="1:30" s="108" customFormat="1" ht="22.15" customHeight="1" outlineLevel="1" x14ac:dyDescent="0.2">
      <c r="A455" s="114" t="s">
        <v>1511</v>
      </c>
      <c r="B455" s="127" t="s">
        <v>256</v>
      </c>
      <c r="C455" s="38">
        <f t="shared" si="130"/>
        <v>0</v>
      </c>
      <c r="D455" s="77">
        <f t="shared" si="132"/>
        <v>0</v>
      </c>
      <c r="E455" s="76">
        <v>0</v>
      </c>
      <c r="F455" s="89">
        <f t="shared" si="133"/>
        <v>0</v>
      </c>
      <c r="G455" s="125">
        <v>0</v>
      </c>
      <c r="H455" s="125">
        <v>0</v>
      </c>
      <c r="I455" s="125">
        <v>0</v>
      </c>
      <c r="J455" s="76">
        <v>0</v>
      </c>
      <c r="K455" s="89">
        <f t="shared" si="129"/>
        <v>0</v>
      </c>
      <c r="L455" s="125">
        <v>0</v>
      </c>
      <c r="M455" s="125">
        <v>0</v>
      </c>
      <c r="N455" s="125">
        <v>0</v>
      </c>
      <c r="O455" s="38">
        <v>0</v>
      </c>
      <c r="P455" s="125">
        <f t="shared" si="127"/>
        <v>0</v>
      </c>
      <c r="Q455" s="125">
        <v>0</v>
      </c>
      <c r="R455" s="125">
        <v>0</v>
      </c>
      <c r="S455" s="36">
        <v>0</v>
      </c>
      <c r="T455" s="38">
        <v>0</v>
      </c>
      <c r="U455" s="125">
        <v>0</v>
      </c>
      <c r="V455" s="125">
        <v>0</v>
      </c>
      <c r="W455" s="125">
        <v>0</v>
      </c>
      <c r="X455" s="125">
        <v>0</v>
      </c>
      <c r="Y455" s="38">
        <v>0</v>
      </c>
      <c r="Z455" s="125">
        <f t="shared" si="131"/>
        <v>0</v>
      </c>
      <c r="AA455" s="125">
        <v>0</v>
      </c>
      <c r="AB455" s="125">
        <v>0</v>
      </c>
      <c r="AC455" s="36">
        <v>0</v>
      </c>
      <c r="AD455" s="94"/>
    </row>
    <row r="456" spans="1:30" s="108" customFormat="1" ht="28.5" customHeight="1" outlineLevel="1" x14ac:dyDescent="0.2">
      <c r="A456" s="114" t="s">
        <v>1512</v>
      </c>
      <c r="B456" s="127" t="s">
        <v>257</v>
      </c>
      <c r="C456" s="38">
        <f t="shared" si="130"/>
        <v>0</v>
      </c>
      <c r="D456" s="77">
        <f t="shared" si="132"/>
        <v>0</v>
      </c>
      <c r="E456" s="76">
        <v>0</v>
      </c>
      <c r="F456" s="89">
        <f t="shared" si="133"/>
        <v>0</v>
      </c>
      <c r="G456" s="125">
        <v>0</v>
      </c>
      <c r="H456" s="125">
        <v>0</v>
      </c>
      <c r="I456" s="125">
        <v>0</v>
      </c>
      <c r="J456" s="76">
        <v>0</v>
      </c>
      <c r="K456" s="89">
        <f t="shared" si="129"/>
        <v>0</v>
      </c>
      <c r="L456" s="125">
        <v>0</v>
      </c>
      <c r="M456" s="125">
        <v>0</v>
      </c>
      <c r="N456" s="125">
        <v>0</v>
      </c>
      <c r="O456" s="38">
        <v>0</v>
      </c>
      <c r="P456" s="125">
        <f t="shared" si="127"/>
        <v>0</v>
      </c>
      <c r="Q456" s="125">
        <v>0</v>
      </c>
      <c r="R456" s="125">
        <v>0</v>
      </c>
      <c r="S456" s="36">
        <v>0</v>
      </c>
      <c r="T456" s="38">
        <v>0</v>
      </c>
      <c r="U456" s="125">
        <v>0</v>
      </c>
      <c r="V456" s="125">
        <v>0</v>
      </c>
      <c r="W456" s="125">
        <v>0</v>
      </c>
      <c r="X456" s="125">
        <v>0</v>
      </c>
      <c r="Y456" s="38">
        <v>0</v>
      </c>
      <c r="Z456" s="125">
        <f t="shared" si="131"/>
        <v>0</v>
      </c>
      <c r="AA456" s="125">
        <v>0</v>
      </c>
      <c r="AB456" s="125">
        <v>0</v>
      </c>
      <c r="AC456" s="36">
        <v>0</v>
      </c>
      <c r="AD456" s="94"/>
    </row>
    <row r="457" spans="1:30" s="108" customFormat="1" ht="25.5" customHeight="1" outlineLevel="1" x14ac:dyDescent="0.2">
      <c r="A457" s="114" t="s">
        <v>1513</v>
      </c>
      <c r="B457" s="127" t="s">
        <v>258</v>
      </c>
      <c r="C457" s="38">
        <f t="shared" si="130"/>
        <v>0</v>
      </c>
      <c r="D457" s="77">
        <f t="shared" si="132"/>
        <v>0</v>
      </c>
      <c r="E457" s="76">
        <v>0</v>
      </c>
      <c r="F457" s="89">
        <f t="shared" si="133"/>
        <v>0</v>
      </c>
      <c r="G457" s="125">
        <v>0</v>
      </c>
      <c r="H457" s="125">
        <v>0</v>
      </c>
      <c r="I457" s="125">
        <v>0</v>
      </c>
      <c r="J457" s="76">
        <v>0</v>
      </c>
      <c r="K457" s="89">
        <f t="shared" ref="K457:K466" si="134">L457+M457+N457</f>
        <v>0</v>
      </c>
      <c r="L457" s="125">
        <v>0</v>
      </c>
      <c r="M457" s="125">
        <v>0</v>
      </c>
      <c r="N457" s="125">
        <v>0</v>
      </c>
      <c r="O457" s="38">
        <v>0</v>
      </c>
      <c r="P457" s="125">
        <f t="shared" si="127"/>
        <v>0</v>
      </c>
      <c r="Q457" s="125">
        <v>0</v>
      </c>
      <c r="R457" s="125">
        <v>0</v>
      </c>
      <c r="S457" s="36">
        <v>0</v>
      </c>
      <c r="T457" s="38">
        <v>0</v>
      </c>
      <c r="U457" s="125">
        <v>0</v>
      </c>
      <c r="V457" s="125">
        <v>0</v>
      </c>
      <c r="W457" s="125">
        <v>0</v>
      </c>
      <c r="X457" s="125">
        <v>0</v>
      </c>
      <c r="Y457" s="38">
        <v>0</v>
      </c>
      <c r="Z457" s="125">
        <f t="shared" si="131"/>
        <v>0</v>
      </c>
      <c r="AA457" s="125">
        <v>0</v>
      </c>
      <c r="AB457" s="125">
        <v>0</v>
      </c>
      <c r="AC457" s="36">
        <v>0</v>
      </c>
      <c r="AD457" s="94"/>
    </row>
    <row r="458" spans="1:30" s="108" customFormat="1" ht="24.6" customHeight="1" outlineLevel="1" x14ac:dyDescent="0.2">
      <c r="A458" s="114" t="s">
        <v>1514</v>
      </c>
      <c r="B458" s="127" t="s">
        <v>259</v>
      </c>
      <c r="C458" s="38">
        <f t="shared" si="130"/>
        <v>0</v>
      </c>
      <c r="D458" s="77">
        <f t="shared" si="132"/>
        <v>0</v>
      </c>
      <c r="E458" s="76">
        <v>0</v>
      </c>
      <c r="F458" s="89">
        <f t="shared" si="133"/>
        <v>0</v>
      </c>
      <c r="G458" s="125">
        <v>0</v>
      </c>
      <c r="H458" s="125">
        <v>0</v>
      </c>
      <c r="I458" s="125">
        <v>0</v>
      </c>
      <c r="J458" s="76">
        <v>0</v>
      </c>
      <c r="K458" s="89">
        <f t="shared" si="134"/>
        <v>0</v>
      </c>
      <c r="L458" s="125">
        <v>0</v>
      </c>
      <c r="M458" s="125">
        <v>0</v>
      </c>
      <c r="N458" s="125">
        <v>0</v>
      </c>
      <c r="O458" s="38">
        <v>0</v>
      </c>
      <c r="P458" s="125">
        <f t="shared" si="127"/>
        <v>0</v>
      </c>
      <c r="Q458" s="125">
        <v>0</v>
      </c>
      <c r="R458" s="125">
        <v>0</v>
      </c>
      <c r="S458" s="36">
        <v>0</v>
      </c>
      <c r="T458" s="38">
        <v>0</v>
      </c>
      <c r="U458" s="125">
        <v>0</v>
      </c>
      <c r="V458" s="125">
        <v>0</v>
      </c>
      <c r="W458" s="125">
        <v>0</v>
      </c>
      <c r="X458" s="125">
        <v>0</v>
      </c>
      <c r="Y458" s="38">
        <v>0</v>
      </c>
      <c r="Z458" s="125">
        <f t="shared" si="131"/>
        <v>0</v>
      </c>
      <c r="AA458" s="125">
        <v>0</v>
      </c>
      <c r="AB458" s="125">
        <v>0</v>
      </c>
      <c r="AC458" s="36">
        <v>0</v>
      </c>
      <c r="AD458" s="94"/>
    </row>
    <row r="459" spans="1:30" s="108" customFormat="1" ht="23.45" customHeight="1" outlineLevel="1" x14ac:dyDescent="0.2">
      <c r="A459" s="114" t="s">
        <v>1515</v>
      </c>
      <c r="B459" s="127" t="s">
        <v>260</v>
      </c>
      <c r="C459" s="38">
        <f t="shared" si="130"/>
        <v>0</v>
      </c>
      <c r="D459" s="77">
        <f t="shared" si="132"/>
        <v>0</v>
      </c>
      <c r="E459" s="76">
        <v>0</v>
      </c>
      <c r="F459" s="89">
        <f t="shared" si="133"/>
        <v>0</v>
      </c>
      <c r="G459" s="125">
        <v>0</v>
      </c>
      <c r="H459" s="125">
        <v>0</v>
      </c>
      <c r="I459" s="125">
        <v>0</v>
      </c>
      <c r="J459" s="76">
        <v>0</v>
      </c>
      <c r="K459" s="89">
        <f t="shared" si="134"/>
        <v>0</v>
      </c>
      <c r="L459" s="125">
        <v>0</v>
      </c>
      <c r="M459" s="125">
        <v>0</v>
      </c>
      <c r="N459" s="125">
        <v>0</v>
      </c>
      <c r="O459" s="38">
        <v>0</v>
      </c>
      <c r="P459" s="125">
        <f t="shared" si="127"/>
        <v>0</v>
      </c>
      <c r="Q459" s="125">
        <v>0</v>
      </c>
      <c r="R459" s="125">
        <v>0</v>
      </c>
      <c r="S459" s="36">
        <v>0</v>
      </c>
      <c r="T459" s="38">
        <v>0</v>
      </c>
      <c r="U459" s="125">
        <v>0</v>
      </c>
      <c r="V459" s="125">
        <v>0</v>
      </c>
      <c r="W459" s="125">
        <v>0</v>
      </c>
      <c r="X459" s="125">
        <v>0</v>
      </c>
      <c r="Y459" s="38">
        <v>0</v>
      </c>
      <c r="Z459" s="125">
        <f t="shared" si="131"/>
        <v>0</v>
      </c>
      <c r="AA459" s="125">
        <v>0</v>
      </c>
      <c r="AB459" s="125">
        <v>0</v>
      </c>
      <c r="AC459" s="36">
        <v>0</v>
      </c>
      <c r="AD459" s="94"/>
    </row>
    <row r="460" spans="1:30" s="108" customFormat="1" ht="22.15" customHeight="1" outlineLevel="1" x14ac:dyDescent="0.2">
      <c r="A460" s="114" t="s">
        <v>1516</v>
      </c>
      <c r="B460" s="127" t="s">
        <v>462</v>
      </c>
      <c r="C460" s="38">
        <f t="shared" si="130"/>
        <v>0</v>
      </c>
      <c r="D460" s="77">
        <f t="shared" si="132"/>
        <v>0</v>
      </c>
      <c r="E460" s="76">
        <v>0</v>
      </c>
      <c r="F460" s="89">
        <f t="shared" si="133"/>
        <v>0</v>
      </c>
      <c r="G460" s="125">
        <v>0</v>
      </c>
      <c r="H460" s="125">
        <v>0</v>
      </c>
      <c r="I460" s="125">
        <v>0</v>
      </c>
      <c r="J460" s="76">
        <v>0</v>
      </c>
      <c r="K460" s="89">
        <f t="shared" si="134"/>
        <v>0</v>
      </c>
      <c r="L460" s="125">
        <v>0</v>
      </c>
      <c r="M460" s="125">
        <v>0</v>
      </c>
      <c r="N460" s="125">
        <v>0</v>
      </c>
      <c r="O460" s="38">
        <v>0</v>
      </c>
      <c r="P460" s="125">
        <f t="shared" si="127"/>
        <v>0</v>
      </c>
      <c r="Q460" s="125">
        <v>0</v>
      </c>
      <c r="R460" s="125">
        <v>0</v>
      </c>
      <c r="S460" s="36">
        <v>0</v>
      </c>
      <c r="T460" s="38">
        <v>0</v>
      </c>
      <c r="U460" s="125">
        <v>0</v>
      </c>
      <c r="V460" s="125">
        <v>0</v>
      </c>
      <c r="W460" s="125">
        <v>0</v>
      </c>
      <c r="X460" s="125">
        <v>0</v>
      </c>
      <c r="Y460" s="38">
        <v>0</v>
      </c>
      <c r="Z460" s="125">
        <f t="shared" si="131"/>
        <v>0</v>
      </c>
      <c r="AA460" s="125">
        <v>0</v>
      </c>
      <c r="AB460" s="125">
        <v>0</v>
      </c>
      <c r="AC460" s="36">
        <v>0</v>
      </c>
      <c r="AD460" s="94"/>
    </row>
    <row r="461" spans="1:30" s="108" customFormat="1" ht="25.5" customHeight="1" outlineLevel="1" x14ac:dyDescent="0.2">
      <c r="A461" s="114" t="s">
        <v>1517</v>
      </c>
      <c r="B461" s="127" t="s">
        <v>261</v>
      </c>
      <c r="C461" s="38">
        <f t="shared" si="130"/>
        <v>0</v>
      </c>
      <c r="D461" s="77">
        <f t="shared" si="132"/>
        <v>0</v>
      </c>
      <c r="E461" s="76">
        <v>0</v>
      </c>
      <c r="F461" s="89">
        <f t="shared" si="133"/>
        <v>0</v>
      </c>
      <c r="G461" s="125">
        <v>0</v>
      </c>
      <c r="H461" s="125">
        <v>0</v>
      </c>
      <c r="I461" s="125">
        <v>0</v>
      </c>
      <c r="J461" s="76">
        <v>0</v>
      </c>
      <c r="K461" s="89">
        <f t="shared" si="134"/>
        <v>0</v>
      </c>
      <c r="L461" s="125">
        <v>0</v>
      </c>
      <c r="M461" s="125">
        <v>0</v>
      </c>
      <c r="N461" s="125">
        <v>0</v>
      </c>
      <c r="O461" s="38">
        <v>0</v>
      </c>
      <c r="P461" s="125">
        <f t="shared" si="127"/>
        <v>0</v>
      </c>
      <c r="Q461" s="125">
        <v>0</v>
      </c>
      <c r="R461" s="125">
        <v>0</v>
      </c>
      <c r="S461" s="36">
        <v>0</v>
      </c>
      <c r="T461" s="38">
        <v>0</v>
      </c>
      <c r="U461" s="125">
        <v>0</v>
      </c>
      <c r="V461" s="125">
        <v>0</v>
      </c>
      <c r="W461" s="125">
        <v>0</v>
      </c>
      <c r="X461" s="125">
        <v>0</v>
      </c>
      <c r="Y461" s="38">
        <v>0</v>
      </c>
      <c r="Z461" s="125">
        <f t="shared" si="131"/>
        <v>0</v>
      </c>
      <c r="AA461" s="125">
        <v>0</v>
      </c>
      <c r="AB461" s="125">
        <v>0</v>
      </c>
      <c r="AC461" s="36">
        <v>0</v>
      </c>
      <c r="AD461" s="94"/>
    </row>
    <row r="462" spans="1:30" s="108" customFormat="1" ht="46.9" customHeight="1" outlineLevel="1" x14ac:dyDescent="0.2">
      <c r="A462" s="114" t="s">
        <v>1518</v>
      </c>
      <c r="B462" s="127" t="s">
        <v>356</v>
      </c>
      <c r="C462" s="38">
        <f t="shared" si="130"/>
        <v>0</v>
      </c>
      <c r="D462" s="77">
        <f t="shared" si="132"/>
        <v>0</v>
      </c>
      <c r="E462" s="76">
        <v>0</v>
      </c>
      <c r="F462" s="89">
        <f t="shared" si="133"/>
        <v>0</v>
      </c>
      <c r="G462" s="125">
        <v>0</v>
      </c>
      <c r="H462" s="125">
        <v>0</v>
      </c>
      <c r="I462" s="125">
        <v>0</v>
      </c>
      <c r="J462" s="76">
        <v>0</v>
      </c>
      <c r="K462" s="89">
        <f t="shared" si="134"/>
        <v>0</v>
      </c>
      <c r="L462" s="125">
        <v>0</v>
      </c>
      <c r="M462" s="125">
        <v>0</v>
      </c>
      <c r="N462" s="125">
        <v>0</v>
      </c>
      <c r="O462" s="38">
        <v>0</v>
      </c>
      <c r="P462" s="125">
        <f t="shared" si="127"/>
        <v>0</v>
      </c>
      <c r="Q462" s="125">
        <v>0</v>
      </c>
      <c r="R462" s="125">
        <v>0</v>
      </c>
      <c r="S462" s="36">
        <v>0</v>
      </c>
      <c r="T462" s="38">
        <v>0</v>
      </c>
      <c r="U462" s="125">
        <v>0</v>
      </c>
      <c r="V462" s="125">
        <v>0</v>
      </c>
      <c r="W462" s="125">
        <v>0</v>
      </c>
      <c r="X462" s="125">
        <v>0</v>
      </c>
      <c r="Y462" s="38">
        <v>0</v>
      </c>
      <c r="Z462" s="125">
        <f t="shared" si="131"/>
        <v>0</v>
      </c>
      <c r="AA462" s="125">
        <v>0</v>
      </c>
      <c r="AB462" s="125">
        <v>0</v>
      </c>
      <c r="AC462" s="36">
        <v>0</v>
      </c>
      <c r="AD462" s="94"/>
    </row>
    <row r="463" spans="1:30" s="108" customFormat="1" ht="46.9" customHeight="1" outlineLevel="1" x14ac:dyDescent="0.2">
      <c r="A463" s="114" t="s">
        <v>1519</v>
      </c>
      <c r="B463" s="127" t="s">
        <v>1679</v>
      </c>
      <c r="C463" s="38">
        <f t="shared" si="130"/>
        <v>1.44</v>
      </c>
      <c r="D463" s="77">
        <f t="shared" si="132"/>
        <v>303</v>
      </c>
      <c r="E463" s="76">
        <v>0</v>
      </c>
      <c r="F463" s="89">
        <f t="shared" si="133"/>
        <v>0</v>
      </c>
      <c r="G463" s="125">
        <v>0</v>
      </c>
      <c r="H463" s="125">
        <v>0</v>
      </c>
      <c r="I463" s="125">
        <v>0</v>
      </c>
      <c r="J463" s="76">
        <v>0</v>
      </c>
      <c r="K463" s="89">
        <f t="shared" si="134"/>
        <v>0</v>
      </c>
      <c r="L463" s="125">
        <v>0</v>
      </c>
      <c r="M463" s="125">
        <v>0</v>
      </c>
      <c r="N463" s="125">
        <v>0</v>
      </c>
      <c r="O463" s="38">
        <v>1.44</v>
      </c>
      <c r="P463" s="125">
        <f t="shared" si="127"/>
        <v>303</v>
      </c>
      <c r="Q463" s="125">
        <v>0</v>
      </c>
      <c r="R463" s="125">
        <v>0</v>
      </c>
      <c r="S463" s="36">
        <v>303</v>
      </c>
      <c r="T463" s="38">
        <v>0</v>
      </c>
      <c r="U463" s="125">
        <v>0</v>
      </c>
      <c r="V463" s="125">
        <v>0</v>
      </c>
      <c r="W463" s="125">
        <v>0</v>
      </c>
      <c r="X463" s="125">
        <v>0</v>
      </c>
      <c r="Y463" s="38">
        <v>0</v>
      </c>
      <c r="Z463" s="125">
        <f t="shared" si="131"/>
        <v>0</v>
      </c>
      <c r="AA463" s="125">
        <v>0</v>
      </c>
      <c r="AB463" s="125">
        <v>0</v>
      </c>
      <c r="AC463" s="36">
        <v>0</v>
      </c>
      <c r="AD463" s="94"/>
    </row>
    <row r="464" spans="1:30" s="108" customFormat="1" ht="39.6" customHeight="1" outlineLevel="1" x14ac:dyDescent="0.2">
      <c r="A464" s="114" t="s">
        <v>1520</v>
      </c>
      <c r="B464" s="127" t="s">
        <v>680</v>
      </c>
      <c r="C464" s="38">
        <f t="shared" si="130"/>
        <v>5.65</v>
      </c>
      <c r="D464" s="77">
        <f t="shared" si="132"/>
        <v>648</v>
      </c>
      <c r="E464" s="76">
        <v>5.65</v>
      </c>
      <c r="F464" s="89">
        <f t="shared" si="133"/>
        <v>648</v>
      </c>
      <c r="G464" s="125">
        <v>0</v>
      </c>
      <c r="H464" s="125">
        <v>0</v>
      </c>
      <c r="I464" s="125">
        <v>648</v>
      </c>
      <c r="J464" s="76">
        <v>0</v>
      </c>
      <c r="K464" s="89">
        <f t="shared" si="134"/>
        <v>0</v>
      </c>
      <c r="L464" s="125">
        <v>0</v>
      </c>
      <c r="M464" s="125">
        <v>0</v>
      </c>
      <c r="N464" s="125">
        <v>0</v>
      </c>
      <c r="O464" s="38">
        <v>0</v>
      </c>
      <c r="P464" s="125">
        <f>Q464+R464+S464</f>
        <v>0</v>
      </c>
      <c r="Q464" s="125">
        <v>0</v>
      </c>
      <c r="R464" s="125">
        <v>0</v>
      </c>
      <c r="S464" s="36">
        <v>0</v>
      </c>
      <c r="T464" s="38">
        <v>0</v>
      </c>
      <c r="U464" s="125">
        <v>0</v>
      </c>
      <c r="V464" s="125">
        <v>0</v>
      </c>
      <c r="W464" s="125">
        <v>0</v>
      </c>
      <c r="X464" s="125">
        <v>0</v>
      </c>
      <c r="Y464" s="38">
        <v>0</v>
      </c>
      <c r="Z464" s="125">
        <f>AA464+AB464+AC464</f>
        <v>0</v>
      </c>
      <c r="AA464" s="125">
        <v>0</v>
      </c>
      <c r="AB464" s="125">
        <v>0</v>
      </c>
      <c r="AC464" s="36">
        <v>0</v>
      </c>
      <c r="AD464" s="94"/>
    </row>
    <row r="465" spans="1:30" s="108" customFormat="1" ht="39.6" customHeight="1" outlineLevel="1" x14ac:dyDescent="0.2">
      <c r="A465" s="114" t="s">
        <v>1521</v>
      </c>
      <c r="B465" s="127" t="s">
        <v>798</v>
      </c>
      <c r="C465" s="38">
        <f t="shared" si="130"/>
        <v>0.9</v>
      </c>
      <c r="D465" s="77">
        <f t="shared" si="132"/>
        <v>1267</v>
      </c>
      <c r="E465" s="76">
        <v>0.9</v>
      </c>
      <c r="F465" s="89">
        <f t="shared" si="133"/>
        <v>1267</v>
      </c>
      <c r="G465" s="125">
        <v>0</v>
      </c>
      <c r="H465" s="125">
        <v>0</v>
      </c>
      <c r="I465" s="125">
        <v>1267</v>
      </c>
      <c r="J465" s="76">
        <v>0</v>
      </c>
      <c r="K465" s="89">
        <f t="shared" si="134"/>
        <v>0</v>
      </c>
      <c r="L465" s="125">
        <v>0</v>
      </c>
      <c r="M465" s="125">
        <v>0</v>
      </c>
      <c r="N465" s="125">
        <v>0</v>
      </c>
      <c r="O465" s="38">
        <v>0</v>
      </c>
      <c r="P465" s="125">
        <f>Q465+R465+S465</f>
        <v>0</v>
      </c>
      <c r="Q465" s="125">
        <v>0</v>
      </c>
      <c r="R465" s="125">
        <v>0</v>
      </c>
      <c r="S465" s="36">
        <v>0</v>
      </c>
      <c r="T465" s="38">
        <v>0</v>
      </c>
      <c r="U465" s="125">
        <v>0</v>
      </c>
      <c r="V465" s="125">
        <v>0</v>
      </c>
      <c r="W465" s="125">
        <v>0</v>
      </c>
      <c r="X465" s="125">
        <v>0</v>
      </c>
      <c r="Y465" s="38">
        <v>0</v>
      </c>
      <c r="Z465" s="125">
        <f>AA465+AB465+AC465</f>
        <v>0</v>
      </c>
      <c r="AA465" s="125">
        <v>0</v>
      </c>
      <c r="AB465" s="125">
        <v>0</v>
      </c>
      <c r="AC465" s="36">
        <v>0</v>
      </c>
      <c r="AD465" s="94"/>
    </row>
    <row r="466" spans="1:30" s="108" customFormat="1" ht="39.6" customHeight="1" outlineLevel="1" x14ac:dyDescent="0.2">
      <c r="A466" s="114" t="s">
        <v>1522</v>
      </c>
      <c r="B466" s="127" t="s">
        <v>955</v>
      </c>
      <c r="C466" s="38">
        <f>E466+J466+O466+T466+Y466</f>
        <v>0</v>
      </c>
      <c r="D466" s="77">
        <f t="shared" si="132"/>
        <v>0</v>
      </c>
      <c r="E466" s="76">
        <v>0</v>
      </c>
      <c r="F466" s="89">
        <f t="shared" si="133"/>
        <v>0</v>
      </c>
      <c r="G466" s="125">
        <v>0</v>
      </c>
      <c r="H466" s="125">
        <v>0</v>
      </c>
      <c r="I466" s="125">
        <v>0</v>
      </c>
      <c r="J466" s="76">
        <v>0</v>
      </c>
      <c r="K466" s="89">
        <f t="shared" si="134"/>
        <v>0</v>
      </c>
      <c r="L466" s="125">
        <v>0</v>
      </c>
      <c r="M466" s="125">
        <v>0</v>
      </c>
      <c r="N466" s="125">
        <v>0</v>
      </c>
      <c r="O466" s="38">
        <v>0</v>
      </c>
      <c r="P466" s="125">
        <f>Q466+R466+S466</f>
        <v>0</v>
      </c>
      <c r="Q466" s="125">
        <v>0</v>
      </c>
      <c r="R466" s="125">
        <v>0</v>
      </c>
      <c r="S466" s="36">
        <v>0</v>
      </c>
      <c r="T466" s="38">
        <v>0</v>
      </c>
      <c r="U466" s="125">
        <v>0</v>
      </c>
      <c r="V466" s="125">
        <v>0</v>
      </c>
      <c r="W466" s="125">
        <v>0</v>
      </c>
      <c r="X466" s="125">
        <v>0</v>
      </c>
      <c r="Y466" s="38">
        <v>0</v>
      </c>
      <c r="Z466" s="125">
        <f>AA466+AB466+AC466</f>
        <v>0</v>
      </c>
      <c r="AA466" s="125">
        <v>0</v>
      </c>
      <c r="AB466" s="125">
        <v>0</v>
      </c>
      <c r="AC466" s="36">
        <v>0</v>
      </c>
      <c r="AD466" s="94"/>
    </row>
    <row r="467" spans="1:30" s="108" customFormat="1" ht="39.6" customHeight="1" outlineLevel="1" x14ac:dyDescent="0.2">
      <c r="A467" s="114" t="s">
        <v>1676</v>
      </c>
      <c r="B467" s="127" t="s">
        <v>1677</v>
      </c>
      <c r="C467" s="38">
        <f>E467+J467+O467+T467+Y467</f>
        <v>1.62</v>
      </c>
      <c r="D467" s="77">
        <f>F467+K467+P467+Z467+U467</f>
        <v>345</v>
      </c>
      <c r="E467" s="76">
        <v>0</v>
      </c>
      <c r="F467" s="89">
        <f>G467+H467+I467</f>
        <v>0</v>
      </c>
      <c r="G467" s="125">
        <v>0</v>
      </c>
      <c r="H467" s="125">
        <v>0</v>
      </c>
      <c r="I467" s="125">
        <v>0</v>
      </c>
      <c r="J467" s="76">
        <v>0</v>
      </c>
      <c r="K467" s="89">
        <f>L467+M467+N467</f>
        <v>0</v>
      </c>
      <c r="L467" s="125">
        <v>0</v>
      </c>
      <c r="M467" s="125">
        <v>0</v>
      </c>
      <c r="N467" s="125">
        <v>0</v>
      </c>
      <c r="O467" s="38">
        <v>1.62</v>
      </c>
      <c r="P467" s="125">
        <f>Q467+R467+S467</f>
        <v>345</v>
      </c>
      <c r="Q467" s="125">
        <v>0</v>
      </c>
      <c r="R467" s="125">
        <v>0</v>
      </c>
      <c r="S467" s="36">
        <v>345</v>
      </c>
      <c r="T467" s="38">
        <v>0</v>
      </c>
      <c r="U467" s="125">
        <v>0</v>
      </c>
      <c r="V467" s="125">
        <v>0</v>
      </c>
      <c r="W467" s="125">
        <v>0</v>
      </c>
      <c r="X467" s="125">
        <v>0</v>
      </c>
      <c r="Y467" s="38">
        <v>0</v>
      </c>
      <c r="Z467" s="125">
        <f>AA467+AB467+AC467</f>
        <v>0</v>
      </c>
      <c r="AA467" s="125">
        <v>0</v>
      </c>
      <c r="AB467" s="125">
        <v>0</v>
      </c>
      <c r="AC467" s="36">
        <v>0</v>
      </c>
      <c r="AD467" s="94"/>
    </row>
    <row r="468" spans="1:30" s="108" customFormat="1" ht="25.9" customHeight="1" x14ac:dyDescent="0.2">
      <c r="A468" s="128"/>
      <c r="B468" s="129" t="s">
        <v>354</v>
      </c>
      <c r="C468" s="128">
        <f t="shared" ref="C468:J468" si="135">SUM(C307,C440,C437)</f>
        <v>23.700000000000003</v>
      </c>
      <c r="D468" s="130">
        <f t="shared" si="135"/>
        <v>4922</v>
      </c>
      <c r="E468" s="128">
        <f t="shared" si="135"/>
        <v>13.8</v>
      </c>
      <c r="F468" s="130">
        <f t="shared" si="135"/>
        <v>2746</v>
      </c>
      <c r="G468" s="130">
        <f t="shared" si="135"/>
        <v>0</v>
      </c>
      <c r="H468" s="130">
        <f t="shared" si="135"/>
        <v>0</v>
      </c>
      <c r="I468" s="130">
        <f t="shared" si="135"/>
        <v>2746</v>
      </c>
      <c r="J468" s="128">
        <f t="shared" si="135"/>
        <v>0</v>
      </c>
      <c r="K468" s="130">
        <f>SUM(L468:N468)</f>
        <v>0</v>
      </c>
      <c r="L468" s="130">
        <f>SUM(L307,L440,L437)</f>
        <v>0</v>
      </c>
      <c r="M468" s="130">
        <f>SUM(M307,M440,M437)</f>
        <v>0</v>
      </c>
      <c r="N468" s="130">
        <f>SUM(N307,N440,N437)</f>
        <v>0</v>
      </c>
      <c r="O468" s="128">
        <f>SUM(O307,O440,O437)</f>
        <v>5.9</v>
      </c>
      <c r="P468" s="130">
        <f>Q468+R468+S468</f>
        <v>1248</v>
      </c>
      <c r="Q468" s="130">
        <f>SUM(Q307,Q440,Q437)</f>
        <v>0</v>
      </c>
      <c r="R468" s="130">
        <f>SUM(R307,R440,R437)</f>
        <v>0</v>
      </c>
      <c r="S468" s="130">
        <f>SUM(S307,S440,S437)</f>
        <v>1248</v>
      </c>
      <c r="T468" s="128">
        <f>SUM(T307,T440,T437)</f>
        <v>4</v>
      </c>
      <c r="U468" s="130">
        <f>V468+W468+X468</f>
        <v>928</v>
      </c>
      <c r="V468" s="130">
        <f t="shared" ref="V468:AC468" si="136">SUM(V307,V440,V437)</f>
        <v>0</v>
      </c>
      <c r="W468" s="130">
        <f t="shared" si="136"/>
        <v>0</v>
      </c>
      <c r="X468" s="130">
        <f t="shared" si="136"/>
        <v>928</v>
      </c>
      <c r="Y468" s="128">
        <f t="shared" si="136"/>
        <v>0</v>
      </c>
      <c r="Z468" s="130">
        <f t="shared" si="136"/>
        <v>0</v>
      </c>
      <c r="AA468" s="130">
        <f t="shared" si="136"/>
        <v>0</v>
      </c>
      <c r="AB468" s="130">
        <f t="shared" si="136"/>
        <v>0</v>
      </c>
      <c r="AC468" s="130">
        <f t="shared" si="136"/>
        <v>0</v>
      </c>
      <c r="AD468" s="94"/>
    </row>
    <row r="469" spans="1:30" s="108" customFormat="1" ht="24" customHeight="1" x14ac:dyDescent="0.2">
      <c r="A469" s="121" t="s">
        <v>1523</v>
      </c>
      <c r="B469" s="133" t="s">
        <v>262</v>
      </c>
      <c r="C469" s="134"/>
      <c r="D469" s="125"/>
      <c r="E469" s="76"/>
      <c r="F469" s="126"/>
      <c r="G469" s="135"/>
      <c r="H469" s="135"/>
      <c r="I469" s="135"/>
      <c r="J469" s="87"/>
      <c r="K469" s="126"/>
      <c r="L469" s="135"/>
      <c r="M469" s="135"/>
      <c r="N469" s="135"/>
      <c r="O469" s="134"/>
      <c r="P469" s="125"/>
      <c r="Q469" s="135"/>
      <c r="R469" s="135"/>
      <c r="S469" s="136"/>
      <c r="T469" s="134"/>
      <c r="U469" s="125"/>
      <c r="V469" s="135"/>
      <c r="W469" s="135"/>
      <c r="X469" s="136"/>
      <c r="Y469" s="134"/>
      <c r="Z469" s="125"/>
      <c r="AA469" s="125"/>
      <c r="AB469" s="125"/>
      <c r="AC469" s="136"/>
      <c r="AD469" s="94"/>
    </row>
    <row r="470" spans="1:30" s="108" customFormat="1" ht="34.15" customHeight="1" outlineLevel="1" x14ac:dyDescent="0.2">
      <c r="A470" s="128"/>
      <c r="B470" s="137" t="s">
        <v>351</v>
      </c>
      <c r="C470" s="122">
        <f>SUM(C471:C475)</f>
        <v>0</v>
      </c>
      <c r="D470" s="124">
        <f>SUM(D471:D475)</f>
        <v>0</v>
      </c>
      <c r="E470" s="122">
        <f t="shared" ref="E470:S470" si="137">SUM(E471:E475)</f>
        <v>0</v>
      </c>
      <c r="F470" s="124">
        <f t="shared" si="137"/>
        <v>0</v>
      </c>
      <c r="G470" s="124">
        <f t="shared" si="137"/>
        <v>0</v>
      </c>
      <c r="H470" s="124">
        <f t="shared" si="137"/>
        <v>0</v>
      </c>
      <c r="I470" s="124">
        <f t="shared" si="137"/>
        <v>0</v>
      </c>
      <c r="J470" s="122">
        <f t="shared" si="137"/>
        <v>0</v>
      </c>
      <c r="K470" s="124">
        <f>SUM(L470:N470)</f>
        <v>0</v>
      </c>
      <c r="L470" s="124">
        <f t="shared" si="137"/>
        <v>0</v>
      </c>
      <c r="M470" s="124">
        <f t="shared" si="137"/>
        <v>0</v>
      </c>
      <c r="N470" s="124">
        <f t="shared" si="137"/>
        <v>0</v>
      </c>
      <c r="O470" s="122">
        <f t="shared" si="137"/>
        <v>0</v>
      </c>
      <c r="P470" s="123">
        <f t="shared" si="127"/>
        <v>0</v>
      </c>
      <c r="Q470" s="124">
        <f t="shared" si="137"/>
        <v>0</v>
      </c>
      <c r="R470" s="124">
        <f t="shared" si="137"/>
        <v>0</v>
      </c>
      <c r="S470" s="124">
        <f t="shared" si="137"/>
        <v>0</v>
      </c>
      <c r="T470" s="122">
        <v>0</v>
      </c>
      <c r="U470" s="123">
        <v>0</v>
      </c>
      <c r="V470" s="123">
        <v>0</v>
      </c>
      <c r="W470" s="123">
        <v>0</v>
      </c>
      <c r="X470" s="123">
        <v>0</v>
      </c>
      <c r="Y470" s="122">
        <f>SUM(Y471:Y475)</f>
        <v>0</v>
      </c>
      <c r="Z470" s="123">
        <f t="shared" ref="Z470:Z501" si="138">AA470+AB470+AC470</f>
        <v>0</v>
      </c>
      <c r="AA470" s="124">
        <f>SUM(AA471:AA475)</f>
        <v>0</v>
      </c>
      <c r="AB470" s="124">
        <f>SUM(AB471:AB475)</f>
        <v>0</v>
      </c>
      <c r="AC470" s="124">
        <f>SUM(AC471:AC475)</f>
        <v>0</v>
      </c>
      <c r="AD470" s="94"/>
    </row>
    <row r="471" spans="1:30" s="108" customFormat="1" ht="27" customHeight="1" outlineLevel="1" x14ac:dyDescent="0.2">
      <c r="A471" s="114" t="s">
        <v>1524</v>
      </c>
      <c r="B471" s="95" t="s">
        <v>264</v>
      </c>
      <c r="C471" s="38">
        <f>E471+J471+O471+Y471+T471</f>
        <v>0</v>
      </c>
      <c r="D471" s="125">
        <f t="shared" ref="D471:D536" si="139">F471+K471+P471+Z471+U471</f>
        <v>0</v>
      </c>
      <c r="E471" s="76">
        <v>0</v>
      </c>
      <c r="F471" s="126">
        <f t="shared" ref="F471:F536" si="140">G471+H471+I471</f>
        <v>0</v>
      </c>
      <c r="G471" s="125">
        <v>0</v>
      </c>
      <c r="H471" s="125">
        <v>0</v>
      </c>
      <c r="I471" s="125">
        <v>0</v>
      </c>
      <c r="J471" s="76">
        <v>0</v>
      </c>
      <c r="K471" s="126">
        <f t="shared" ref="K471:K482" si="141">L471+M471+N471</f>
        <v>0</v>
      </c>
      <c r="L471" s="125">
        <v>0</v>
      </c>
      <c r="M471" s="125">
        <v>0</v>
      </c>
      <c r="N471" s="125">
        <v>0</v>
      </c>
      <c r="O471" s="38">
        <v>0</v>
      </c>
      <c r="P471" s="125">
        <f t="shared" si="127"/>
        <v>0</v>
      </c>
      <c r="Q471" s="125">
        <v>0</v>
      </c>
      <c r="R471" s="125">
        <v>0</v>
      </c>
      <c r="S471" s="36">
        <v>0</v>
      </c>
      <c r="T471" s="38">
        <v>0</v>
      </c>
      <c r="U471" s="125">
        <v>0</v>
      </c>
      <c r="V471" s="125">
        <v>0</v>
      </c>
      <c r="W471" s="125">
        <v>0</v>
      </c>
      <c r="X471" s="125">
        <v>0</v>
      </c>
      <c r="Y471" s="38">
        <v>0</v>
      </c>
      <c r="Z471" s="125">
        <f t="shared" si="138"/>
        <v>0</v>
      </c>
      <c r="AA471" s="125">
        <v>0</v>
      </c>
      <c r="AB471" s="125">
        <v>0</v>
      </c>
      <c r="AC471" s="36">
        <v>0</v>
      </c>
      <c r="AD471" s="94"/>
    </row>
    <row r="472" spans="1:30" s="108" customFormat="1" ht="37.9" customHeight="1" outlineLevel="1" x14ac:dyDescent="0.2">
      <c r="A472" s="114" t="s">
        <v>1525</v>
      </c>
      <c r="B472" s="95" t="s">
        <v>265</v>
      </c>
      <c r="C472" s="38">
        <f>E472+J472+O472+Y472+T472</f>
        <v>0</v>
      </c>
      <c r="D472" s="125">
        <f t="shared" si="139"/>
        <v>0</v>
      </c>
      <c r="E472" s="76">
        <v>0</v>
      </c>
      <c r="F472" s="126">
        <f t="shared" si="140"/>
        <v>0</v>
      </c>
      <c r="G472" s="125">
        <v>0</v>
      </c>
      <c r="H472" s="125">
        <v>0</v>
      </c>
      <c r="I472" s="125">
        <v>0</v>
      </c>
      <c r="J472" s="76">
        <v>0</v>
      </c>
      <c r="K472" s="126">
        <f t="shared" si="141"/>
        <v>0</v>
      </c>
      <c r="L472" s="125">
        <v>0</v>
      </c>
      <c r="M472" s="125">
        <v>0</v>
      </c>
      <c r="N472" s="125">
        <v>0</v>
      </c>
      <c r="O472" s="38">
        <v>0</v>
      </c>
      <c r="P472" s="125">
        <f t="shared" si="127"/>
        <v>0</v>
      </c>
      <c r="Q472" s="125">
        <v>0</v>
      </c>
      <c r="R472" s="125">
        <v>0</v>
      </c>
      <c r="S472" s="36">
        <v>0</v>
      </c>
      <c r="T472" s="38">
        <v>0</v>
      </c>
      <c r="U472" s="125">
        <v>0</v>
      </c>
      <c r="V472" s="125">
        <v>0</v>
      </c>
      <c r="W472" s="125">
        <v>0</v>
      </c>
      <c r="X472" s="125">
        <v>0</v>
      </c>
      <c r="Y472" s="38">
        <v>0</v>
      </c>
      <c r="Z472" s="125">
        <f t="shared" si="138"/>
        <v>0</v>
      </c>
      <c r="AA472" s="125">
        <v>0</v>
      </c>
      <c r="AB472" s="125">
        <v>0</v>
      </c>
      <c r="AC472" s="36">
        <v>0</v>
      </c>
      <c r="AD472" s="94"/>
    </row>
    <row r="473" spans="1:30" s="108" customFormat="1" ht="46.9" customHeight="1" outlineLevel="1" x14ac:dyDescent="0.2">
      <c r="A473" s="114" t="s">
        <v>1526</v>
      </c>
      <c r="B473" s="95" t="s">
        <v>322</v>
      </c>
      <c r="C473" s="38">
        <f>E473+J473+O473+Y473+T473</f>
        <v>0</v>
      </c>
      <c r="D473" s="125">
        <f t="shared" si="139"/>
        <v>0</v>
      </c>
      <c r="E473" s="76">
        <v>0</v>
      </c>
      <c r="F473" s="126">
        <f t="shared" si="140"/>
        <v>0</v>
      </c>
      <c r="G473" s="125">
        <v>0</v>
      </c>
      <c r="H473" s="125">
        <v>0</v>
      </c>
      <c r="I473" s="125">
        <v>0</v>
      </c>
      <c r="J473" s="76">
        <v>0</v>
      </c>
      <c r="K473" s="126">
        <f t="shared" si="141"/>
        <v>0</v>
      </c>
      <c r="L473" s="125">
        <v>0</v>
      </c>
      <c r="M473" s="125">
        <v>0</v>
      </c>
      <c r="N473" s="125">
        <v>0</v>
      </c>
      <c r="O473" s="38">
        <v>0</v>
      </c>
      <c r="P473" s="125">
        <f t="shared" si="127"/>
        <v>0</v>
      </c>
      <c r="Q473" s="125">
        <v>0</v>
      </c>
      <c r="R473" s="125">
        <v>0</v>
      </c>
      <c r="S473" s="36">
        <v>0</v>
      </c>
      <c r="T473" s="38">
        <v>0</v>
      </c>
      <c r="U473" s="125">
        <v>0</v>
      </c>
      <c r="V473" s="125">
        <v>0</v>
      </c>
      <c r="W473" s="125">
        <v>0</v>
      </c>
      <c r="X473" s="125">
        <v>0</v>
      </c>
      <c r="Y473" s="38">
        <v>0</v>
      </c>
      <c r="Z473" s="125">
        <f t="shared" si="138"/>
        <v>0</v>
      </c>
      <c r="AA473" s="125">
        <v>0</v>
      </c>
      <c r="AB473" s="125">
        <v>0</v>
      </c>
      <c r="AC473" s="36">
        <v>0</v>
      </c>
      <c r="AD473" s="94"/>
    </row>
    <row r="474" spans="1:30" s="108" customFormat="1" ht="28.15" customHeight="1" outlineLevel="1" x14ac:dyDescent="0.2">
      <c r="A474" s="114" t="s">
        <v>1528</v>
      </c>
      <c r="B474" s="95" t="s">
        <v>323</v>
      </c>
      <c r="C474" s="38">
        <f>E474+J474+O474+Y474+T474</f>
        <v>0</v>
      </c>
      <c r="D474" s="125">
        <f t="shared" si="139"/>
        <v>0</v>
      </c>
      <c r="E474" s="76">
        <v>0</v>
      </c>
      <c r="F474" s="126">
        <f t="shared" si="140"/>
        <v>0</v>
      </c>
      <c r="G474" s="125">
        <v>0</v>
      </c>
      <c r="H474" s="125">
        <v>0</v>
      </c>
      <c r="I474" s="125">
        <v>0</v>
      </c>
      <c r="J474" s="76">
        <v>0</v>
      </c>
      <c r="K474" s="126">
        <f t="shared" si="141"/>
        <v>0</v>
      </c>
      <c r="L474" s="125">
        <v>0</v>
      </c>
      <c r="M474" s="125">
        <v>0</v>
      </c>
      <c r="N474" s="125">
        <v>0</v>
      </c>
      <c r="O474" s="38">
        <v>0</v>
      </c>
      <c r="P474" s="125">
        <f t="shared" si="127"/>
        <v>0</v>
      </c>
      <c r="Q474" s="125">
        <v>0</v>
      </c>
      <c r="R474" s="125">
        <v>0</v>
      </c>
      <c r="S474" s="36">
        <v>0</v>
      </c>
      <c r="T474" s="38">
        <v>0</v>
      </c>
      <c r="U474" s="125">
        <v>0</v>
      </c>
      <c r="V474" s="125">
        <v>0</v>
      </c>
      <c r="W474" s="125">
        <v>0</v>
      </c>
      <c r="X474" s="125">
        <v>0</v>
      </c>
      <c r="Y474" s="38">
        <v>0</v>
      </c>
      <c r="Z474" s="125">
        <f t="shared" si="138"/>
        <v>0</v>
      </c>
      <c r="AA474" s="125">
        <v>0</v>
      </c>
      <c r="AB474" s="125">
        <v>0</v>
      </c>
      <c r="AC474" s="36">
        <v>0</v>
      </c>
      <c r="AD474" s="94"/>
    </row>
    <row r="475" spans="1:30" s="108" customFormat="1" ht="28.15" customHeight="1" outlineLevel="1" x14ac:dyDescent="0.2">
      <c r="A475" s="114" t="s">
        <v>1529</v>
      </c>
      <c r="B475" s="95" t="s">
        <v>353</v>
      </c>
      <c r="C475" s="38">
        <f>E475+J475+O475+Y475+T475</f>
        <v>0</v>
      </c>
      <c r="D475" s="125">
        <f t="shared" si="139"/>
        <v>0</v>
      </c>
      <c r="E475" s="76">
        <v>0</v>
      </c>
      <c r="F475" s="126">
        <f t="shared" si="140"/>
        <v>0</v>
      </c>
      <c r="G475" s="125">
        <v>0</v>
      </c>
      <c r="H475" s="125">
        <v>0</v>
      </c>
      <c r="I475" s="125">
        <v>0</v>
      </c>
      <c r="J475" s="76">
        <v>0</v>
      </c>
      <c r="K475" s="126">
        <f t="shared" si="141"/>
        <v>0</v>
      </c>
      <c r="L475" s="125">
        <v>0</v>
      </c>
      <c r="M475" s="125">
        <v>0</v>
      </c>
      <c r="N475" s="125">
        <v>0</v>
      </c>
      <c r="O475" s="38">
        <v>0</v>
      </c>
      <c r="P475" s="125">
        <f t="shared" si="127"/>
        <v>0</v>
      </c>
      <c r="Q475" s="125">
        <v>0</v>
      </c>
      <c r="R475" s="125">
        <v>0</v>
      </c>
      <c r="S475" s="36">
        <v>0</v>
      </c>
      <c r="T475" s="38">
        <v>0</v>
      </c>
      <c r="U475" s="125">
        <v>0</v>
      </c>
      <c r="V475" s="125">
        <v>0</v>
      </c>
      <c r="W475" s="125">
        <v>0</v>
      </c>
      <c r="X475" s="125">
        <v>0</v>
      </c>
      <c r="Y475" s="38">
        <v>0</v>
      </c>
      <c r="Z475" s="125">
        <f t="shared" si="138"/>
        <v>0</v>
      </c>
      <c r="AA475" s="125">
        <v>0</v>
      </c>
      <c r="AB475" s="125">
        <v>0</v>
      </c>
      <c r="AC475" s="36">
        <v>0</v>
      </c>
      <c r="AD475" s="94"/>
    </row>
    <row r="476" spans="1:30" s="108" customFormat="1" ht="28.9" customHeight="1" outlineLevel="1" x14ac:dyDescent="0.2">
      <c r="A476" s="121"/>
      <c r="B476" s="137" t="s">
        <v>350</v>
      </c>
      <c r="C476" s="122">
        <f>SUM(C477:C482)</f>
        <v>4.88</v>
      </c>
      <c r="D476" s="124">
        <f>SUM(D477:D482)</f>
        <v>1133</v>
      </c>
      <c r="E476" s="122">
        <f t="shared" ref="E476:S476" si="142">SUM(E477:E482)</f>
        <v>0</v>
      </c>
      <c r="F476" s="124">
        <f t="shared" si="142"/>
        <v>0</v>
      </c>
      <c r="G476" s="124">
        <f t="shared" si="142"/>
        <v>0</v>
      </c>
      <c r="H476" s="124">
        <f t="shared" si="142"/>
        <v>0</v>
      </c>
      <c r="I476" s="124">
        <f t="shared" si="142"/>
        <v>0</v>
      </c>
      <c r="J476" s="122">
        <f t="shared" si="142"/>
        <v>0</v>
      </c>
      <c r="K476" s="126">
        <f t="shared" si="141"/>
        <v>0</v>
      </c>
      <c r="L476" s="124">
        <f t="shared" si="142"/>
        <v>0</v>
      </c>
      <c r="M476" s="124">
        <f t="shared" si="142"/>
        <v>0</v>
      </c>
      <c r="N476" s="124">
        <f t="shared" si="142"/>
        <v>0</v>
      </c>
      <c r="O476" s="122">
        <f t="shared" si="142"/>
        <v>0</v>
      </c>
      <c r="P476" s="123">
        <f t="shared" si="127"/>
        <v>0</v>
      </c>
      <c r="Q476" s="124">
        <f>SUM(Q477:Q482)</f>
        <v>0</v>
      </c>
      <c r="R476" s="124">
        <f>SUM(R477:R482)</f>
        <v>0</v>
      </c>
      <c r="S476" s="124">
        <f t="shared" si="142"/>
        <v>0</v>
      </c>
      <c r="T476" s="122">
        <f>SUM(T477:T482)</f>
        <v>4.88</v>
      </c>
      <c r="U476" s="123">
        <f t="shared" ref="U476:U483" si="143">V476+W476+X476</f>
        <v>1133</v>
      </c>
      <c r="V476" s="123">
        <f>SUM(V477:V482)</f>
        <v>0</v>
      </c>
      <c r="W476" s="123">
        <f>SUM(W477:W482)</f>
        <v>0</v>
      </c>
      <c r="X476" s="123">
        <f>SUM(X477:X482)</f>
        <v>1133</v>
      </c>
      <c r="Y476" s="122">
        <f>SUM(Y477:Y482)</f>
        <v>0</v>
      </c>
      <c r="Z476" s="123">
        <f t="shared" si="138"/>
        <v>0</v>
      </c>
      <c r="AA476" s="124">
        <f>SUM(AA477:AA482)</f>
        <v>0</v>
      </c>
      <c r="AB476" s="124">
        <f>SUM(AB477:AB482)</f>
        <v>0</v>
      </c>
      <c r="AC476" s="124">
        <f>SUM(AC477:AC482)</f>
        <v>0</v>
      </c>
      <c r="AD476" s="94"/>
    </row>
    <row r="477" spans="1:30" s="108" customFormat="1" ht="27" customHeight="1" outlineLevel="1" x14ac:dyDescent="0.2">
      <c r="A477" s="114" t="s">
        <v>1530</v>
      </c>
      <c r="B477" s="95" t="s">
        <v>349</v>
      </c>
      <c r="C477" s="38">
        <f t="shared" ref="C477:C482" si="144">E477+J477+O477+Y477+T477</f>
        <v>0</v>
      </c>
      <c r="D477" s="125">
        <f t="shared" si="139"/>
        <v>0</v>
      </c>
      <c r="E477" s="76">
        <v>0</v>
      </c>
      <c r="F477" s="126">
        <f t="shared" si="140"/>
        <v>0</v>
      </c>
      <c r="G477" s="125">
        <v>0</v>
      </c>
      <c r="H477" s="125">
        <v>0</v>
      </c>
      <c r="I477" s="125">
        <v>0</v>
      </c>
      <c r="J477" s="76">
        <v>0</v>
      </c>
      <c r="K477" s="126">
        <f t="shared" si="141"/>
        <v>0</v>
      </c>
      <c r="L477" s="125">
        <v>0</v>
      </c>
      <c r="M477" s="125">
        <v>0</v>
      </c>
      <c r="N477" s="125">
        <v>0</v>
      </c>
      <c r="O477" s="38">
        <v>0</v>
      </c>
      <c r="P477" s="125">
        <f t="shared" ref="P477:P482" si="145">Q477+R477+S477</f>
        <v>0</v>
      </c>
      <c r="Q477" s="125">
        <v>0</v>
      </c>
      <c r="R477" s="125">
        <v>0</v>
      </c>
      <c r="S477" s="36">
        <v>0</v>
      </c>
      <c r="T477" s="38">
        <v>0</v>
      </c>
      <c r="U477" s="125">
        <f t="shared" si="143"/>
        <v>0</v>
      </c>
      <c r="V477" s="125">
        <v>0</v>
      </c>
      <c r="W477" s="125">
        <v>0</v>
      </c>
      <c r="X477" s="125">
        <v>0</v>
      </c>
      <c r="Y477" s="38">
        <v>0</v>
      </c>
      <c r="Z477" s="125">
        <f t="shared" si="138"/>
        <v>0</v>
      </c>
      <c r="AA477" s="125">
        <v>0</v>
      </c>
      <c r="AB477" s="125">
        <v>0</v>
      </c>
      <c r="AC477" s="36">
        <v>0</v>
      </c>
      <c r="AD477" s="94"/>
    </row>
    <row r="478" spans="1:30" s="108" customFormat="1" ht="22.15" customHeight="1" outlineLevel="1" x14ac:dyDescent="0.2">
      <c r="A478" s="114" t="s">
        <v>1531</v>
      </c>
      <c r="B478" s="95" t="s">
        <v>266</v>
      </c>
      <c r="C478" s="38">
        <f t="shared" si="144"/>
        <v>0</v>
      </c>
      <c r="D478" s="125">
        <f t="shared" si="139"/>
        <v>0</v>
      </c>
      <c r="E478" s="76">
        <v>0</v>
      </c>
      <c r="F478" s="126">
        <f t="shared" si="140"/>
        <v>0</v>
      </c>
      <c r="G478" s="125">
        <v>0</v>
      </c>
      <c r="H478" s="125">
        <v>0</v>
      </c>
      <c r="I478" s="125">
        <v>0</v>
      </c>
      <c r="J478" s="76">
        <v>0</v>
      </c>
      <c r="K478" s="126">
        <f t="shared" si="141"/>
        <v>0</v>
      </c>
      <c r="L478" s="125">
        <v>0</v>
      </c>
      <c r="M478" s="125">
        <v>0</v>
      </c>
      <c r="N478" s="125">
        <v>0</v>
      </c>
      <c r="O478" s="38">
        <v>0</v>
      </c>
      <c r="P478" s="125">
        <f t="shared" si="145"/>
        <v>0</v>
      </c>
      <c r="Q478" s="125">
        <v>0</v>
      </c>
      <c r="R478" s="125">
        <v>0</v>
      </c>
      <c r="S478" s="36">
        <v>0</v>
      </c>
      <c r="T478" s="38">
        <v>0</v>
      </c>
      <c r="U478" s="125">
        <f t="shared" si="143"/>
        <v>0</v>
      </c>
      <c r="V478" s="125">
        <v>0</v>
      </c>
      <c r="W478" s="125">
        <v>0</v>
      </c>
      <c r="X478" s="125">
        <v>0</v>
      </c>
      <c r="Y478" s="38">
        <v>0</v>
      </c>
      <c r="Z478" s="125">
        <f t="shared" si="138"/>
        <v>0</v>
      </c>
      <c r="AA478" s="125">
        <v>0</v>
      </c>
      <c r="AB478" s="125">
        <v>0</v>
      </c>
      <c r="AC478" s="36">
        <v>0</v>
      </c>
      <c r="AD478" s="94"/>
    </row>
    <row r="479" spans="1:30" s="108" customFormat="1" ht="26.45" customHeight="1" outlineLevel="1" x14ac:dyDescent="0.2">
      <c r="A479" s="114" t="s">
        <v>1532</v>
      </c>
      <c r="B479" s="95" t="s">
        <v>267</v>
      </c>
      <c r="C479" s="38">
        <f t="shared" si="144"/>
        <v>0</v>
      </c>
      <c r="D479" s="125">
        <f t="shared" si="139"/>
        <v>0</v>
      </c>
      <c r="E479" s="76">
        <v>0</v>
      </c>
      <c r="F479" s="126">
        <f t="shared" si="140"/>
        <v>0</v>
      </c>
      <c r="G479" s="125">
        <v>0</v>
      </c>
      <c r="H479" s="125">
        <v>0</v>
      </c>
      <c r="I479" s="125">
        <v>0</v>
      </c>
      <c r="J479" s="76">
        <v>0</v>
      </c>
      <c r="K479" s="126">
        <f t="shared" si="141"/>
        <v>0</v>
      </c>
      <c r="L479" s="125">
        <v>0</v>
      </c>
      <c r="M479" s="125">
        <v>0</v>
      </c>
      <c r="N479" s="125">
        <v>0</v>
      </c>
      <c r="O479" s="38">
        <v>0</v>
      </c>
      <c r="P479" s="125">
        <f t="shared" si="145"/>
        <v>0</v>
      </c>
      <c r="Q479" s="125">
        <v>0</v>
      </c>
      <c r="R479" s="125">
        <v>0</v>
      </c>
      <c r="S479" s="36">
        <v>0</v>
      </c>
      <c r="T479" s="38">
        <v>0</v>
      </c>
      <c r="U479" s="125">
        <f t="shared" si="143"/>
        <v>0</v>
      </c>
      <c r="V479" s="125">
        <v>0</v>
      </c>
      <c r="W479" s="125">
        <v>0</v>
      </c>
      <c r="X479" s="125">
        <v>0</v>
      </c>
      <c r="Y479" s="38">
        <v>0</v>
      </c>
      <c r="Z479" s="125">
        <f t="shared" si="138"/>
        <v>0</v>
      </c>
      <c r="AA479" s="125">
        <v>0</v>
      </c>
      <c r="AB479" s="125">
        <v>0</v>
      </c>
      <c r="AC479" s="36">
        <v>0</v>
      </c>
      <c r="AD479" s="94"/>
    </row>
    <row r="480" spans="1:30" s="108" customFormat="1" ht="36" customHeight="1" outlineLevel="1" x14ac:dyDescent="0.2">
      <c r="A480" s="114" t="s">
        <v>1527</v>
      </c>
      <c r="B480" s="95" t="s">
        <v>1682</v>
      </c>
      <c r="C480" s="38">
        <f t="shared" si="144"/>
        <v>4.88</v>
      </c>
      <c r="D480" s="125">
        <f t="shared" si="139"/>
        <v>1133</v>
      </c>
      <c r="E480" s="76">
        <v>0</v>
      </c>
      <c r="F480" s="126">
        <f t="shared" si="140"/>
        <v>0</v>
      </c>
      <c r="G480" s="125">
        <v>0</v>
      </c>
      <c r="H480" s="125">
        <v>0</v>
      </c>
      <c r="I480" s="125">
        <v>0</v>
      </c>
      <c r="J480" s="76">
        <v>0</v>
      </c>
      <c r="K480" s="126">
        <f t="shared" si="141"/>
        <v>0</v>
      </c>
      <c r="L480" s="125">
        <v>0</v>
      </c>
      <c r="M480" s="125">
        <v>0</v>
      </c>
      <c r="N480" s="125">
        <v>0</v>
      </c>
      <c r="O480" s="38">
        <v>0</v>
      </c>
      <c r="P480" s="125">
        <f t="shared" si="145"/>
        <v>0</v>
      </c>
      <c r="Q480" s="125">
        <v>0</v>
      </c>
      <c r="R480" s="125">
        <v>0</v>
      </c>
      <c r="S480" s="36">
        <v>0</v>
      </c>
      <c r="T480" s="38">
        <v>4.88</v>
      </c>
      <c r="U480" s="125">
        <f t="shared" si="143"/>
        <v>1133</v>
      </c>
      <c r="V480" s="125">
        <v>0</v>
      </c>
      <c r="W480" s="125">
        <v>0</v>
      </c>
      <c r="X480" s="125">
        <v>1133</v>
      </c>
      <c r="Y480" s="38">
        <v>0</v>
      </c>
      <c r="Z480" s="125">
        <f t="shared" si="138"/>
        <v>0</v>
      </c>
      <c r="AA480" s="125">
        <v>0</v>
      </c>
      <c r="AB480" s="125">
        <v>0</v>
      </c>
      <c r="AC480" s="36">
        <v>0</v>
      </c>
      <c r="AD480" s="94"/>
    </row>
    <row r="481" spans="1:30" s="108" customFormat="1" ht="24" customHeight="1" outlineLevel="1" x14ac:dyDescent="0.2">
      <c r="A481" s="114" t="s">
        <v>1533</v>
      </c>
      <c r="B481" s="95" t="s">
        <v>268</v>
      </c>
      <c r="C481" s="38">
        <f t="shared" si="144"/>
        <v>0</v>
      </c>
      <c r="D481" s="125">
        <f t="shared" si="139"/>
        <v>0</v>
      </c>
      <c r="E481" s="76">
        <v>0</v>
      </c>
      <c r="F481" s="126">
        <f t="shared" si="140"/>
        <v>0</v>
      </c>
      <c r="G481" s="125">
        <v>0</v>
      </c>
      <c r="H481" s="125">
        <v>0</v>
      </c>
      <c r="I481" s="125">
        <v>0</v>
      </c>
      <c r="J481" s="76">
        <v>0</v>
      </c>
      <c r="K481" s="126">
        <f t="shared" si="141"/>
        <v>0</v>
      </c>
      <c r="L481" s="125">
        <v>0</v>
      </c>
      <c r="M481" s="125">
        <v>0</v>
      </c>
      <c r="N481" s="125">
        <v>0</v>
      </c>
      <c r="O481" s="38">
        <v>0</v>
      </c>
      <c r="P481" s="125">
        <f t="shared" si="145"/>
        <v>0</v>
      </c>
      <c r="Q481" s="125">
        <v>0</v>
      </c>
      <c r="R481" s="125">
        <v>0</v>
      </c>
      <c r="S481" s="36">
        <v>0</v>
      </c>
      <c r="T481" s="38">
        <v>0</v>
      </c>
      <c r="U481" s="125">
        <f t="shared" si="143"/>
        <v>0</v>
      </c>
      <c r="V481" s="125">
        <v>0</v>
      </c>
      <c r="W481" s="125">
        <v>0</v>
      </c>
      <c r="X481" s="125">
        <v>0</v>
      </c>
      <c r="Y481" s="38">
        <v>0</v>
      </c>
      <c r="Z481" s="125">
        <f t="shared" si="138"/>
        <v>0</v>
      </c>
      <c r="AA481" s="125">
        <v>0</v>
      </c>
      <c r="AB481" s="125">
        <v>0</v>
      </c>
      <c r="AC481" s="36">
        <v>0</v>
      </c>
      <c r="AD481" s="94"/>
    </row>
    <row r="482" spans="1:30" s="108" customFormat="1" ht="23.45" customHeight="1" outlineLevel="1" x14ac:dyDescent="0.2">
      <c r="A482" s="114" t="s">
        <v>1534</v>
      </c>
      <c r="B482" s="95" t="s">
        <v>269</v>
      </c>
      <c r="C482" s="38">
        <f t="shared" si="144"/>
        <v>0</v>
      </c>
      <c r="D482" s="125">
        <f t="shared" si="139"/>
        <v>0</v>
      </c>
      <c r="E482" s="76">
        <v>0</v>
      </c>
      <c r="F482" s="126">
        <f t="shared" si="140"/>
        <v>0</v>
      </c>
      <c r="G482" s="125">
        <v>0</v>
      </c>
      <c r="H482" s="125">
        <v>0</v>
      </c>
      <c r="I482" s="125">
        <v>0</v>
      </c>
      <c r="J482" s="76">
        <v>0</v>
      </c>
      <c r="K482" s="126">
        <f t="shared" si="141"/>
        <v>0</v>
      </c>
      <c r="L482" s="125">
        <v>0</v>
      </c>
      <c r="M482" s="125">
        <v>0</v>
      </c>
      <c r="N482" s="125">
        <v>0</v>
      </c>
      <c r="O482" s="38">
        <v>0</v>
      </c>
      <c r="P482" s="125">
        <f t="shared" si="145"/>
        <v>0</v>
      </c>
      <c r="Q482" s="125">
        <v>0</v>
      </c>
      <c r="R482" s="125">
        <v>0</v>
      </c>
      <c r="S482" s="36">
        <v>0</v>
      </c>
      <c r="T482" s="38">
        <v>0</v>
      </c>
      <c r="U482" s="125">
        <f t="shared" si="143"/>
        <v>0</v>
      </c>
      <c r="V482" s="125">
        <v>0</v>
      </c>
      <c r="W482" s="125">
        <v>0</v>
      </c>
      <c r="X482" s="125">
        <v>0</v>
      </c>
      <c r="Y482" s="38">
        <v>0</v>
      </c>
      <c r="Z482" s="125">
        <f t="shared" si="138"/>
        <v>0</v>
      </c>
      <c r="AA482" s="125">
        <v>0</v>
      </c>
      <c r="AB482" s="125">
        <v>0</v>
      </c>
      <c r="AC482" s="36">
        <v>0</v>
      </c>
      <c r="AD482" s="94"/>
    </row>
    <row r="483" spans="1:30" s="108" customFormat="1" ht="28.15" customHeight="1" outlineLevel="1" x14ac:dyDescent="0.2">
      <c r="A483" s="128"/>
      <c r="B483" s="129" t="s">
        <v>348</v>
      </c>
      <c r="C483" s="122">
        <f>SUM(C484:C533)</f>
        <v>5.6</v>
      </c>
      <c r="D483" s="124">
        <f>SUM(D484:D533)</f>
        <v>2104</v>
      </c>
      <c r="E483" s="122">
        <f t="shared" ref="E483:X483" si="146">SUM(E484:E533)</f>
        <v>0</v>
      </c>
      <c r="F483" s="124">
        <f t="shared" si="146"/>
        <v>0</v>
      </c>
      <c r="G483" s="124">
        <f t="shared" si="146"/>
        <v>0</v>
      </c>
      <c r="H483" s="124">
        <f t="shared" si="146"/>
        <v>0</v>
      </c>
      <c r="I483" s="124">
        <f t="shared" si="146"/>
        <v>0</v>
      </c>
      <c r="J483" s="122">
        <f t="shared" si="146"/>
        <v>2.8</v>
      </c>
      <c r="K483" s="124">
        <f>SUM(L483:N483)</f>
        <v>1380</v>
      </c>
      <c r="L483" s="124">
        <f t="shared" si="146"/>
        <v>0</v>
      </c>
      <c r="M483" s="124">
        <f t="shared" si="146"/>
        <v>0</v>
      </c>
      <c r="N483" s="124">
        <f>SUM(N484:N533)</f>
        <v>1380</v>
      </c>
      <c r="O483" s="122">
        <f t="shared" si="146"/>
        <v>2.8</v>
      </c>
      <c r="P483" s="123">
        <f t="shared" si="127"/>
        <v>724</v>
      </c>
      <c r="Q483" s="124">
        <f t="shared" si="146"/>
        <v>0</v>
      </c>
      <c r="R483" s="124">
        <f t="shared" si="146"/>
        <v>0</v>
      </c>
      <c r="S483" s="124">
        <f t="shared" si="146"/>
        <v>724</v>
      </c>
      <c r="T483" s="122">
        <f>SUM(T484:T533)</f>
        <v>0</v>
      </c>
      <c r="U483" s="123">
        <f t="shared" si="143"/>
        <v>0</v>
      </c>
      <c r="V483" s="123">
        <f t="shared" si="146"/>
        <v>0</v>
      </c>
      <c r="W483" s="123">
        <f t="shared" si="146"/>
        <v>0</v>
      </c>
      <c r="X483" s="123">
        <f t="shared" si="146"/>
        <v>0</v>
      </c>
      <c r="Y483" s="122">
        <f>SUM(Y484:Y533)</f>
        <v>0</v>
      </c>
      <c r="Z483" s="123">
        <f t="shared" si="138"/>
        <v>0</v>
      </c>
      <c r="AA483" s="124">
        <f>SUM(V484:V533)</f>
        <v>0</v>
      </c>
      <c r="AB483" s="124">
        <f>SUM(W484:W533)</f>
        <v>0</v>
      </c>
      <c r="AC483" s="124">
        <f>SUM(AC484:AC533)</f>
        <v>0</v>
      </c>
      <c r="AD483" s="94"/>
    </row>
    <row r="484" spans="1:30" s="108" customFormat="1" ht="33" customHeight="1" outlineLevel="1" x14ac:dyDescent="0.2">
      <c r="A484" s="114" t="s">
        <v>1535</v>
      </c>
      <c r="B484" s="95" t="s">
        <v>263</v>
      </c>
      <c r="C484" s="38">
        <f>E484+J484+O484+Y484+T484</f>
        <v>0</v>
      </c>
      <c r="D484" s="125">
        <f t="shared" si="139"/>
        <v>0</v>
      </c>
      <c r="E484" s="76">
        <v>0</v>
      </c>
      <c r="F484" s="126">
        <f t="shared" si="140"/>
        <v>0</v>
      </c>
      <c r="G484" s="125">
        <v>0</v>
      </c>
      <c r="H484" s="125">
        <v>0</v>
      </c>
      <c r="I484" s="125">
        <v>0</v>
      </c>
      <c r="J484" s="76">
        <v>0</v>
      </c>
      <c r="K484" s="126">
        <f t="shared" ref="K484:K533" si="147">L484+M484+N484</f>
        <v>0</v>
      </c>
      <c r="L484" s="125">
        <v>0</v>
      </c>
      <c r="M484" s="125">
        <v>0</v>
      </c>
      <c r="N484" s="125">
        <v>0</v>
      </c>
      <c r="O484" s="38">
        <v>0</v>
      </c>
      <c r="P484" s="125">
        <f t="shared" si="127"/>
        <v>0</v>
      </c>
      <c r="Q484" s="125">
        <v>0</v>
      </c>
      <c r="R484" s="125">
        <v>0</v>
      </c>
      <c r="S484" s="36">
        <v>0</v>
      </c>
      <c r="T484" s="38">
        <v>0</v>
      </c>
      <c r="U484" s="125">
        <v>0</v>
      </c>
      <c r="V484" s="125">
        <v>0</v>
      </c>
      <c r="W484" s="125">
        <v>0</v>
      </c>
      <c r="X484" s="125">
        <v>0</v>
      </c>
      <c r="Y484" s="38">
        <v>0</v>
      </c>
      <c r="Z484" s="125">
        <f t="shared" si="138"/>
        <v>0</v>
      </c>
      <c r="AA484" s="125">
        <v>0</v>
      </c>
      <c r="AB484" s="125">
        <v>0</v>
      </c>
      <c r="AC484" s="36">
        <v>0</v>
      </c>
      <c r="AD484" s="94"/>
    </row>
    <row r="485" spans="1:30" s="108" customFormat="1" ht="36" customHeight="1" outlineLevel="1" x14ac:dyDescent="0.2">
      <c r="A485" s="114" t="s">
        <v>1536</v>
      </c>
      <c r="B485" s="95" t="s">
        <v>271</v>
      </c>
      <c r="C485" s="38">
        <f t="shared" ref="C485:C526" si="148">E485+J485+O485+Y485+T485</f>
        <v>0</v>
      </c>
      <c r="D485" s="125">
        <f t="shared" si="139"/>
        <v>0</v>
      </c>
      <c r="E485" s="76">
        <v>0</v>
      </c>
      <c r="F485" s="126">
        <f t="shared" si="140"/>
        <v>0</v>
      </c>
      <c r="G485" s="125">
        <v>0</v>
      </c>
      <c r="H485" s="125">
        <v>0</v>
      </c>
      <c r="I485" s="125">
        <v>0</v>
      </c>
      <c r="J485" s="76">
        <v>0</v>
      </c>
      <c r="K485" s="126">
        <f t="shared" si="147"/>
        <v>0</v>
      </c>
      <c r="L485" s="125">
        <v>0</v>
      </c>
      <c r="M485" s="125">
        <v>0</v>
      </c>
      <c r="N485" s="125">
        <v>0</v>
      </c>
      <c r="O485" s="38">
        <v>0</v>
      </c>
      <c r="P485" s="125">
        <f t="shared" si="127"/>
        <v>0</v>
      </c>
      <c r="Q485" s="125">
        <v>0</v>
      </c>
      <c r="R485" s="125">
        <v>0</v>
      </c>
      <c r="S485" s="36">
        <v>0</v>
      </c>
      <c r="T485" s="38">
        <v>0</v>
      </c>
      <c r="U485" s="125">
        <v>0</v>
      </c>
      <c r="V485" s="125">
        <v>0</v>
      </c>
      <c r="W485" s="125">
        <v>0</v>
      </c>
      <c r="X485" s="125">
        <v>0</v>
      </c>
      <c r="Y485" s="38">
        <v>0</v>
      </c>
      <c r="Z485" s="125">
        <f t="shared" si="138"/>
        <v>0</v>
      </c>
      <c r="AA485" s="125">
        <v>0</v>
      </c>
      <c r="AB485" s="125">
        <v>0</v>
      </c>
      <c r="AC485" s="36">
        <v>0</v>
      </c>
      <c r="AD485" s="94"/>
    </row>
    <row r="486" spans="1:30" s="108" customFormat="1" ht="36" customHeight="1" outlineLevel="1" x14ac:dyDescent="0.2">
      <c r="A486" s="114" t="s">
        <v>1537</v>
      </c>
      <c r="B486" s="95" t="s">
        <v>272</v>
      </c>
      <c r="C486" s="38">
        <f t="shared" si="148"/>
        <v>0</v>
      </c>
      <c r="D486" s="125">
        <f t="shared" si="139"/>
        <v>0</v>
      </c>
      <c r="E486" s="76">
        <v>0</v>
      </c>
      <c r="F486" s="126">
        <f t="shared" si="140"/>
        <v>0</v>
      </c>
      <c r="G486" s="125">
        <v>0</v>
      </c>
      <c r="H486" s="125">
        <v>0</v>
      </c>
      <c r="I486" s="125">
        <v>0</v>
      </c>
      <c r="J486" s="76">
        <v>0</v>
      </c>
      <c r="K486" s="126">
        <f t="shared" si="147"/>
        <v>0</v>
      </c>
      <c r="L486" s="125">
        <v>0</v>
      </c>
      <c r="M486" s="125">
        <v>0</v>
      </c>
      <c r="N486" s="125">
        <v>0</v>
      </c>
      <c r="O486" s="38">
        <v>0</v>
      </c>
      <c r="P486" s="125">
        <f t="shared" si="127"/>
        <v>0</v>
      </c>
      <c r="Q486" s="125">
        <v>0</v>
      </c>
      <c r="R486" s="125">
        <v>0</v>
      </c>
      <c r="S486" s="36">
        <v>0</v>
      </c>
      <c r="T486" s="38">
        <v>0</v>
      </c>
      <c r="U486" s="125">
        <v>0</v>
      </c>
      <c r="V486" s="125">
        <v>0</v>
      </c>
      <c r="W486" s="125">
        <v>0</v>
      </c>
      <c r="X486" s="125">
        <v>0</v>
      </c>
      <c r="Y486" s="38">
        <v>0</v>
      </c>
      <c r="Z486" s="125">
        <f t="shared" si="138"/>
        <v>0</v>
      </c>
      <c r="AA486" s="125">
        <v>0</v>
      </c>
      <c r="AB486" s="125">
        <v>0</v>
      </c>
      <c r="AC486" s="36">
        <v>0</v>
      </c>
      <c r="AD486" s="94"/>
    </row>
    <row r="487" spans="1:30" s="108" customFormat="1" ht="35.450000000000003" customHeight="1" outlineLevel="1" x14ac:dyDescent="0.2">
      <c r="A487" s="114" t="s">
        <v>1538</v>
      </c>
      <c r="B487" s="127" t="s">
        <v>273</v>
      </c>
      <c r="C487" s="38">
        <f t="shared" si="148"/>
        <v>0</v>
      </c>
      <c r="D487" s="125">
        <f t="shared" si="139"/>
        <v>0</v>
      </c>
      <c r="E487" s="76">
        <v>0</v>
      </c>
      <c r="F487" s="126">
        <f t="shared" si="140"/>
        <v>0</v>
      </c>
      <c r="G487" s="125">
        <v>0</v>
      </c>
      <c r="H487" s="125">
        <v>0</v>
      </c>
      <c r="I487" s="125">
        <v>0</v>
      </c>
      <c r="J487" s="76">
        <v>0</v>
      </c>
      <c r="K487" s="126">
        <f t="shared" si="147"/>
        <v>0</v>
      </c>
      <c r="L487" s="125">
        <v>0</v>
      </c>
      <c r="M487" s="125">
        <v>0</v>
      </c>
      <c r="N487" s="125">
        <v>0</v>
      </c>
      <c r="O487" s="38">
        <v>0</v>
      </c>
      <c r="P487" s="125">
        <f t="shared" si="127"/>
        <v>0</v>
      </c>
      <c r="Q487" s="125">
        <v>0</v>
      </c>
      <c r="R487" s="125">
        <v>0</v>
      </c>
      <c r="S487" s="36">
        <v>0</v>
      </c>
      <c r="T487" s="38">
        <v>0</v>
      </c>
      <c r="U487" s="125">
        <v>0</v>
      </c>
      <c r="V487" s="125">
        <v>0</v>
      </c>
      <c r="W487" s="125">
        <v>0</v>
      </c>
      <c r="X487" s="125">
        <v>0</v>
      </c>
      <c r="Y487" s="38">
        <v>0</v>
      </c>
      <c r="Z487" s="125">
        <f t="shared" si="138"/>
        <v>0</v>
      </c>
      <c r="AA487" s="125">
        <v>0</v>
      </c>
      <c r="AB487" s="125">
        <v>0</v>
      </c>
      <c r="AC487" s="36">
        <v>0</v>
      </c>
      <c r="AD487" s="94"/>
    </row>
    <row r="488" spans="1:30" s="108" customFormat="1" ht="28.15" customHeight="1" outlineLevel="1" x14ac:dyDescent="0.2">
      <c r="A488" s="114" t="s">
        <v>1539</v>
      </c>
      <c r="B488" s="127" t="s">
        <v>347</v>
      </c>
      <c r="C488" s="38">
        <f t="shared" si="148"/>
        <v>0</v>
      </c>
      <c r="D488" s="125">
        <f t="shared" si="139"/>
        <v>0</v>
      </c>
      <c r="E488" s="76">
        <v>0</v>
      </c>
      <c r="F488" s="126">
        <f t="shared" si="140"/>
        <v>0</v>
      </c>
      <c r="G488" s="125">
        <v>0</v>
      </c>
      <c r="H488" s="125">
        <v>0</v>
      </c>
      <c r="I488" s="125">
        <v>0</v>
      </c>
      <c r="J488" s="76">
        <v>0</v>
      </c>
      <c r="K488" s="126">
        <f t="shared" si="147"/>
        <v>0</v>
      </c>
      <c r="L488" s="125">
        <v>0</v>
      </c>
      <c r="M488" s="125">
        <v>0</v>
      </c>
      <c r="N488" s="125">
        <v>0</v>
      </c>
      <c r="O488" s="38">
        <v>0</v>
      </c>
      <c r="P488" s="125">
        <f t="shared" si="127"/>
        <v>0</v>
      </c>
      <c r="Q488" s="125">
        <v>0</v>
      </c>
      <c r="R488" s="125">
        <v>0</v>
      </c>
      <c r="S488" s="36">
        <v>0</v>
      </c>
      <c r="T488" s="38">
        <v>0</v>
      </c>
      <c r="U488" s="125">
        <v>0</v>
      </c>
      <c r="V488" s="125">
        <v>0</v>
      </c>
      <c r="W488" s="125">
        <v>0</v>
      </c>
      <c r="X488" s="125">
        <v>0</v>
      </c>
      <c r="Y488" s="38">
        <v>0</v>
      </c>
      <c r="Z488" s="125">
        <f t="shared" si="138"/>
        <v>0</v>
      </c>
      <c r="AA488" s="125">
        <v>0</v>
      </c>
      <c r="AB488" s="125">
        <v>0</v>
      </c>
      <c r="AC488" s="36">
        <v>0</v>
      </c>
      <c r="AD488" s="94"/>
    </row>
    <row r="489" spans="1:30" s="108" customFormat="1" ht="26.45" customHeight="1" outlineLevel="1" x14ac:dyDescent="0.2">
      <c r="A489" s="114" t="s">
        <v>1540</v>
      </c>
      <c r="B489" s="127" t="s">
        <v>275</v>
      </c>
      <c r="C489" s="38">
        <f t="shared" si="148"/>
        <v>0</v>
      </c>
      <c r="D489" s="125">
        <f t="shared" si="139"/>
        <v>0</v>
      </c>
      <c r="E489" s="76">
        <v>0</v>
      </c>
      <c r="F489" s="126">
        <f t="shared" si="140"/>
        <v>0</v>
      </c>
      <c r="G489" s="125">
        <v>0</v>
      </c>
      <c r="H489" s="125">
        <v>0</v>
      </c>
      <c r="I489" s="125">
        <v>0</v>
      </c>
      <c r="J489" s="76">
        <v>0</v>
      </c>
      <c r="K489" s="126">
        <f t="shared" si="147"/>
        <v>0</v>
      </c>
      <c r="L489" s="125">
        <v>0</v>
      </c>
      <c r="M489" s="125">
        <v>0</v>
      </c>
      <c r="N489" s="125">
        <v>0</v>
      </c>
      <c r="O489" s="38">
        <v>0</v>
      </c>
      <c r="P489" s="125">
        <f t="shared" si="127"/>
        <v>0</v>
      </c>
      <c r="Q489" s="125">
        <v>0</v>
      </c>
      <c r="R489" s="125">
        <v>0</v>
      </c>
      <c r="S489" s="36">
        <v>0</v>
      </c>
      <c r="T489" s="38">
        <v>0</v>
      </c>
      <c r="U489" s="125">
        <v>0</v>
      </c>
      <c r="V489" s="125">
        <v>0</v>
      </c>
      <c r="W489" s="125">
        <v>0</v>
      </c>
      <c r="X489" s="125">
        <v>0</v>
      </c>
      <c r="Y489" s="38">
        <v>0</v>
      </c>
      <c r="Z489" s="125">
        <f t="shared" si="138"/>
        <v>0</v>
      </c>
      <c r="AA489" s="125">
        <v>0</v>
      </c>
      <c r="AB489" s="125">
        <v>0</v>
      </c>
      <c r="AC489" s="36">
        <v>0</v>
      </c>
      <c r="AD489" s="94"/>
    </row>
    <row r="490" spans="1:30" s="108" customFormat="1" ht="25.9" customHeight="1" outlineLevel="1" x14ac:dyDescent="0.2">
      <c r="A490" s="114" t="s">
        <v>1541</v>
      </c>
      <c r="B490" s="127" t="s">
        <v>276</v>
      </c>
      <c r="C490" s="38">
        <f t="shared" si="148"/>
        <v>0</v>
      </c>
      <c r="D490" s="125">
        <f t="shared" si="139"/>
        <v>0</v>
      </c>
      <c r="E490" s="76">
        <v>0</v>
      </c>
      <c r="F490" s="126">
        <f t="shared" si="140"/>
        <v>0</v>
      </c>
      <c r="G490" s="125">
        <v>0</v>
      </c>
      <c r="H490" s="125">
        <v>0</v>
      </c>
      <c r="I490" s="125">
        <v>0</v>
      </c>
      <c r="J490" s="76">
        <v>0</v>
      </c>
      <c r="K490" s="126">
        <f t="shared" si="147"/>
        <v>0</v>
      </c>
      <c r="L490" s="125">
        <v>0</v>
      </c>
      <c r="M490" s="125">
        <v>0</v>
      </c>
      <c r="N490" s="125">
        <v>0</v>
      </c>
      <c r="O490" s="38">
        <v>0</v>
      </c>
      <c r="P490" s="125">
        <f t="shared" si="127"/>
        <v>0</v>
      </c>
      <c r="Q490" s="125">
        <v>0</v>
      </c>
      <c r="R490" s="125">
        <v>0</v>
      </c>
      <c r="S490" s="36">
        <v>0</v>
      </c>
      <c r="T490" s="38">
        <v>0</v>
      </c>
      <c r="U490" s="125">
        <f>V490+W490+X490</f>
        <v>0</v>
      </c>
      <c r="V490" s="125">
        <v>0</v>
      </c>
      <c r="W490" s="125">
        <v>0</v>
      </c>
      <c r="X490" s="125">
        <v>0</v>
      </c>
      <c r="Y490" s="38">
        <v>0</v>
      </c>
      <c r="Z490" s="125">
        <f t="shared" si="138"/>
        <v>0</v>
      </c>
      <c r="AA490" s="125">
        <v>0</v>
      </c>
      <c r="AB490" s="125">
        <v>0</v>
      </c>
      <c r="AC490" s="36">
        <v>0</v>
      </c>
      <c r="AD490" s="94"/>
    </row>
    <row r="491" spans="1:30" s="108" customFormat="1" ht="31.15" customHeight="1" outlineLevel="1" x14ac:dyDescent="0.2">
      <c r="A491" s="114" t="s">
        <v>1542</v>
      </c>
      <c r="B491" s="127" t="s">
        <v>277</v>
      </c>
      <c r="C491" s="38">
        <f t="shared" si="148"/>
        <v>0</v>
      </c>
      <c r="D491" s="125">
        <f t="shared" si="139"/>
        <v>0</v>
      </c>
      <c r="E491" s="76">
        <v>0</v>
      </c>
      <c r="F491" s="126">
        <f t="shared" si="140"/>
        <v>0</v>
      </c>
      <c r="G491" s="125">
        <v>0</v>
      </c>
      <c r="H491" s="125">
        <v>0</v>
      </c>
      <c r="I491" s="125">
        <v>0</v>
      </c>
      <c r="J491" s="76">
        <v>0</v>
      </c>
      <c r="K491" s="126">
        <f t="shared" si="147"/>
        <v>0</v>
      </c>
      <c r="L491" s="125">
        <v>0</v>
      </c>
      <c r="M491" s="125">
        <v>0</v>
      </c>
      <c r="N491" s="125">
        <v>0</v>
      </c>
      <c r="O491" s="38">
        <v>0</v>
      </c>
      <c r="P491" s="125">
        <f t="shared" si="127"/>
        <v>0</v>
      </c>
      <c r="Q491" s="125">
        <v>0</v>
      </c>
      <c r="R491" s="125">
        <v>0</v>
      </c>
      <c r="S491" s="36">
        <v>0</v>
      </c>
      <c r="T491" s="38">
        <v>0</v>
      </c>
      <c r="U491" s="125">
        <v>0</v>
      </c>
      <c r="V491" s="125">
        <v>0</v>
      </c>
      <c r="W491" s="125">
        <v>0</v>
      </c>
      <c r="X491" s="125">
        <v>0</v>
      </c>
      <c r="Y491" s="38">
        <v>0</v>
      </c>
      <c r="Z491" s="125">
        <f t="shared" si="138"/>
        <v>0</v>
      </c>
      <c r="AA491" s="125">
        <v>0</v>
      </c>
      <c r="AB491" s="125">
        <v>0</v>
      </c>
      <c r="AC491" s="36">
        <v>0</v>
      </c>
      <c r="AD491" s="94"/>
    </row>
    <row r="492" spans="1:30" s="108" customFormat="1" ht="37.9" customHeight="1" outlineLevel="1" x14ac:dyDescent="0.2">
      <c r="A492" s="114" t="s">
        <v>1543</v>
      </c>
      <c r="B492" s="127" t="s">
        <v>357</v>
      </c>
      <c r="C492" s="38">
        <f t="shared" si="148"/>
        <v>0</v>
      </c>
      <c r="D492" s="125">
        <f t="shared" si="139"/>
        <v>0</v>
      </c>
      <c r="E492" s="76">
        <v>0</v>
      </c>
      <c r="F492" s="126">
        <f t="shared" si="140"/>
        <v>0</v>
      </c>
      <c r="G492" s="125">
        <v>0</v>
      </c>
      <c r="H492" s="125">
        <v>0</v>
      </c>
      <c r="I492" s="125">
        <v>0</v>
      </c>
      <c r="J492" s="76">
        <v>0</v>
      </c>
      <c r="K492" s="126">
        <f t="shared" si="147"/>
        <v>0</v>
      </c>
      <c r="L492" s="125">
        <v>0</v>
      </c>
      <c r="M492" s="125">
        <v>0</v>
      </c>
      <c r="N492" s="125">
        <v>0</v>
      </c>
      <c r="O492" s="38">
        <v>0</v>
      </c>
      <c r="P492" s="125">
        <f t="shared" si="127"/>
        <v>0</v>
      </c>
      <c r="Q492" s="125">
        <v>0</v>
      </c>
      <c r="R492" s="125">
        <v>0</v>
      </c>
      <c r="S492" s="36">
        <v>0</v>
      </c>
      <c r="T492" s="38">
        <v>0</v>
      </c>
      <c r="U492" s="125">
        <v>0</v>
      </c>
      <c r="V492" s="125">
        <v>0</v>
      </c>
      <c r="W492" s="125">
        <v>0</v>
      </c>
      <c r="X492" s="125">
        <v>0</v>
      </c>
      <c r="Y492" s="38">
        <v>0</v>
      </c>
      <c r="Z492" s="125">
        <f t="shared" si="138"/>
        <v>0</v>
      </c>
      <c r="AA492" s="125">
        <v>0</v>
      </c>
      <c r="AB492" s="125">
        <v>0</v>
      </c>
      <c r="AC492" s="36">
        <v>0</v>
      </c>
      <c r="AD492" s="94"/>
    </row>
    <row r="493" spans="1:30" s="108" customFormat="1" ht="25.15" customHeight="1" outlineLevel="1" x14ac:dyDescent="0.2">
      <c r="A493" s="114" t="s">
        <v>1544</v>
      </c>
      <c r="B493" s="127" t="s">
        <v>278</v>
      </c>
      <c r="C493" s="38">
        <f t="shared" si="148"/>
        <v>0</v>
      </c>
      <c r="D493" s="125">
        <f t="shared" si="139"/>
        <v>0</v>
      </c>
      <c r="E493" s="76">
        <v>0</v>
      </c>
      <c r="F493" s="126">
        <f t="shared" si="140"/>
        <v>0</v>
      </c>
      <c r="G493" s="125">
        <v>0</v>
      </c>
      <c r="H493" s="125">
        <v>0</v>
      </c>
      <c r="I493" s="125">
        <v>0</v>
      </c>
      <c r="J493" s="76">
        <v>0</v>
      </c>
      <c r="K493" s="126">
        <f t="shared" si="147"/>
        <v>0</v>
      </c>
      <c r="L493" s="125">
        <v>0</v>
      </c>
      <c r="M493" s="125">
        <v>0</v>
      </c>
      <c r="N493" s="125">
        <v>0</v>
      </c>
      <c r="O493" s="38">
        <v>0</v>
      </c>
      <c r="P493" s="125">
        <f t="shared" si="127"/>
        <v>0</v>
      </c>
      <c r="Q493" s="125">
        <v>0</v>
      </c>
      <c r="R493" s="125">
        <v>0</v>
      </c>
      <c r="S493" s="36">
        <v>0</v>
      </c>
      <c r="T493" s="38">
        <v>0</v>
      </c>
      <c r="U493" s="125">
        <v>0</v>
      </c>
      <c r="V493" s="125">
        <v>0</v>
      </c>
      <c r="W493" s="125">
        <v>0</v>
      </c>
      <c r="X493" s="125">
        <v>0</v>
      </c>
      <c r="Y493" s="38">
        <v>0</v>
      </c>
      <c r="Z493" s="125">
        <f t="shared" si="138"/>
        <v>0</v>
      </c>
      <c r="AA493" s="125">
        <v>0</v>
      </c>
      <c r="AB493" s="125">
        <v>0</v>
      </c>
      <c r="AC493" s="36">
        <v>0</v>
      </c>
      <c r="AD493" s="94"/>
    </row>
    <row r="494" spans="1:30" s="108" customFormat="1" ht="28.15" customHeight="1" outlineLevel="1" x14ac:dyDescent="0.2">
      <c r="A494" s="114" t="s">
        <v>1545</v>
      </c>
      <c r="B494" s="127" t="s">
        <v>279</v>
      </c>
      <c r="C494" s="38">
        <f t="shared" si="148"/>
        <v>0</v>
      </c>
      <c r="D494" s="125">
        <f t="shared" si="139"/>
        <v>0</v>
      </c>
      <c r="E494" s="76">
        <v>0</v>
      </c>
      <c r="F494" s="126">
        <f t="shared" si="140"/>
        <v>0</v>
      </c>
      <c r="G494" s="125">
        <v>0</v>
      </c>
      <c r="H494" s="125">
        <v>0</v>
      </c>
      <c r="I494" s="125">
        <v>0</v>
      </c>
      <c r="J494" s="76">
        <v>0</v>
      </c>
      <c r="K494" s="126">
        <f t="shared" si="147"/>
        <v>0</v>
      </c>
      <c r="L494" s="125">
        <v>0</v>
      </c>
      <c r="M494" s="125">
        <v>0</v>
      </c>
      <c r="N494" s="125">
        <v>0</v>
      </c>
      <c r="O494" s="38">
        <v>0</v>
      </c>
      <c r="P494" s="125">
        <f t="shared" si="127"/>
        <v>0</v>
      </c>
      <c r="Q494" s="125">
        <v>0</v>
      </c>
      <c r="R494" s="125">
        <v>0</v>
      </c>
      <c r="S494" s="36">
        <v>0</v>
      </c>
      <c r="T494" s="38">
        <v>0</v>
      </c>
      <c r="U494" s="125">
        <v>0</v>
      </c>
      <c r="V494" s="125">
        <v>0</v>
      </c>
      <c r="W494" s="125">
        <v>0</v>
      </c>
      <c r="X494" s="125">
        <v>0</v>
      </c>
      <c r="Y494" s="38">
        <v>0</v>
      </c>
      <c r="Z494" s="125">
        <f t="shared" si="138"/>
        <v>0</v>
      </c>
      <c r="AA494" s="125">
        <v>0</v>
      </c>
      <c r="AB494" s="125">
        <v>0</v>
      </c>
      <c r="AC494" s="36">
        <v>0</v>
      </c>
      <c r="AD494" s="94"/>
    </row>
    <row r="495" spans="1:30" s="108" customFormat="1" ht="24" customHeight="1" outlineLevel="1" x14ac:dyDescent="0.2">
      <c r="A495" s="114" t="s">
        <v>1546</v>
      </c>
      <c r="B495" s="127" t="s">
        <v>280</v>
      </c>
      <c r="C495" s="38">
        <f t="shared" si="148"/>
        <v>0</v>
      </c>
      <c r="D495" s="125">
        <f t="shared" si="139"/>
        <v>0</v>
      </c>
      <c r="E495" s="76">
        <v>0</v>
      </c>
      <c r="F495" s="126">
        <f t="shared" si="140"/>
        <v>0</v>
      </c>
      <c r="G495" s="125">
        <v>0</v>
      </c>
      <c r="H495" s="125">
        <v>0</v>
      </c>
      <c r="I495" s="125">
        <v>0</v>
      </c>
      <c r="J495" s="76">
        <v>0</v>
      </c>
      <c r="K495" s="126">
        <f t="shared" si="147"/>
        <v>0</v>
      </c>
      <c r="L495" s="125">
        <v>0</v>
      </c>
      <c r="M495" s="125">
        <v>0</v>
      </c>
      <c r="N495" s="125">
        <v>0</v>
      </c>
      <c r="O495" s="38">
        <v>0</v>
      </c>
      <c r="P495" s="125">
        <f t="shared" si="127"/>
        <v>0</v>
      </c>
      <c r="Q495" s="125">
        <v>0</v>
      </c>
      <c r="R495" s="125">
        <v>0</v>
      </c>
      <c r="S495" s="36">
        <v>0</v>
      </c>
      <c r="T495" s="38">
        <v>0</v>
      </c>
      <c r="U495" s="125">
        <v>0</v>
      </c>
      <c r="V495" s="125">
        <v>0</v>
      </c>
      <c r="W495" s="125">
        <v>0</v>
      </c>
      <c r="X495" s="125">
        <v>0</v>
      </c>
      <c r="Y495" s="38">
        <v>0</v>
      </c>
      <c r="Z495" s="125">
        <f t="shared" si="138"/>
        <v>0</v>
      </c>
      <c r="AA495" s="125">
        <v>0</v>
      </c>
      <c r="AB495" s="125">
        <v>0</v>
      </c>
      <c r="AC495" s="36">
        <v>0</v>
      </c>
      <c r="AD495" s="94"/>
    </row>
    <row r="496" spans="1:30" s="108" customFormat="1" ht="25.15" customHeight="1" outlineLevel="1" x14ac:dyDescent="0.2">
      <c r="A496" s="114" t="s">
        <v>1547</v>
      </c>
      <c r="B496" s="127" t="s">
        <v>281</v>
      </c>
      <c r="C496" s="38">
        <f t="shared" si="148"/>
        <v>0</v>
      </c>
      <c r="D496" s="125">
        <f t="shared" si="139"/>
        <v>0</v>
      </c>
      <c r="E496" s="76">
        <v>0</v>
      </c>
      <c r="F496" s="126">
        <f t="shared" si="140"/>
        <v>0</v>
      </c>
      <c r="G496" s="125">
        <v>0</v>
      </c>
      <c r="H496" s="125">
        <v>0</v>
      </c>
      <c r="I496" s="125">
        <v>0</v>
      </c>
      <c r="J496" s="76">
        <v>0</v>
      </c>
      <c r="K496" s="126">
        <f t="shared" si="147"/>
        <v>0</v>
      </c>
      <c r="L496" s="125">
        <v>0</v>
      </c>
      <c r="M496" s="125">
        <v>0</v>
      </c>
      <c r="N496" s="125">
        <v>0</v>
      </c>
      <c r="O496" s="38">
        <v>0</v>
      </c>
      <c r="P496" s="125">
        <f t="shared" si="127"/>
        <v>0</v>
      </c>
      <c r="Q496" s="125">
        <v>0</v>
      </c>
      <c r="R496" s="125">
        <v>0</v>
      </c>
      <c r="S496" s="36">
        <v>0</v>
      </c>
      <c r="T496" s="38">
        <v>0</v>
      </c>
      <c r="U496" s="125">
        <v>0</v>
      </c>
      <c r="V496" s="125">
        <v>0</v>
      </c>
      <c r="W496" s="125">
        <v>0</v>
      </c>
      <c r="X496" s="125">
        <v>0</v>
      </c>
      <c r="Y496" s="38">
        <v>0</v>
      </c>
      <c r="Z496" s="125">
        <f t="shared" si="138"/>
        <v>0</v>
      </c>
      <c r="AA496" s="125">
        <v>0</v>
      </c>
      <c r="AB496" s="125">
        <v>0</v>
      </c>
      <c r="AC496" s="36">
        <v>0</v>
      </c>
      <c r="AD496" s="94"/>
    </row>
    <row r="497" spans="1:30" s="108" customFormat="1" ht="21" customHeight="1" outlineLevel="1" x14ac:dyDescent="0.2">
      <c r="A497" s="114" t="s">
        <v>1548</v>
      </c>
      <c r="B497" s="127" t="s">
        <v>282</v>
      </c>
      <c r="C497" s="38">
        <f t="shared" si="148"/>
        <v>0</v>
      </c>
      <c r="D497" s="125">
        <f t="shared" si="139"/>
        <v>0</v>
      </c>
      <c r="E497" s="76">
        <v>0</v>
      </c>
      <c r="F497" s="126">
        <f t="shared" si="140"/>
        <v>0</v>
      </c>
      <c r="G497" s="125">
        <v>0</v>
      </c>
      <c r="H497" s="125">
        <v>0</v>
      </c>
      <c r="I497" s="125">
        <v>0</v>
      </c>
      <c r="J497" s="76">
        <v>0</v>
      </c>
      <c r="K497" s="126">
        <f t="shared" si="147"/>
        <v>0</v>
      </c>
      <c r="L497" s="125">
        <v>0</v>
      </c>
      <c r="M497" s="125">
        <v>0</v>
      </c>
      <c r="N497" s="125">
        <v>0</v>
      </c>
      <c r="O497" s="38">
        <v>0</v>
      </c>
      <c r="P497" s="125">
        <f t="shared" si="127"/>
        <v>0</v>
      </c>
      <c r="Q497" s="125">
        <v>0</v>
      </c>
      <c r="R497" s="125">
        <v>0</v>
      </c>
      <c r="S497" s="36">
        <v>0</v>
      </c>
      <c r="T497" s="38">
        <v>0</v>
      </c>
      <c r="U497" s="125">
        <v>0</v>
      </c>
      <c r="V497" s="125">
        <v>0</v>
      </c>
      <c r="W497" s="125">
        <v>0</v>
      </c>
      <c r="X497" s="125">
        <v>0</v>
      </c>
      <c r="Y497" s="38">
        <v>0</v>
      </c>
      <c r="Z497" s="125">
        <f t="shared" si="138"/>
        <v>0</v>
      </c>
      <c r="AA497" s="125">
        <v>0</v>
      </c>
      <c r="AB497" s="125">
        <v>0</v>
      </c>
      <c r="AC497" s="36">
        <v>0</v>
      </c>
      <c r="AD497" s="94"/>
    </row>
    <row r="498" spans="1:30" s="108" customFormat="1" ht="25.15" customHeight="1" outlineLevel="1" x14ac:dyDescent="0.2">
      <c r="A498" s="114" t="s">
        <v>1549</v>
      </c>
      <c r="B498" s="127" t="s">
        <v>285</v>
      </c>
      <c r="C498" s="38">
        <f t="shared" si="148"/>
        <v>0</v>
      </c>
      <c r="D498" s="125">
        <f t="shared" si="139"/>
        <v>0</v>
      </c>
      <c r="E498" s="76">
        <v>0</v>
      </c>
      <c r="F498" s="126">
        <f t="shared" si="140"/>
        <v>0</v>
      </c>
      <c r="G498" s="125">
        <v>0</v>
      </c>
      <c r="H498" s="125">
        <v>0</v>
      </c>
      <c r="I498" s="125">
        <v>0</v>
      </c>
      <c r="J498" s="76">
        <v>0</v>
      </c>
      <c r="K498" s="126">
        <f t="shared" si="147"/>
        <v>0</v>
      </c>
      <c r="L498" s="125">
        <v>0</v>
      </c>
      <c r="M498" s="125">
        <v>0</v>
      </c>
      <c r="N498" s="125">
        <v>0</v>
      </c>
      <c r="O498" s="38">
        <v>0</v>
      </c>
      <c r="P498" s="125">
        <f t="shared" si="127"/>
        <v>0</v>
      </c>
      <c r="Q498" s="125">
        <v>0</v>
      </c>
      <c r="R498" s="125">
        <v>0</v>
      </c>
      <c r="S498" s="36">
        <v>0</v>
      </c>
      <c r="T498" s="38">
        <v>0</v>
      </c>
      <c r="U498" s="125">
        <v>0</v>
      </c>
      <c r="V498" s="125">
        <v>0</v>
      </c>
      <c r="W498" s="125">
        <v>0</v>
      </c>
      <c r="X498" s="125">
        <v>0</v>
      </c>
      <c r="Y498" s="38">
        <v>0</v>
      </c>
      <c r="Z498" s="125">
        <f t="shared" si="138"/>
        <v>0</v>
      </c>
      <c r="AA498" s="125">
        <v>0</v>
      </c>
      <c r="AB498" s="125">
        <v>0</v>
      </c>
      <c r="AC498" s="36">
        <v>0</v>
      </c>
      <c r="AD498" s="94"/>
    </row>
    <row r="499" spans="1:30" s="108" customFormat="1" ht="25.15" customHeight="1" outlineLevel="1" x14ac:dyDescent="0.2">
      <c r="A499" s="114" t="s">
        <v>1550</v>
      </c>
      <c r="B499" s="127" t="s">
        <v>287</v>
      </c>
      <c r="C499" s="38">
        <f t="shared" si="148"/>
        <v>0</v>
      </c>
      <c r="D499" s="125">
        <f t="shared" si="139"/>
        <v>0</v>
      </c>
      <c r="E499" s="76">
        <v>0</v>
      </c>
      <c r="F499" s="126">
        <f t="shared" si="140"/>
        <v>0</v>
      </c>
      <c r="G499" s="125">
        <v>0</v>
      </c>
      <c r="H499" s="125">
        <v>0</v>
      </c>
      <c r="I499" s="125">
        <v>0</v>
      </c>
      <c r="J499" s="76">
        <v>0</v>
      </c>
      <c r="K499" s="126">
        <f t="shared" si="147"/>
        <v>0</v>
      </c>
      <c r="L499" s="125">
        <v>0</v>
      </c>
      <c r="M499" s="125">
        <v>0</v>
      </c>
      <c r="N499" s="125">
        <v>0</v>
      </c>
      <c r="O499" s="38">
        <v>0</v>
      </c>
      <c r="P499" s="125">
        <f t="shared" si="127"/>
        <v>0</v>
      </c>
      <c r="Q499" s="125">
        <v>0</v>
      </c>
      <c r="R499" s="125">
        <v>0</v>
      </c>
      <c r="S499" s="36">
        <v>0</v>
      </c>
      <c r="T499" s="38">
        <v>0</v>
      </c>
      <c r="U499" s="125">
        <v>0</v>
      </c>
      <c r="V499" s="125">
        <v>0</v>
      </c>
      <c r="W499" s="125">
        <v>0</v>
      </c>
      <c r="X499" s="125">
        <v>0</v>
      </c>
      <c r="Y499" s="38">
        <v>0</v>
      </c>
      <c r="Z499" s="125">
        <f t="shared" si="138"/>
        <v>0</v>
      </c>
      <c r="AA499" s="125">
        <v>0</v>
      </c>
      <c r="AB499" s="125">
        <v>0</v>
      </c>
      <c r="AC499" s="36">
        <v>0</v>
      </c>
      <c r="AD499" s="94"/>
    </row>
    <row r="500" spans="1:30" s="108" customFormat="1" ht="23.45" customHeight="1" outlineLevel="1" x14ac:dyDescent="0.2">
      <c r="A500" s="114" t="s">
        <v>1551</v>
      </c>
      <c r="B500" s="127" t="s">
        <v>288</v>
      </c>
      <c r="C500" s="38">
        <f t="shared" si="148"/>
        <v>0</v>
      </c>
      <c r="D500" s="125">
        <f t="shared" si="139"/>
        <v>0</v>
      </c>
      <c r="E500" s="76">
        <v>0</v>
      </c>
      <c r="F500" s="126">
        <f t="shared" si="140"/>
        <v>0</v>
      </c>
      <c r="G500" s="125">
        <v>0</v>
      </c>
      <c r="H500" s="125">
        <v>0</v>
      </c>
      <c r="I500" s="125">
        <v>0</v>
      </c>
      <c r="J500" s="76">
        <v>0</v>
      </c>
      <c r="K500" s="126">
        <f t="shared" si="147"/>
        <v>0</v>
      </c>
      <c r="L500" s="125">
        <v>0</v>
      </c>
      <c r="M500" s="125">
        <v>0</v>
      </c>
      <c r="N500" s="125">
        <v>0</v>
      </c>
      <c r="O500" s="38">
        <v>0</v>
      </c>
      <c r="P500" s="125">
        <f t="shared" si="127"/>
        <v>0</v>
      </c>
      <c r="Q500" s="125">
        <v>0</v>
      </c>
      <c r="R500" s="125">
        <v>0</v>
      </c>
      <c r="S500" s="36">
        <v>0</v>
      </c>
      <c r="T500" s="38">
        <v>0</v>
      </c>
      <c r="U500" s="125">
        <v>0</v>
      </c>
      <c r="V500" s="125">
        <v>0</v>
      </c>
      <c r="W500" s="125">
        <v>0</v>
      </c>
      <c r="X500" s="125">
        <v>0</v>
      </c>
      <c r="Y500" s="38">
        <v>0</v>
      </c>
      <c r="Z500" s="125">
        <f t="shared" si="138"/>
        <v>0</v>
      </c>
      <c r="AA500" s="125">
        <v>0</v>
      </c>
      <c r="AB500" s="125">
        <v>0</v>
      </c>
      <c r="AC500" s="36">
        <v>0</v>
      </c>
      <c r="AD500" s="94"/>
    </row>
    <row r="501" spans="1:30" s="108" customFormat="1" ht="22.9" customHeight="1" outlineLevel="1" x14ac:dyDescent="0.2">
      <c r="A501" s="114" t="s">
        <v>1552</v>
      </c>
      <c r="B501" s="127" t="s">
        <v>289</v>
      </c>
      <c r="C501" s="38">
        <f t="shared" si="148"/>
        <v>0</v>
      </c>
      <c r="D501" s="125">
        <f t="shared" si="139"/>
        <v>0</v>
      </c>
      <c r="E501" s="76">
        <v>0</v>
      </c>
      <c r="F501" s="126">
        <f t="shared" si="140"/>
        <v>0</v>
      </c>
      <c r="G501" s="125">
        <v>0</v>
      </c>
      <c r="H501" s="125">
        <v>0</v>
      </c>
      <c r="I501" s="125">
        <v>0</v>
      </c>
      <c r="J501" s="76">
        <v>0</v>
      </c>
      <c r="K501" s="126">
        <f t="shared" si="147"/>
        <v>0</v>
      </c>
      <c r="L501" s="125">
        <v>0</v>
      </c>
      <c r="M501" s="125">
        <v>0</v>
      </c>
      <c r="N501" s="125">
        <v>0</v>
      </c>
      <c r="O501" s="38">
        <v>0</v>
      </c>
      <c r="P501" s="125">
        <f t="shared" si="127"/>
        <v>0</v>
      </c>
      <c r="Q501" s="125">
        <v>0</v>
      </c>
      <c r="R501" s="125">
        <v>0</v>
      </c>
      <c r="S501" s="36">
        <v>0</v>
      </c>
      <c r="T501" s="38">
        <v>0</v>
      </c>
      <c r="U501" s="125">
        <v>0</v>
      </c>
      <c r="V501" s="125">
        <v>0</v>
      </c>
      <c r="W501" s="125">
        <v>0</v>
      </c>
      <c r="X501" s="125">
        <v>0</v>
      </c>
      <c r="Y501" s="38">
        <v>0</v>
      </c>
      <c r="Z501" s="125">
        <f t="shared" si="138"/>
        <v>0</v>
      </c>
      <c r="AA501" s="125">
        <v>0</v>
      </c>
      <c r="AB501" s="125">
        <v>0</v>
      </c>
      <c r="AC501" s="36">
        <v>0</v>
      </c>
      <c r="AD501" s="94"/>
    </row>
    <row r="502" spans="1:30" s="108" customFormat="1" ht="33" customHeight="1" outlineLevel="1" x14ac:dyDescent="0.2">
      <c r="A502" s="114" t="s">
        <v>1553</v>
      </c>
      <c r="B502" s="127" t="s">
        <v>1014</v>
      </c>
      <c r="C502" s="38">
        <f t="shared" si="148"/>
        <v>0</v>
      </c>
      <c r="D502" s="125">
        <f t="shared" si="139"/>
        <v>0</v>
      </c>
      <c r="E502" s="76">
        <v>0</v>
      </c>
      <c r="F502" s="126">
        <f t="shared" si="140"/>
        <v>0</v>
      </c>
      <c r="G502" s="125">
        <v>0</v>
      </c>
      <c r="H502" s="125">
        <v>0</v>
      </c>
      <c r="I502" s="125">
        <v>0</v>
      </c>
      <c r="J502" s="76">
        <v>0</v>
      </c>
      <c r="K502" s="126">
        <f t="shared" si="147"/>
        <v>0</v>
      </c>
      <c r="L502" s="125">
        <v>0</v>
      </c>
      <c r="M502" s="125">
        <v>0</v>
      </c>
      <c r="N502" s="125">
        <v>0</v>
      </c>
      <c r="O502" s="38">
        <v>0</v>
      </c>
      <c r="P502" s="125">
        <f t="shared" si="127"/>
        <v>0</v>
      </c>
      <c r="Q502" s="125">
        <v>0</v>
      </c>
      <c r="R502" s="125">
        <v>0</v>
      </c>
      <c r="S502" s="36">
        <v>0</v>
      </c>
      <c r="T502" s="38">
        <v>0</v>
      </c>
      <c r="U502" s="125">
        <v>0</v>
      </c>
      <c r="V502" s="125">
        <v>0</v>
      </c>
      <c r="W502" s="125">
        <v>0</v>
      </c>
      <c r="X502" s="125">
        <v>0</v>
      </c>
      <c r="Y502" s="38">
        <v>0</v>
      </c>
      <c r="Z502" s="125">
        <f t="shared" ref="Z502:Z526" si="149">AA502+AB502+AC502</f>
        <v>0</v>
      </c>
      <c r="AA502" s="125">
        <v>0</v>
      </c>
      <c r="AB502" s="125">
        <v>0</v>
      </c>
      <c r="AC502" s="36">
        <v>0</v>
      </c>
      <c r="AD502" s="94"/>
    </row>
    <row r="503" spans="1:30" s="108" customFormat="1" ht="33" customHeight="1" outlineLevel="1" x14ac:dyDescent="0.2">
      <c r="A503" s="114" t="s">
        <v>1554</v>
      </c>
      <c r="B503" s="127" t="s">
        <v>1015</v>
      </c>
      <c r="C503" s="38">
        <f t="shared" si="148"/>
        <v>0</v>
      </c>
      <c r="D503" s="125">
        <f t="shared" si="139"/>
        <v>0</v>
      </c>
      <c r="E503" s="76">
        <v>0</v>
      </c>
      <c r="F503" s="126">
        <f t="shared" si="140"/>
        <v>0</v>
      </c>
      <c r="G503" s="125">
        <v>0</v>
      </c>
      <c r="H503" s="125">
        <v>0</v>
      </c>
      <c r="I503" s="125">
        <v>0</v>
      </c>
      <c r="J503" s="76">
        <v>0</v>
      </c>
      <c r="K503" s="126">
        <f t="shared" si="147"/>
        <v>0</v>
      </c>
      <c r="L503" s="125">
        <v>0</v>
      </c>
      <c r="M503" s="125">
        <v>0</v>
      </c>
      <c r="N503" s="125">
        <v>0</v>
      </c>
      <c r="O503" s="38">
        <v>0</v>
      </c>
      <c r="P503" s="125">
        <f t="shared" si="127"/>
        <v>0</v>
      </c>
      <c r="Q503" s="125">
        <v>0</v>
      </c>
      <c r="R503" s="125">
        <v>0</v>
      </c>
      <c r="S503" s="36">
        <v>0</v>
      </c>
      <c r="T503" s="38">
        <v>0</v>
      </c>
      <c r="U503" s="125">
        <v>0</v>
      </c>
      <c r="V503" s="125">
        <v>0</v>
      </c>
      <c r="W503" s="125">
        <v>0</v>
      </c>
      <c r="X503" s="125">
        <v>0</v>
      </c>
      <c r="Y503" s="38">
        <v>0</v>
      </c>
      <c r="Z503" s="125">
        <f t="shared" si="149"/>
        <v>0</v>
      </c>
      <c r="AA503" s="125">
        <v>0</v>
      </c>
      <c r="AB503" s="125">
        <v>0</v>
      </c>
      <c r="AC503" s="36">
        <v>0</v>
      </c>
      <c r="AD503" s="94"/>
    </row>
    <row r="504" spans="1:30" s="108" customFormat="1" ht="31.9" customHeight="1" outlineLevel="1" x14ac:dyDescent="0.2">
      <c r="A504" s="114" t="s">
        <v>1555</v>
      </c>
      <c r="B504" s="127" t="s">
        <v>1016</v>
      </c>
      <c r="C504" s="38">
        <f t="shared" si="148"/>
        <v>0</v>
      </c>
      <c r="D504" s="125">
        <f t="shared" si="139"/>
        <v>0</v>
      </c>
      <c r="E504" s="76">
        <v>0</v>
      </c>
      <c r="F504" s="126">
        <f t="shared" si="140"/>
        <v>0</v>
      </c>
      <c r="G504" s="125">
        <v>0</v>
      </c>
      <c r="H504" s="125">
        <v>0</v>
      </c>
      <c r="I504" s="125">
        <v>0</v>
      </c>
      <c r="J504" s="76">
        <v>0</v>
      </c>
      <c r="K504" s="126">
        <f t="shared" si="147"/>
        <v>0</v>
      </c>
      <c r="L504" s="125">
        <v>0</v>
      </c>
      <c r="M504" s="125">
        <v>0</v>
      </c>
      <c r="N504" s="125">
        <v>0</v>
      </c>
      <c r="O504" s="38">
        <v>0</v>
      </c>
      <c r="P504" s="125">
        <f t="shared" ref="P504:P555" si="150">Q504+R504+S504</f>
        <v>0</v>
      </c>
      <c r="Q504" s="125">
        <v>0</v>
      </c>
      <c r="R504" s="125">
        <v>0</v>
      </c>
      <c r="S504" s="36">
        <v>0</v>
      </c>
      <c r="T504" s="38">
        <v>0</v>
      </c>
      <c r="U504" s="125">
        <v>0</v>
      </c>
      <c r="V504" s="125">
        <v>0</v>
      </c>
      <c r="W504" s="125">
        <v>0</v>
      </c>
      <c r="X504" s="125">
        <v>0</v>
      </c>
      <c r="Y504" s="38">
        <v>0</v>
      </c>
      <c r="Z504" s="125">
        <f t="shared" si="149"/>
        <v>0</v>
      </c>
      <c r="AA504" s="125">
        <v>0</v>
      </c>
      <c r="AB504" s="125">
        <v>0</v>
      </c>
      <c r="AC504" s="36">
        <v>0</v>
      </c>
      <c r="AD504" s="94"/>
    </row>
    <row r="505" spans="1:30" s="108" customFormat="1" ht="30" customHeight="1" outlineLevel="1" x14ac:dyDescent="0.2">
      <c r="A505" s="114" t="s">
        <v>1556</v>
      </c>
      <c r="B505" s="127" t="s">
        <v>1017</v>
      </c>
      <c r="C505" s="38">
        <f t="shared" si="148"/>
        <v>0</v>
      </c>
      <c r="D505" s="125">
        <f t="shared" si="139"/>
        <v>0</v>
      </c>
      <c r="E505" s="76">
        <v>0</v>
      </c>
      <c r="F505" s="126">
        <f t="shared" si="140"/>
        <v>0</v>
      </c>
      <c r="G505" s="125">
        <v>0</v>
      </c>
      <c r="H505" s="125">
        <v>0</v>
      </c>
      <c r="I505" s="125">
        <v>0</v>
      </c>
      <c r="J505" s="76">
        <v>0</v>
      </c>
      <c r="K505" s="126">
        <f t="shared" si="147"/>
        <v>0</v>
      </c>
      <c r="L505" s="125">
        <v>0</v>
      </c>
      <c r="M505" s="125">
        <v>0</v>
      </c>
      <c r="N505" s="125">
        <v>0</v>
      </c>
      <c r="O505" s="38">
        <v>0</v>
      </c>
      <c r="P505" s="125">
        <f t="shared" si="150"/>
        <v>0</v>
      </c>
      <c r="Q505" s="125">
        <v>0</v>
      </c>
      <c r="R505" s="125">
        <v>0</v>
      </c>
      <c r="S505" s="36">
        <v>0</v>
      </c>
      <c r="T505" s="38">
        <v>0</v>
      </c>
      <c r="U505" s="125">
        <v>0</v>
      </c>
      <c r="V505" s="125">
        <v>0</v>
      </c>
      <c r="W505" s="125">
        <v>0</v>
      </c>
      <c r="X505" s="125">
        <v>0</v>
      </c>
      <c r="Y505" s="38">
        <v>0</v>
      </c>
      <c r="Z505" s="125">
        <f t="shared" si="149"/>
        <v>0</v>
      </c>
      <c r="AA505" s="125">
        <v>0</v>
      </c>
      <c r="AB505" s="125">
        <v>0</v>
      </c>
      <c r="AC505" s="36">
        <v>0</v>
      </c>
      <c r="AD505" s="94"/>
    </row>
    <row r="506" spans="1:30" s="108" customFormat="1" ht="26.45" customHeight="1" outlineLevel="1" x14ac:dyDescent="0.2">
      <c r="A506" s="114" t="s">
        <v>1557</v>
      </c>
      <c r="B506" s="127" t="s">
        <v>290</v>
      </c>
      <c r="C506" s="38">
        <f t="shared" si="148"/>
        <v>0</v>
      </c>
      <c r="D506" s="125">
        <f t="shared" si="139"/>
        <v>0</v>
      </c>
      <c r="E506" s="76">
        <v>0</v>
      </c>
      <c r="F506" s="126">
        <f t="shared" si="140"/>
        <v>0</v>
      </c>
      <c r="G506" s="125">
        <v>0</v>
      </c>
      <c r="H506" s="125">
        <v>0</v>
      </c>
      <c r="I506" s="125">
        <v>0</v>
      </c>
      <c r="J506" s="76">
        <v>0</v>
      </c>
      <c r="K506" s="126">
        <f t="shared" si="147"/>
        <v>0</v>
      </c>
      <c r="L506" s="125">
        <v>0</v>
      </c>
      <c r="M506" s="125">
        <v>0</v>
      </c>
      <c r="N506" s="125">
        <v>0</v>
      </c>
      <c r="O506" s="38">
        <v>0</v>
      </c>
      <c r="P506" s="125">
        <f t="shared" si="150"/>
        <v>0</v>
      </c>
      <c r="Q506" s="125">
        <v>0</v>
      </c>
      <c r="R506" s="125">
        <v>0</v>
      </c>
      <c r="S506" s="36">
        <v>0</v>
      </c>
      <c r="T506" s="38">
        <v>0</v>
      </c>
      <c r="U506" s="125">
        <v>0</v>
      </c>
      <c r="V506" s="125">
        <v>0</v>
      </c>
      <c r="W506" s="125">
        <v>0</v>
      </c>
      <c r="X506" s="125">
        <v>0</v>
      </c>
      <c r="Y506" s="38">
        <v>0</v>
      </c>
      <c r="Z506" s="125">
        <f t="shared" si="149"/>
        <v>0</v>
      </c>
      <c r="AA506" s="125">
        <v>0</v>
      </c>
      <c r="AB506" s="125">
        <v>0</v>
      </c>
      <c r="AC506" s="36">
        <v>0</v>
      </c>
      <c r="AD506" s="94"/>
    </row>
    <row r="507" spans="1:30" s="108" customFormat="1" ht="27" customHeight="1" outlineLevel="1" x14ac:dyDescent="0.2">
      <c r="A507" s="114" t="s">
        <v>1558</v>
      </c>
      <c r="B507" s="127" t="s">
        <v>291</v>
      </c>
      <c r="C507" s="38">
        <f t="shared" si="148"/>
        <v>0</v>
      </c>
      <c r="D507" s="125">
        <f t="shared" si="139"/>
        <v>0</v>
      </c>
      <c r="E507" s="76">
        <v>0</v>
      </c>
      <c r="F507" s="126">
        <f t="shared" si="140"/>
        <v>0</v>
      </c>
      <c r="G507" s="125">
        <v>0</v>
      </c>
      <c r="H507" s="125">
        <v>0</v>
      </c>
      <c r="I507" s="125">
        <v>0</v>
      </c>
      <c r="J507" s="76">
        <v>0</v>
      </c>
      <c r="K507" s="126">
        <f t="shared" si="147"/>
        <v>0</v>
      </c>
      <c r="L507" s="125">
        <v>0</v>
      </c>
      <c r="M507" s="125">
        <v>0</v>
      </c>
      <c r="N507" s="125">
        <v>0</v>
      </c>
      <c r="O507" s="38">
        <v>0</v>
      </c>
      <c r="P507" s="125">
        <f t="shared" si="150"/>
        <v>0</v>
      </c>
      <c r="Q507" s="125">
        <v>0</v>
      </c>
      <c r="R507" s="125">
        <v>0</v>
      </c>
      <c r="S507" s="36">
        <v>0</v>
      </c>
      <c r="T507" s="38">
        <v>0</v>
      </c>
      <c r="U507" s="125">
        <v>0</v>
      </c>
      <c r="V507" s="125">
        <v>0</v>
      </c>
      <c r="W507" s="125">
        <v>0</v>
      </c>
      <c r="X507" s="125">
        <v>0</v>
      </c>
      <c r="Y507" s="38">
        <v>0</v>
      </c>
      <c r="Z507" s="125">
        <f t="shared" si="149"/>
        <v>0</v>
      </c>
      <c r="AA507" s="125">
        <v>0</v>
      </c>
      <c r="AB507" s="125">
        <v>0</v>
      </c>
      <c r="AC507" s="36">
        <v>0</v>
      </c>
      <c r="AD507" s="94"/>
    </row>
    <row r="508" spans="1:30" s="108" customFormat="1" ht="35.450000000000003" customHeight="1" outlineLevel="1" x14ac:dyDescent="0.2">
      <c r="A508" s="114" t="s">
        <v>1559</v>
      </c>
      <c r="B508" s="127" t="s">
        <v>292</v>
      </c>
      <c r="C508" s="38">
        <f t="shared" si="148"/>
        <v>0</v>
      </c>
      <c r="D508" s="125">
        <f t="shared" si="139"/>
        <v>0</v>
      </c>
      <c r="E508" s="76">
        <v>0</v>
      </c>
      <c r="F508" s="126">
        <f t="shared" si="140"/>
        <v>0</v>
      </c>
      <c r="G508" s="125">
        <v>0</v>
      </c>
      <c r="H508" s="125">
        <v>0</v>
      </c>
      <c r="I508" s="125">
        <v>0</v>
      </c>
      <c r="J508" s="76">
        <v>0</v>
      </c>
      <c r="K508" s="126">
        <f t="shared" si="147"/>
        <v>0</v>
      </c>
      <c r="L508" s="125">
        <v>0</v>
      </c>
      <c r="M508" s="125">
        <v>0</v>
      </c>
      <c r="N508" s="125">
        <v>0</v>
      </c>
      <c r="O508" s="38">
        <v>0</v>
      </c>
      <c r="P508" s="125">
        <f t="shared" si="150"/>
        <v>0</v>
      </c>
      <c r="Q508" s="125">
        <v>0</v>
      </c>
      <c r="R508" s="125">
        <v>0</v>
      </c>
      <c r="S508" s="36">
        <v>0</v>
      </c>
      <c r="T508" s="38">
        <v>0</v>
      </c>
      <c r="U508" s="125">
        <v>0</v>
      </c>
      <c r="V508" s="125">
        <v>0</v>
      </c>
      <c r="W508" s="125">
        <v>0</v>
      </c>
      <c r="X508" s="125">
        <v>0</v>
      </c>
      <c r="Y508" s="38">
        <v>0</v>
      </c>
      <c r="Z508" s="125">
        <f t="shared" si="149"/>
        <v>0</v>
      </c>
      <c r="AA508" s="125">
        <v>0</v>
      </c>
      <c r="AB508" s="125">
        <v>0</v>
      </c>
      <c r="AC508" s="36">
        <v>0</v>
      </c>
      <c r="AD508" s="94"/>
    </row>
    <row r="509" spans="1:30" s="108" customFormat="1" ht="23.45" customHeight="1" outlineLevel="1" x14ac:dyDescent="0.2">
      <c r="A509" s="114" t="s">
        <v>1560</v>
      </c>
      <c r="B509" s="127" t="s">
        <v>293</v>
      </c>
      <c r="C509" s="38">
        <f t="shared" si="148"/>
        <v>0</v>
      </c>
      <c r="D509" s="125">
        <f t="shared" si="139"/>
        <v>0</v>
      </c>
      <c r="E509" s="76">
        <v>0</v>
      </c>
      <c r="F509" s="126">
        <f t="shared" si="140"/>
        <v>0</v>
      </c>
      <c r="G509" s="125">
        <v>0</v>
      </c>
      <c r="H509" s="125">
        <v>0</v>
      </c>
      <c r="I509" s="125">
        <v>0</v>
      </c>
      <c r="J509" s="76">
        <v>0</v>
      </c>
      <c r="K509" s="126">
        <f t="shared" si="147"/>
        <v>0</v>
      </c>
      <c r="L509" s="125">
        <v>0</v>
      </c>
      <c r="M509" s="125">
        <v>0</v>
      </c>
      <c r="N509" s="125">
        <v>0</v>
      </c>
      <c r="O509" s="38">
        <v>0</v>
      </c>
      <c r="P509" s="125">
        <f t="shared" si="150"/>
        <v>0</v>
      </c>
      <c r="Q509" s="125">
        <v>0</v>
      </c>
      <c r="R509" s="125">
        <v>0</v>
      </c>
      <c r="S509" s="36">
        <v>0</v>
      </c>
      <c r="T509" s="38">
        <v>0</v>
      </c>
      <c r="U509" s="125">
        <v>0</v>
      </c>
      <c r="V509" s="125">
        <v>0</v>
      </c>
      <c r="W509" s="125">
        <v>0</v>
      </c>
      <c r="X509" s="125">
        <v>0</v>
      </c>
      <c r="Y509" s="38">
        <v>0</v>
      </c>
      <c r="Z509" s="125">
        <f t="shared" si="149"/>
        <v>0</v>
      </c>
      <c r="AA509" s="125">
        <v>0</v>
      </c>
      <c r="AB509" s="125">
        <v>0</v>
      </c>
      <c r="AC509" s="36">
        <v>0</v>
      </c>
      <c r="AD509" s="94"/>
    </row>
    <row r="510" spans="1:30" s="108" customFormat="1" ht="29.45" customHeight="1" outlineLevel="1" x14ac:dyDescent="0.2">
      <c r="A510" s="114" t="s">
        <v>1561</v>
      </c>
      <c r="B510" s="127" t="s">
        <v>294</v>
      </c>
      <c r="C510" s="38">
        <f t="shared" si="148"/>
        <v>0</v>
      </c>
      <c r="D510" s="125">
        <f t="shared" si="139"/>
        <v>0</v>
      </c>
      <c r="E510" s="76">
        <v>0</v>
      </c>
      <c r="F510" s="126">
        <f t="shared" si="140"/>
        <v>0</v>
      </c>
      <c r="G510" s="125">
        <v>0</v>
      </c>
      <c r="H510" s="125">
        <v>0</v>
      </c>
      <c r="I510" s="125">
        <v>0</v>
      </c>
      <c r="J510" s="76">
        <v>0</v>
      </c>
      <c r="K510" s="126">
        <f t="shared" si="147"/>
        <v>0</v>
      </c>
      <c r="L510" s="125">
        <v>0</v>
      </c>
      <c r="M510" s="125">
        <v>0</v>
      </c>
      <c r="N510" s="125">
        <v>0</v>
      </c>
      <c r="O510" s="38">
        <v>0</v>
      </c>
      <c r="P510" s="125">
        <f t="shared" si="150"/>
        <v>0</v>
      </c>
      <c r="Q510" s="125">
        <v>0</v>
      </c>
      <c r="R510" s="125">
        <v>0</v>
      </c>
      <c r="S510" s="36">
        <v>0</v>
      </c>
      <c r="T510" s="38">
        <v>0</v>
      </c>
      <c r="U510" s="125">
        <v>0</v>
      </c>
      <c r="V510" s="125">
        <v>0</v>
      </c>
      <c r="W510" s="125">
        <v>0</v>
      </c>
      <c r="X510" s="125">
        <v>0</v>
      </c>
      <c r="Y510" s="38">
        <v>0</v>
      </c>
      <c r="Z510" s="125">
        <f t="shared" si="149"/>
        <v>0</v>
      </c>
      <c r="AA510" s="125">
        <v>0</v>
      </c>
      <c r="AB510" s="125">
        <v>0</v>
      </c>
      <c r="AC510" s="36">
        <v>0</v>
      </c>
      <c r="AD510" s="94"/>
    </row>
    <row r="511" spans="1:30" s="108" customFormat="1" ht="27" customHeight="1" outlineLevel="1" x14ac:dyDescent="0.2">
      <c r="A511" s="114" t="s">
        <v>1562</v>
      </c>
      <c r="B511" s="127" t="s">
        <v>295</v>
      </c>
      <c r="C511" s="38">
        <f t="shared" si="148"/>
        <v>0</v>
      </c>
      <c r="D511" s="125">
        <f t="shared" si="139"/>
        <v>0</v>
      </c>
      <c r="E511" s="76">
        <v>0</v>
      </c>
      <c r="F511" s="126">
        <f t="shared" si="140"/>
        <v>0</v>
      </c>
      <c r="G511" s="125">
        <v>0</v>
      </c>
      <c r="H511" s="125">
        <v>0</v>
      </c>
      <c r="I511" s="125">
        <v>0</v>
      </c>
      <c r="J511" s="76">
        <v>0</v>
      </c>
      <c r="K511" s="126">
        <f t="shared" si="147"/>
        <v>0</v>
      </c>
      <c r="L511" s="125">
        <v>0</v>
      </c>
      <c r="M511" s="125">
        <v>0</v>
      </c>
      <c r="N511" s="125">
        <v>0</v>
      </c>
      <c r="O511" s="38">
        <v>0</v>
      </c>
      <c r="P511" s="125">
        <f t="shared" si="150"/>
        <v>0</v>
      </c>
      <c r="Q511" s="125">
        <v>0</v>
      </c>
      <c r="R511" s="125">
        <v>0</v>
      </c>
      <c r="S511" s="36">
        <v>0</v>
      </c>
      <c r="T511" s="38">
        <v>0</v>
      </c>
      <c r="U511" s="125">
        <v>0</v>
      </c>
      <c r="V511" s="125">
        <v>0</v>
      </c>
      <c r="W511" s="125">
        <v>0</v>
      </c>
      <c r="X511" s="125">
        <v>0</v>
      </c>
      <c r="Y511" s="38">
        <v>0</v>
      </c>
      <c r="Z511" s="125">
        <f t="shared" si="149"/>
        <v>0</v>
      </c>
      <c r="AA511" s="125">
        <v>0</v>
      </c>
      <c r="AB511" s="125">
        <v>0</v>
      </c>
      <c r="AC511" s="36">
        <v>0</v>
      </c>
      <c r="AD511" s="94"/>
    </row>
    <row r="512" spans="1:30" s="108" customFormat="1" ht="28.15" customHeight="1" outlineLevel="1" x14ac:dyDescent="0.2">
      <c r="A512" s="114" t="s">
        <v>1563</v>
      </c>
      <c r="B512" s="127" t="s">
        <v>296</v>
      </c>
      <c r="C512" s="38">
        <f t="shared" si="148"/>
        <v>0</v>
      </c>
      <c r="D512" s="125">
        <f t="shared" si="139"/>
        <v>0</v>
      </c>
      <c r="E512" s="76">
        <v>0</v>
      </c>
      <c r="F512" s="126">
        <f t="shared" si="140"/>
        <v>0</v>
      </c>
      <c r="G512" s="125">
        <v>0</v>
      </c>
      <c r="H512" s="125">
        <v>0</v>
      </c>
      <c r="I512" s="125">
        <v>0</v>
      </c>
      <c r="J512" s="76">
        <v>0</v>
      </c>
      <c r="K512" s="126">
        <f t="shared" si="147"/>
        <v>0</v>
      </c>
      <c r="L512" s="125">
        <v>0</v>
      </c>
      <c r="M512" s="125">
        <v>0</v>
      </c>
      <c r="N512" s="125">
        <v>0</v>
      </c>
      <c r="O512" s="38">
        <v>0</v>
      </c>
      <c r="P512" s="125">
        <f t="shared" si="150"/>
        <v>0</v>
      </c>
      <c r="Q512" s="125">
        <v>0</v>
      </c>
      <c r="R512" s="125">
        <v>0</v>
      </c>
      <c r="S512" s="36">
        <v>0</v>
      </c>
      <c r="T512" s="38">
        <v>0</v>
      </c>
      <c r="U512" s="125">
        <v>0</v>
      </c>
      <c r="V512" s="125">
        <v>0</v>
      </c>
      <c r="W512" s="125">
        <v>0</v>
      </c>
      <c r="X512" s="125">
        <v>0</v>
      </c>
      <c r="Y512" s="38">
        <v>0</v>
      </c>
      <c r="Z512" s="125">
        <f t="shared" si="149"/>
        <v>0</v>
      </c>
      <c r="AA512" s="125">
        <v>0</v>
      </c>
      <c r="AB512" s="125">
        <v>0</v>
      </c>
      <c r="AC512" s="36">
        <v>0</v>
      </c>
      <c r="AD512" s="94"/>
    </row>
    <row r="513" spans="1:30" s="108" customFormat="1" ht="25.15" customHeight="1" outlineLevel="1" x14ac:dyDescent="0.2">
      <c r="A513" s="114" t="s">
        <v>1564</v>
      </c>
      <c r="B513" s="127" t="s">
        <v>297</v>
      </c>
      <c r="C513" s="38">
        <f t="shared" si="148"/>
        <v>0</v>
      </c>
      <c r="D513" s="125">
        <f t="shared" si="139"/>
        <v>0</v>
      </c>
      <c r="E513" s="76">
        <v>0</v>
      </c>
      <c r="F513" s="126">
        <f t="shared" si="140"/>
        <v>0</v>
      </c>
      <c r="G513" s="125">
        <v>0</v>
      </c>
      <c r="H513" s="125">
        <v>0</v>
      </c>
      <c r="I513" s="125">
        <v>0</v>
      </c>
      <c r="J513" s="76">
        <v>0</v>
      </c>
      <c r="K513" s="126">
        <f t="shared" si="147"/>
        <v>0</v>
      </c>
      <c r="L513" s="125">
        <v>0</v>
      </c>
      <c r="M513" s="125">
        <v>0</v>
      </c>
      <c r="N513" s="125">
        <v>0</v>
      </c>
      <c r="O513" s="38">
        <v>0</v>
      </c>
      <c r="P513" s="125">
        <f t="shared" si="150"/>
        <v>0</v>
      </c>
      <c r="Q513" s="125">
        <v>0</v>
      </c>
      <c r="R513" s="125">
        <v>0</v>
      </c>
      <c r="S513" s="36">
        <v>0</v>
      </c>
      <c r="T513" s="38">
        <v>0</v>
      </c>
      <c r="U513" s="125">
        <v>0</v>
      </c>
      <c r="V513" s="125">
        <v>0</v>
      </c>
      <c r="W513" s="125">
        <v>0</v>
      </c>
      <c r="X513" s="125">
        <v>0</v>
      </c>
      <c r="Y513" s="38">
        <v>0</v>
      </c>
      <c r="Z513" s="125">
        <f t="shared" si="149"/>
        <v>0</v>
      </c>
      <c r="AA513" s="125">
        <v>0</v>
      </c>
      <c r="AB513" s="125">
        <v>0</v>
      </c>
      <c r="AC513" s="36">
        <v>0</v>
      </c>
      <c r="AD513" s="94"/>
    </row>
    <row r="514" spans="1:30" s="108" customFormat="1" ht="28.9" customHeight="1" outlineLevel="1" x14ac:dyDescent="0.2">
      <c r="A514" s="114" t="s">
        <v>1565</v>
      </c>
      <c r="B514" s="127" t="s">
        <v>298</v>
      </c>
      <c r="C514" s="38">
        <f t="shared" si="148"/>
        <v>0</v>
      </c>
      <c r="D514" s="125">
        <f t="shared" si="139"/>
        <v>0</v>
      </c>
      <c r="E514" s="76">
        <v>0</v>
      </c>
      <c r="F514" s="126">
        <f t="shared" si="140"/>
        <v>0</v>
      </c>
      <c r="G514" s="125">
        <v>0</v>
      </c>
      <c r="H514" s="125">
        <v>0</v>
      </c>
      <c r="I514" s="125">
        <v>0</v>
      </c>
      <c r="J514" s="76">
        <v>0</v>
      </c>
      <c r="K514" s="126">
        <f t="shared" si="147"/>
        <v>0</v>
      </c>
      <c r="L514" s="125">
        <v>0</v>
      </c>
      <c r="M514" s="125">
        <v>0</v>
      </c>
      <c r="N514" s="125">
        <v>0</v>
      </c>
      <c r="O514" s="38">
        <v>0</v>
      </c>
      <c r="P514" s="125">
        <f t="shared" si="150"/>
        <v>0</v>
      </c>
      <c r="Q514" s="125">
        <v>0</v>
      </c>
      <c r="R514" s="125">
        <v>0</v>
      </c>
      <c r="S514" s="36">
        <v>0</v>
      </c>
      <c r="T514" s="38">
        <v>0</v>
      </c>
      <c r="U514" s="125">
        <v>0</v>
      </c>
      <c r="V514" s="125">
        <v>0</v>
      </c>
      <c r="W514" s="125">
        <v>0</v>
      </c>
      <c r="X514" s="125">
        <v>0</v>
      </c>
      <c r="Y514" s="38">
        <v>0</v>
      </c>
      <c r="Z514" s="125">
        <f t="shared" si="149"/>
        <v>0</v>
      </c>
      <c r="AA514" s="125">
        <v>0</v>
      </c>
      <c r="AB514" s="125">
        <v>0</v>
      </c>
      <c r="AC514" s="36">
        <v>0</v>
      </c>
      <c r="AD514" s="94"/>
    </row>
    <row r="515" spans="1:30" s="108" customFormat="1" ht="26.45" customHeight="1" outlineLevel="1" x14ac:dyDescent="0.2">
      <c r="A515" s="114" t="s">
        <v>1566</v>
      </c>
      <c r="B515" s="127" t="s">
        <v>299</v>
      </c>
      <c r="C515" s="38">
        <f t="shared" si="148"/>
        <v>0</v>
      </c>
      <c r="D515" s="125">
        <f t="shared" si="139"/>
        <v>0</v>
      </c>
      <c r="E515" s="76">
        <v>0</v>
      </c>
      <c r="F515" s="126">
        <f t="shared" si="140"/>
        <v>0</v>
      </c>
      <c r="G515" s="125">
        <v>0</v>
      </c>
      <c r="H515" s="125">
        <v>0</v>
      </c>
      <c r="I515" s="125">
        <v>0</v>
      </c>
      <c r="J515" s="76">
        <v>0</v>
      </c>
      <c r="K515" s="126">
        <f t="shared" si="147"/>
        <v>0</v>
      </c>
      <c r="L515" s="125">
        <v>0</v>
      </c>
      <c r="M515" s="125">
        <v>0</v>
      </c>
      <c r="N515" s="125">
        <v>0</v>
      </c>
      <c r="O515" s="38">
        <v>0</v>
      </c>
      <c r="P515" s="125">
        <f t="shared" si="150"/>
        <v>0</v>
      </c>
      <c r="Q515" s="125">
        <v>0</v>
      </c>
      <c r="R515" s="125">
        <v>0</v>
      </c>
      <c r="S515" s="36">
        <v>0</v>
      </c>
      <c r="T515" s="38">
        <v>0</v>
      </c>
      <c r="U515" s="125">
        <v>0</v>
      </c>
      <c r="V515" s="125">
        <v>0</v>
      </c>
      <c r="W515" s="125">
        <v>0</v>
      </c>
      <c r="X515" s="125">
        <v>0</v>
      </c>
      <c r="Y515" s="38">
        <v>0</v>
      </c>
      <c r="Z515" s="125">
        <f t="shared" si="149"/>
        <v>0</v>
      </c>
      <c r="AA515" s="125">
        <v>0</v>
      </c>
      <c r="AB515" s="125">
        <v>0</v>
      </c>
      <c r="AC515" s="36">
        <v>0</v>
      </c>
      <c r="AD515" s="94"/>
    </row>
    <row r="516" spans="1:30" s="108" customFormat="1" ht="25.9" customHeight="1" outlineLevel="1" x14ac:dyDescent="0.2">
      <c r="A516" s="114" t="s">
        <v>1567</v>
      </c>
      <c r="B516" s="127" t="s">
        <v>307</v>
      </c>
      <c r="C516" s="38">
        <f t="shared" si="148"/>
        <v>0</v>
      </c>
      <c r="D516" s="125">
        <f t="shared" si="139"/>
        <v>0</v>
      </c>
      <c r="E516" s="76">
        <v>0</v>
      </c>
      <c r="F516" s="126">
        <f t="shared" si="140"/>
        <v>0</v>
      </c>
      <c r="G516" s="125">
        <v>0</v>
      </c>
      <c r="H516" s="125">
        <v>0</v>
      </c>
      <c r="I516" s="125">
        <v>0</v>
      </c>
      <c r="J516" s="76">
        <v>0</v>
      </c>
      <c r="K516" s="126">
        <f t="shared" si="147"/>
        <v>0</v>
      </c>
      <c r="L516" s="125">
        <v>0</v>
      </c>
      <c r="M516" s="125">
        <v>0</v>
      </c>
      <c r="N516" s="125">
        <v>0</v>
      </c>
      <c r="O516" s="38">
        <v>0</v>
      </c>
      <c r="P516" s="125">
        <f t="shared" si="150"/>
        <v>0</v>
      </c>
      <c r="Q516" s="125">
        <v>0</v>
      </c>
      <c r="R516" s="125">
        <v>0</v>
      </c>
      <c r="S516" s="36">
        <v>0</v>
      </c>
      <c r="T516" s="38">
        <v>0</v>
      </c>
      <c r="U516" s="125">
        <v>0</v>
      </c>
      <c r="V516" s="125">
        <v>0</v>
      </c>
      <c r="W516" s="125">
        <v>0</v>
      </c>
      <c r="X516" s="125">
        <v>0</v>
      </c>
      <c r="Y516" s="38">
        <v>0</v>
      </c>
      <c r="Z516" s="125">
        <f t="shared" si="149"/>
        <v>0</v>
      </c>
      <c r="AA516" s="125">
        <v>0</v>
      </c>
      <c r="AB516" s="125">
        <v>0</v>
      </c>
      <c r="AC516" s="36">
        <v>0</v>
      </c>
      <c r="AD516" s="94"/>
    </row>
    <row r="517" spans="1:30" s="108" customFormat="1" ht="28.9" customHeight="1" outlineLevel="1" x14ac:dyDescent="0.2">
      <c r="A517" s="114" t="s">
        <v>1568</v>
      </c>
      <c r="B517" s="127" t="s">
        <v>308</v>
      </c>
      <c r="C517" s="38">
        <f t="shared" si="148"/>
        <v>0</v>
      </c>
      <c r="D517" s="125">
        <f t="shared" si="139"/>
        <v>0</v>
      </c>
      <c r="E517" s="76">
        <v>0</v>
      </c>
      <c r="F517" s="126">
        <f t="shared" si="140"/>
        <v>0</v>
      </c>
      <c r="G517" s="125">
        <v>0</v>
      </c>
      <c r="H517" s="125">
        <v>0</v>
      </c>
      <c r="I517" s="125">
        <v>0</v>
      </c>
      <c r="J517" s="76">
        <v>0</v>
      </c>
      <c r="K517" s="126">
        <f t="shared" si="147"/>
        <v>0</v>
      </c>
      <c r="L517" s="125">
        <v>0</v>
      </c>
      <c r="M517" s="125">
        <v>0</v>
      </c>
      <c r="N517" s="125">
        <v>0</v>
      </c>
      <c r="O517" s="38">
        <v>0</v>
      </c>
      <c r="P517" s="125">
        <f t="shared" si="150"/>
        <v>0</v>
      </c>
      <c r="Q517" s="125">
        <v>0</v>
      </c>
      <c r="R517" s="125">
        <v>0</v>
      </c>
      <c r="S517" s="36">
        <v>0</v>
      </c>
      <c r="T517" s="38">
        <v>0</v>
      </c>
      <c r="U517" s="125">
        <v>0</v>
      </c>
      <c r="V517" s="125">
        <v>0</v>
      </c>
      <c r="W517" s="125">
        <v>0</v>
      </c>
      <c r="X517" s="125">
        <v>0</v>
      </c>
      <c r="Y517" s="38">
        <v>0</v>
      </c>
      <c r="Z517" s="125">
        <f t="shared" si="149"/>
        <v>0</v>
      </c>
      <c r="AA517" s="125">
        <v>0</v>
      </c>
      <c r="AB517" s="125">
        <v>0</v>
      </c>
      <c r="AC517" s="36">
        <v>0</v>
      </c>
      <c r="AD517" s="94"/>
    </row>
    <row r="518" spans="1:30" s="108" customFormat="1" ht="26.45" customHeight="1" outlineLevel="1" x14ac:dyDescent="0.2">
      <c r="A518" s="114" t="s">
        <v>1569</v>
      </c>
      <c r="B518" s="127" t="s">
        <v>309</v>
      </c>
      <c r="C518" s="38">
        <f t="shared" si="148"/>
        <v>0</v>
      </c>
      <c r="D518" s="125">
        <f t="shared" si="139"/>
        <v>0</v>
      </c>
      <c r="E518" s="76">
        <v>0</v>
      </c>
      <c r="F518" s="126">
        <f t="shared" si="140"/>
        <v>0</v>
      </c>
      <c r="G518" s="125">
        <v>0</v>
      </c>
      <c r="H518" s="125">
        <v>0</v>
      </c>
      <c r="I518" s="125">
        <v>0</v>
      </c>
      <c r="J518" s="76">
        <v>0</v>
      </c>
      <c r="K518" s="126">
        <f t="shared" si="147"/>
        <v>0</v>
      </c>
      <c r="L518" s="125">
        <v>0</v>
      </c>
      <c r="M518" s="125">
        <v>0</v>
      </c>
      <c r="N518" s="125">
        <v>0</v>
      </c>
      <c r="O518" s="38">
        <v>0</v>
      </c>
      <c r="P518" s="125">
        <f t="shared" si="150"/>
        <v>0</v>
      </c>
      <c r="Q518" s="125">
        <v>0</v>
      </c>
      <c r="R518" s="125">
        <v>0</v>
      </c>
      <c r="S518" s="36">
        <v>0</v>
      </c>
      <c r="T518" s="38">
        <v>0</v>
      </c>
      <c r="U518" s="125">
        <v>0</v>
      </c>
      <c r="V518" s="125">
        <v>0</v>
      </c>
      <c r="W518" s="125">
        <v>0</v>
      </c>
      <c r="X518" s="125">
        <v>0</v>
      </c>
      <c r="Y518" s="38">
        <v>0</v>
      </c>
      <c r="Z518" s="125">
        <f t="shared" si="149"/>
        <v>0</v>
      </c>
      <c r="AA518" s="125">
        <v>0</v>
      </c>
      <c r="AB518" s="125">
        <v>0</v>
      </c>
      <c r="AC518" s="36">
        <v>0</v>
      </c>
      <c r="AD518" s="94"/>
    </row>
    <row r="519" spans="1:30" s="108" customFormat="1" ht="33" customHeight="1" outlineLevel="1" x14ac:dyDescent="0.2">
      <c r="A519" s="114" t="s">
        <v>1570</v>
      </c>
      <c r="B519" s="127" t="s">
        <v>310</v>
      </c>
      <c r="C519" s="38">
        <f t="shared" si="148"/>
        <v>0</v>
      </c>
      <c r="D519" s="125">
        <f t="shared" si="139"/>
        <v>0</v>
      </c>
      <c r="E519" s="76">
        <v>0</v>
      </c>
      <c r="F519" s="126">
        <f t="shared" si="140"/>
        <v>0</v>
      </c>
      <c r="G519" s="125">
        <v>0</v>
      </c>
      <c r="H519" s="125">
        <v>0</v>
      </c>
      <c r="I519" s="125">
        <v>0</v>
      </c>
      <c r="J519" s="76">
        <v>0</v>
      </c>
      <c r="K519" s="126">
        <f t="shared" si="147"/>
        <v>0</v>
      </c>
      <c r="L519" s="125">
        <v>0</v>
      </c>
      <c r="M519" s="125">
        <v>0</v>
      </c>
      <c r="N519" s="125">
        <v>0</v>
      </c>
      <c r="O519" s="38">
        <v>0</v>
      </c>
      <c r="P519" s="125">
        <f t="shared" si="150"/>
        <v>0</v>
      </c>
      <c r="Q519" s="125">
        <v>0</v>
      </c>
      <c r="R519" s="125">
        <v>0</v>
      </c>
      <c r="S519" s="36">
        <v>0</v>
      </c>
      <c r="T519" s="38">
        <v>0</v>
      </c>
      <c r="U519" s="125">
        <v>0</v>
      </c>
      <c r="V519" s="125">
        <v>0</v>
      </c>
      <c r="W519" s="125">
        <v>0</v>
      </c>
      <c r="X519" s="125">
        <v>0</v>
      </c>
      <c r="Y519" s="38">
        <v>0</v>
      </c>
      <c r="Z519" s="125">
        <f t="shared" si="149"/>
        <v>0</v>
      </c>
      <c r="AA519" s="125">
        <v>0</v>
      </c>
      <c r="AB519" s="125">
        <v>0</v>
      </c>
      <c r="AC519" s="36">
        <v>0</v>
      </c>
      <c r="AD519" s="94"/>
    </row>
    <row r="520" spans="1:30" s="108" customFormat="1" ht="32.450000000000003" customHeight="1" outlineLevel="1" x14ac:dyDescent="0.2">
      <c r="A520" s="114" t="s">
        <v>1571</v>
      </c>
      <c r="B520" s="127" t="s">
        <v>311</v>
      </c>
      <c r="C520" s="38">
        <f t="shared" si="148"/>
        <v>0</v>
      </c>
      <c r="D520" s="125">
        <f t="shared" si="139"/>
        <v>0</v>
      </c>
      <c r="E520" s="76">
        <v>0</v>
      </c>
      <c r="F520" s="126">
        <f t="shared" si="140"/>
        <v>0</v>
      </c>
      <c r="G520" s="125">
        <v>0</v>
      </c>
      <c r="H520" s="125">
        <v>0</v>
      </c>
      <c r="I520" s="125">
        <v>0</v>
      </c>
      <c r="J520" s="76">
        <v>0</v>
      </c>
      <c r="K520" s="126">
        <f t="shared" si="147"/>
        <v>0</v>
      </c>
      <c r="L520" s="125">
        <v>0</v>
      </c>
      <c r="M520" s="125">
        <v>0</v>
      </c>
      <c r="N520" s="125">
        <v>0</v>
      </c>
      <c r="O520" s="38">
        <v>0</v>
      </c>
      <c r="P520" s="125">
        <f t="shared" si="150"/>
        <v>0</v>
      </c>
      <c r="Q520" s="125">
        <v>0</v>
      </c>
      <c r="R520" s="125">
        <v>0</v>
      </c>
      <c r="S520" s="36">
        <v>0</v>
      </c>
      <c r="T520" s="38">
        <v>0</v>
      </c>
      <c r="U520" s="125">
        <v>0</v>
      </c>
      <c r="V520" s="125">
        <v>0</v>
      </c>
      <c r="W520" s="125">
        <v>0</v>
      </c>
      <c r="X520" s="125">
        <v>0</v>
      </c>
      <c r="Y520" s="38">
        <v>0</v>
      </c>
      <c r="Z520" s="125">
        <f t="shared" si="149"/>
        <v>0</v>
      </c>
      <c r="AA520" s="125">
        <v>0</v>
      </c>
      <c r="AB520" s="125">
        <v>0</v>
      </c>
      <c r="AC520" s="36">
        <v>0</v>
      </c>
      <c r="AD520" s="94"/>
    </row>
    <row r="521" spans="1:30" s="108" customFormat="1" ht="30.6" customHeight="1" outlineLevel="1" x14ac:dyDescent="0.2">
      <c r="A521" s="114" t="s">
        <v>1572</v>
      </c>
      <c r="B521" s="127" t="s">
        <v>312</v>
      </c>
      <c r="C521" s="38">
        <f t="shared" si="148"/>
        <v>0</v>
      </c>
      <c r="D521" s="125">
        <f t="shared" si="139"/>
        <v>0</v>
      </c>
      <c r="E521" s="76">
        <v>0</v>
      </c>
      <c r="F521" s="126">
        <f t="shared" si="140"/>
        <v>0</v>
      </c>
      <c r="G521" s="125">
        <v>0</v>
      </c>
      <c r="H521" s="125">
        <v>0</v>
      </c>
      <c r="I521" s="125">
        <v>0</v>
      </c>
      <c r="J521" s="76">
        <v>0</v>
      </c>
      <c r="K521" s="126">
        <f t="shared" si="147"/>
        <v>0</v>
      </c>
      <c r="L521" s="125">
        <v>0</v>
      </c>
      <c r="M521" s="125">
        <v>0</v>
      </c>
      <c r="N521" s="125">
        <v>0</v>
      </c>
      <c r="O521" s="38">
        <v>0</v>
      </c>
      <c r="P521" s="125">
        <f t="shared" si="150"/>
        <v>0</v>
      </c>
      <c r="Q521" s="125">
        <v>0</v>
      </c>
      <c r="R521" s="125">
        <v>0</v>
      </c>
      <c r="S521" s="36">
        <v>0</v>
      </c>
      <c r="T521" s="38">
        <v>0</v>
      </c>
      <c r="U521" s="125">
        <v>0</v>
      </c>
      <c r="V521" s="125">
        <v>0</v>
      </c>
      <c r="W521" s="125">
        <v>0</v>
      </c>
      <c r="X521" s="125">
        <v>0</v>
      </c>
      <c r="Y521" s="38">
        <v>0</v>
      </c>
      <c r="Z521" s="125">
        <f t="shared" si="149"/>
        <v>0</v>
      </c>
      <c r="AA521" s="125">
        <v>0</v>
      </c>
      <c r="AB521" s="125">
        <v>0</v>
      </c>
      <c r="AC521" s="36">
        <v>0</v>
      </c>
      <c r="AD521" s="94"/>
    </row>
    <row r="522" spans="1:30" s="108" customFormat="1" ht="22.15" customHeight="1" outlineLevel="1" x14ac:dyDescent="0.2">
      <c r="A522" s="114" t="s">
        <v>1573</v>
      </c>
      <c r="B522" s="127" t="s">
        <v>313</v>
      </c>
      <c r="C522" s="38">
        <f t="shared" si="148"/>
        <v>0</v>
      </c>
      <c r="D522" s="125">
        <f t="shared" si="139"/>
        <v>0</v>
      </c>
      <c r="E522" s="76">
        <v>0</v>
      </c>
      <c r="F522" s="126">
        <f t="shared" si="140"/>
        <v>0</v>
      </c>
      <c r="G522" s="125">
        <v>0</v>
      </c>
      <c r="H522" s="125">
        <v>0</v>
      </c>
      <c r="I522" s="125">
        <v>0</v>
      </c>
      <c r="J522" s="76">
        <v>0</v>
      </c>
      <c r="K522" s="126">
        <f t="shared" si="147"/>
        <v>0</v>
      </c>
      <c r="L522" s="125">
        <v>0</v>
      </c>
      <c r="M522" s="125">
        <v>0</v>
      </c>
      <c r="N522" s="125">
        <v>0</v>
      </c>
      <c r="O522" s="38">
        <v>0</v>
      </c>
      <c r="P522" s="125">
        <f t="shared" si="150"/>
        <v>0</v>
      </c>
      <c r="Q522" s="125">
        <v>0</v>
      </c>
      <c r="R522" s="125">
        <v>0</v>
      </c>
      <c r="S522" s="36">
        <v>0</v>
      </c>
      <c r="T522" s="38">
        <v>0</v>
      </c>
      <c r="U522" s="125">
        <v>0</v>
      </c>
      <c r="V522" s="125">
        <v>0</v>
      </c>
      <c r="W522" s="125">
        <v>0</v>
      </c>
      <c r="X522" s="125">
        <v>0</v>
      </c>
      <c r="Y522" s="38">
        <v>0</v>
      </c>
      <c r="Z522" s="125">
        <f t="shared" si="149"/>
        <v>0</v>
      </c>
      <c r="AA522" s="125">
        <v>0</v>
      </c>
      <c r="AB522" s="125">
        <v>0</v>
      </c>
      <c r="AC522" s="36">
        <v>0</v>
      </c>
      <c r="AD522" s="94"/>
    </row>
    <row r="523" spans="1:30" s="108" customFormat="1" ht="22.15" customHeight="1" outlineLevel="1" x14ac:dyDescent="0.2">
      <c r="A523" s="114" t="s">
        <v>1574</v>
      </c>
      <c r="B523" s="127" t="s">
        <v>314</v>
      </c>
      <c r="C523" s="38">
        <f t="shared" si="148"/>
        <v>0</v>
      </c>
      <c r="D523" s="125">
        <f t="shared" si="139"/>
        <v>0</v>
      </c>
      <c r="E523" s="76">
        <v>0</v>
      </c>
      <c r="F523" s="126">
        <f t="shared" si="140"/>
        <v>0</v>
      </c>
      <c r="G523" s="125">
        <v>0</v>
      </c>
      <c r="H523" s="125">
        <v>0</v>
      </c>
      <c r="I523" s="125">
        <v>0</v>
      </c>
      <c r="J523" s="76">
        <v>0</v>
      </c>
      <c r="K523" s="126">
        <f t="shared" si="147"/>
        <v>0</v>
      </c>
      <c r="L523" s="125">
        <v>0</v>
      </c>
      <c r="M523" s="125">
        <v>0</v>
      </c>
      <c r="N523" s="125">
        <v>0</v>
      </c>
      <c r="O523" s="38">
        <v>0</v>
      </c>
      <c r="P523" s="125">
        <f t="shared" si="150"/>
        <v>0</v>
      </c>
      <c r="Q523" s="125">
        <v>0</v>
      </c>
      <c r="R523" s="125">
        <v>0</v>
      </c>
      <c r="S523" s="36">
        <v>0</v>
      </c>
      <c r="T523" s="38">
        <v>0</v>
      </c>
      <c r="U523" s="125">
        <v>0</v>
      </c>
      <c r="V523" s="125">
        <v>0</v>
      </c>
      <c r="W523" s="125">
        <v>0</v>
      </c>
      <c r="X523" s="125">
        <v>0</v>
      </c>
      <c r="Y523" s="38">
        <v>0</v>
      </c>
      <c r="Z523" s="125">
        <f t="shared" si="149"/>
        <v>0</v>
      </c>
      <c r="AA523" s="125">
        <v>0</v>
      </c>
      <c r="AB523" s="125">
        <v>0</v>
      </c>
      <c r="AC523" s="36">
        <v>0</v>
      </c>
      <c r="AD523" s="94"/>
    </row>
    <row r="524" spans="1:30" s="108" customFormat="1" ht="19.899999999999999" customHeight="1" outlineLevel="1" x14ac:dyDescent="0.2">
      <c r="A524" s="114" t="s">
        <v>1575</v>
      </c>
      <c r="B524" s="127" t="s">
        <v>315</v>
      </c>
      <c r="C524" s="38">
        <f t="shared" si="148"/>
        <v>0</v>
      </c>
      <c r="D524" s="125">
        <f t="shared" si="139"/>
        <v>0</v>
      </c>
      <c r="E524" s="76">
        <v>0</v>
      </c>
      <c r="F524" s="126">
        <f t="shared" si="140"/>
        <v>0</v>
      </c>
      <c r="G524" s="125">
        <v>0</v>
      </c>
      <c r="H524" s="125">
        <v>0</v>
      </c>
      <c r="I524" s="125">
        <v>0</v>
      </c>
      <c r="J524" s="76">
        <v>0</v>
      </c>
      <c r="K524" s="126">
        <f t="shared" si="147"/>
        <v>0</v>
      </c>
      <c r="L524" s="125">
        <v>0</v>
      </c>
      <c r="M524" s="125">
        <v>0</v>
      </c>
      <c r="N524" s="125">
        <v>0</v>
      </c>
      <c r="O524" s="38">
        <v>0</v>
      </c>
      <c r="P524" s="125">
        <f t="shared" si="150"/>
        <v>0</v>
      </c>
      <c r="Q524" s="125">
        <v>0</v>
      </c>
      <c r="R524" s="125">
        <v>0</v>
      </c>
      <c r="S524" s="36">
        <v>0</v>
      </c>
      <c r="T524" s="38">
        <v>0</v>
      </c>
      <c r="U524" s="125">
        <v>0</v>
      </c>
      <c r="V524" s="125">
        <v>0</v>
      </c>
      <c r="W524" s="125">
        <v>0</v>
      </c>
      <c r="X524" s="125">
        <v>0</v>
      </c>
      <c r="Y524" s="38">
        <v>0</v>
      </c>
      <c r="Z524" s="125">
        <f t="shared" si="149"/>
        <v>0</v>
      </c>
      <c r="AA524" s="125">
        <v>0</v>
      </c>
      <c r="AB524" s="125">
        <v>0</v>
      </c>
      <c r="AC524" s="36">
        <v>0</v>
      </c>
      <c r="AD524" s="94"/>
    </row>
    <row r="525" spans="1:30" s="108" customFormat="1" ht="25.15" customHeight="1" outlineLevel="1" x14ac:dyDescent="0.2">
      <c r="A525" s="114" t="s">
        <v>1576</v>
      </c>
      <c r="B525" s="127" t="s">
        <v>316</v>
      </c>
      <c r="C525" s="38">
        <f t="shared" si="148"/>
        <v>0</v>
      </c>
      <c r="D525" s="125">
        <f t="shared" si="139"/>
        <v>0</v>
      </c>
      <c r="E525" s="76">
        <v>0</v>
      </c>
      <c r="F525" s="126">
        <f t="shared" si="140"/>
        <v>0</v>
      </c>
      <c r="G525" s="125">
        <v>0</v>
      </c>
      <c r="H525" s="125">
        <v>0</v>
      </c>
      <c r="I525" s="125">
        <v>0</v>
      </c>
      <c r="J525" s="76">
        <v>0</v>
      </c>
      <c r="K525" s="126">
        <f t="shared" si="147"/>
        <v>0</v>
      </c>
      <c r="L525" s="125">
        <v>0</v>
      </c>
      <c r="M525" s="125">
        <v>0</v>
      </c>
      <c r="N525" s="125">
        <v>0</v>
      </c>
      <c r="O525" s="38">
        <v>0</v>
      </c>
      <c r="P525" s="125">
        <f t="shared" si="150"/>
        <v>0</v>
      </c>
      <c r="Q525" s="125">
        <v>0</v>
      </c>
      <c r="R525" s="125">
        <v>0</v>
      </c>
      <c r="S525" s="36">
        <v>0</v>
      </c>
      <c r="T525" s="38">
        <v>0</v>
      </c>
      <c r="U525" s="125">
        <v>0</v>
      </c>
      <c r="V525" s="125">
        <v>0</v>
      </c>
      <c r="W525" s="125">
        <v>0</v>
      </c>
      <c r="X525" s="125">
        <v>0</v>
      </c>
      <c r="Y525" s="38">
        <v>0</v>
      </c>
      <c r="Z525" s="125">
        <f t="shared" si="149"/>
        <v>0</v>
      </c>
      <c r="AA525" s="125">
        <v>0</v>
      </c>
      <c r="AB525" s="125">
        <v>0</v>
      </c>
      <c r="AC525" s="36">
        <v>0</v>
      </c>
      <c r="AD525" s="94"/>
    </row>
    <row r="526" spans="1:30" s="108" customFormat="1" ht="36" customHeight="1" outlineLevel="1" x14ac:dyDescent="0.2">
      <c r="A526" s="114" t="s">
        <v>1577</v>
      </c>
      <c r="B526" s="127" t="s">
        <v>317</v>
      </c>
      <c r="C526" s="38">
        <f t="shared" si="148"/>
        <v>0</v>
      </c>
      <c r="D526" s="125">
        <f t="shared" si="139"/>
        <v>0</v>
      </c>
      <c r="E526" s="76">
        <v>0</v>
      </c>
      <c r="F526" s="126">
        <f t="shared" si="140"/>
        <v>0</v>
      </c>
      <c r="G526" s="125">
        <v>0</v>
      </c>
      <c r="H526" s="125">
        <v>0</v>
      </c>
      <c r="I526" s="125">
        <v>0</v>
      </c>
      <c r="J526" s="76">
        <v>0</v>
      </c>
      <c r="K526" s="126">
        <f t="shared" si="147"/>
        <v>0</v>
      </c>
      <c r="L526" s="125">
        <v>0</v>
      </c>
      <c r="M526" s="125">
        <v>0</v>
      </c>
      <c r="N526" s="125">
        <v>0</v>
      </c>
      <c r="O526" s="38">
        <v>0</v>
      </c>
      <c r="P526" s="125">
        <f t="shared" si="150"/>
        <v>0</v>
      </c>
      <c r="Q526" s="125">
        <v>0</v>
      </c>
      <c r="R526" s="125">
        <v>0</v>
      </c>
      <c r="S526" s="36">
        <v>0</v>
      </c>
      <c r="T526" s="38">
        <v>0</v>
      </c>
      <c r="U526" s="125">
        <v>0</v>
      </c>
      <c r="V526" s="125">
        <v>0</v>
      </c>
      <c r="W526" s="125">
        <v>0</v>
      </c>
      <c r="X526" s="125">
        <v>0</v>
      </c>
      <c r="Y526" s="38">
        <v>0</v>
      </c>
      <c r="Z526" s="125">
        <f t="shared" si="149"/>
        <v>0</v>
      </c>
      <c r="AA526" s="125">
        <v>0</v>
      </c>
      <c r="AB526" s="125">
        <v>0</v>
      </c>
      <c r="AC526" s="36">
        <v>0</v>
      </c>
      <c r="AD526" s="94"/>
    </row>
    <row r="527" spans="1:30" s="108" customFormat="1" ht="27.75" customHeight="1" outlineLevel="1" x14ac:dyDescent="0.2">
      <c r="A527" s="114" t="s">
        <v>1578</v>
      </c>
      <c r="B527" s="127" t="s">
        <v>1680</v>
      </c>
      <c r="C527" s="38">
        <f>E527+J527+O527+T527+Y527</f>
        <v>5.6</v>
      </c>
      <c r="D527" s="125">
        <f t="shared" si="139"/>
        <v>2104</v>
      </c>
      <c r="E527" s="76">
        <v>0</v>
      </c>
      <c r="F527" s="126">
        <f t="shared" si="140"/>
        <v>0</v>
      </c>
      <c r="G527" s="125">
        <v>0</v>
      </c>
      <c r="H527" s="125">
        <v>0</v>
      </c>
      <c r="I527" s="125">
        <v>0</v>
      </c>
      <c r="J527" s="76">
        <v>2.8</v>
      </c>
      <c r="K527" s="126">
        <f t="shared" si="147"/>
        <v>1380</v>
      </c>
      <c r="L527" s="125">
        <v>0</v>
      </c>
      <c r="M527" s="125">
        <v>0</v>
      </c>
      <c r="N527" s="125">
        <v>1380</v>
      </c>
      <c r="O527" s="38">
        <v>2.8</v>
      </c>
      <c r="P527" s="125">
        <f t="shared" si="150"/>
        <v>724</v>
      </c>
      <c r="Q527" s="125">
        <v>0</v>
      </c>
      <c r="R527" s="125">
        <v>0</v>
      </c>
      <c r="S527" s="36">
        <v>724</v>
      </c>
      <c r="T527" s="38">
        <v>0</v>
      </c>
      <c r="U527" s="125">
        <v>0</v>
      </c>
      <c r="V527" s="125">
        <v>0</v>
      </c>
      <c r="W527" s="125">
        <v>0</v>
      </c>
      <c r="X527" s="36">
        <v>0</v>
      </c>
      <c r="Y527" s="38">
        <v>0</v>
      </c>
      <c r="Z527" s="125">
        <f>AA527+AB527+AC527</f>
        <v>0</v>
      </c>
      <c r="AA527" s="125">
        <v>0</v>
      </c>
      <c r="AB527" s="125">
        <v>0</v>
      </c>
      <c r="AC527" s="36">
        <v>0</v>
      </c>
      <c r="AD527" s="94"/>
    </row>
    <row r="528" spans="1:30" s="108" customFormat="1" ht="22.9" customHeight="1" outlineLevel="1" x14ac:dyDescent="0.2">
      <c r="A528" s="114" t="s">
        <v>1579</v>
      </c>
      <c r="B528" s="127" t="s">
        <v>318</v>
      </c>
      <c r="C528" s="38">
        <f t="shared" ref="C528:C533" si="151">E528+J528+O528+Y528+T528</f>
        <v>0</v>
      </c>
      <c r="D528" s="125">
        <f t="shared" si="139"/>
        <v>0</v>
      </c>
      <c r="E528" s="76">
        <v>0</v>
      </c>
      <c r="F528" s="126">
        <f t="shared" si="140"/>
        <v>0</v>
      </c>
      <c r="G528" s="125">
        <v>0</v>
      </c>
      <c r="H528" s="125">
        <v>0</v>
      </c>
      <c r="I528" s="125">
        <v>0</v>
      </c>
      <c r="J528" s="76">
        <v>0</v>
      </c>
      <c r="K528" s="126">
        <f t="shared" si="147"/>
        <v>0</v>
      </c>
      <c r="L528" s="125">
        <v>0</v>
      </c>
      <c r="M528" s="125">
        <v>0</v>
      </c>
      <c r="N528" s="125">
        <v>0</v>
      </c>
      <c r="O528" s="38">
        <v>0</v>
      </c>
      <c r="P528" s="125">
        <f t="shared" si="150"/>
        <v>0</v>
      </c>
      <c r="Q528" s="125">
        <v>0</v>
      </c>
      <c r="R528" s="125">
        <v>0</v>
      </c>
      <c r="S528" s="36">
        <v>0</v>
      </c>
      <c r="T528" s="38">
        <v>0</v>
      </c>
      <c r="U528" s="125">
        <v>0</v>
      </c>
      <c r="V528" s="125">
        <v>0</v>
      </c>
      <c r="W528" s="125">
        <v>0</v>
      </c>
      <c r="X528" s="125">
        <v>0</v>
      </c>
      <c r="Y528" s="38">
        <v>0</v>
      </c>
      <c r="Z528" s="125">
        <f t="shared" ref="Z528:Z541" si="152">AA528+AB528+AC528</f>
        <v>0</v>
      </c>
      <c r="AA528" s="125">
        <v>0</v>
      </c>
      <c r="AB528" s="125">
        <v>0</v>
      </c>
      <c r="AC528" s="36">
        <v>0</v>
      </c>
      <c r="AD528" s="94"/>
    </row>
    <row r="529" spans="1:30" s="108" customFormat="1" ht="24" customHeight="1" outlineLevel="1" x14ac:dyDescent="0.2">
      <c r="A529" s="114" t="s">
        <v>1580</v>
      </c>
      <c r="B529" s="127" t="s">
        <v>319</v>
      </c>
      <c r="C529" s="38">
        <f t="shared" si="151"/>
        <v>0</v>
      </c>
      <c r="D529" s="125">
        <f t="shared" si="139"/>
        <v>0</v>
      </c>
      <c r="E529" s="76">
        <v>0</v>
      </c>
      <c r="F529" s="126">
        <f t="shared" si="140"/>
        <v>0</v>
      </c>
      <c r="G529" s="125">
        <v>0</v>
      </c>
      <c r="H529" s="125">
        <v>0</v>
      </c>
      <c r="I529" s="125">
        <v>0</v>
      </c>
      <c r="J529" s="76">
        <v>0</v>
      </c>
      <c r="K529" s="126">
        <f t="shared" si="147"/>
        <v>0</v>
      </c>
      <c r="L529" s="125">
        <v>0</v>
      </c>
      <c r="M529" s="125">
        <v>0</v>
      </c>
      <c r="N529" s="125">
        <v>0</v>
      </c>
      <c r="O529" s="38">
        <v>0</v>
      </c>
      <c r="P529" s="125">
        <f t="shared" si="150"/>
        <v>0</v>
      </c>
      <c r="Q529" s="125">
        <v>0</v>
      </c>
      <c r="R529" s="125">
        <v>0</v>
      </c>
      <c r="S529" s="36">
        <v>0</v>
      </c>
      <c r="T529" s="38">
        <v>0</v>
      </c>
      <c r="U529" s="125">
        <v>0</v>
      </c>
      <c r="V529" s="125">
        <v>0</v>
      </c>
      <c r="W529" s="125">
        <v>0</v>
      </c>
      <c r="X529" s="125">
        <v>0</v>
      </c>
      <c r="Y529" s="38">
        <v>0</v>
      </c>
      <c r="Z529" s="125">
        <f t="shared" si="152"/>
        <v>0</v>
      </c>
      <c r="AA529" s="125">
        <v>0</v>
      </c>
      <c r="AB529" s="125">
        <v>0</v>
      </c>
      <c r="AC529" s="36">
        <v>0</v>
      </c>
      <c r="AD529" s="94"/>
    </row>
    <row r="530" spans="1:30" s="108" customFormat="1" ht="26.45" customHeight="1" outlineLevel="1" x14ac:dyDescent="0.2">
      <c r="A530" s="114" t="s">
        <v>1581</v>
      </c>
      <c r="B530" s="127" t="s">
        <v>320</v>
      </c>
      <c r="C530" s="38">
        <f t="shared" si="151"/>
        <v>0</v>
      </c>
      <c r="D530" s="125">
        <f t="shared" si="139"/>
        <v>0</v>
      </c>
      <c r="E530" s="76">
        <v>0</v>
      </c>
      <c r="F530" s="126">
        <f t="shared" si="140"/>
        <v>0</v>
      </c>
      <c r="G530" s="125">
        <v>0</v>
      </c>
      <c r="H530" s="125">
        <v>0</v>
      </c>
      <c r="I530" s="125">
        <v>0</v>
      </c>
      <c r="J530" s="76">
        <v>0</v>
      </c>
      <c r="K530" s="126">
        <f t="shared" si="147"/>
        <v>0</v>
      </c>
      <c r="L530" s="125">
        <v>0</v>
      </c>
      <c r="M530" s="125">
        <v>0</v>
      </c>
      <c r="N530" s="125">
        <v>0</v>
      </c>
      <c r="O530" s="38">
        <v>0</v>
      </c>
      <c r="P530" s="125">
        <f t="shared" si="150"/>
        <v>0</v>
      </c>
      <c r="Q530" s="125">
        <v>0</v>
      </c>
      <c r="R530" s="125">
        <v>0</v>
      </c>
      <c r="S530" s="36">
        <v>0</v>
      </c>
      <c r="T530" s="38">
        <v>0</v>
      </c>
      <c r="U530" s="125">
        <v>0</v>
      </c>
      <c r="V530" s="125">
        <v>0</v>
      </c>
      <c r="W530" s="125">
        <v>0</v>
      </c>
      <c r="X530" s="125">
        <v>0</v>
      </c>
      <c r="Y530" s="38">
        <v>0</v>
      </c>
      <c r="Z530" s="125">
        <f t="shared" si="152"/>
        <v>0</v>
      </c>
      <c r="AA530" s="125">
        <v>0</v>
      </c>
      <c r="AB530" s="125">
        <v>0</v>
      </c>
      <c r="AC530" s="36">
        <v>0</v>
      </c>
      <c r="AD530" s="94"/>
    </row>
    <row r="531" spans="1:30" s="108" customFormat="1" ht="28.9" customHeight="1" outlineLevel="1" x14ac:dyDescent="0.2">
      <c r="A531" s="114" t="s">
        <v>1582</v>
      </c>
      <c r="B531" s="127" t="s">
        <v>321</v>
      </c>
      <c r="C531" s="38">
        <f t="shared" si="151"/>
        <v>0</v>
      </c>
      <c r="D531" s="125">
        <f t="shared" si="139"/>
        <v>0</v>
      </c>
      <c r="E531" s="76">
        <v>0</v>
      </c>
      <c r="F531" s="126">
        <f t="shared" si="140"/>
        <v>0</v>
      </c>
      <c r="G531" s="125">
        <v>0</v>
      </c>
      <c r="H531" s="125">
        <v>0</v>
      </c>
      <c r="I531" s="125">
        <v>0</v>
      </c>
      <c r="J531" s="76">
        <v>0</v>
      </c>
      <c r="K531" s="126">
        <f t="shared" si="147"/>
        <v>0</v>
      </c>
      <c r="L531" s="125">
        <v>0</v>
      </c>
      <c r="M531" s="125">
        <v>0</v>
      </c>
      <c r="N531" s="125">
        <v>0</v>
      </c>
      <c r="O531" s="38">
        <v>0</v>
      </c>
      <c r="P531" s="125">
        <f t="shared" si="150"/>
        <v>0</v>
      </c>
      <c r="Q531" s="125">
        <v>0</v>
      </c>
      <c r="R531" s="125">
        <v>0</v>
      </c>
      <c r="S531" s="36">
        <v>0</v>
      </c>
      <c r="T531" s="38">
        <v>0</v>
      </c>
      <c r="U531" s="125">
        <v>0</v>
      </c>
      <c r="V531" s="125">
        <v>0</v>
      </c>
      <c r="W531" s="125">
        <v>0</v>
      </c>
      <c r="X531" s="125">
        <v>0</v>
      </c>
      <c r="Y531" s="38">
        <v>0</v>
      </c>
      <c r="Z531" s="125">
        <f t="shared" si="152"/>
        <v>0</v>
      </c>
      <c r="AA531" s="125">
        <v>0</v>
      </c>
      <c r="AB531" s="125">
        <v>0</v>
      </c>
      <c r="AC531" s="36">
        <v>0</v>
      </c>
      <c r="AD531" s="94"/>
    </row>
    <row r="532" spans="1:30" s="108" customFormat="1" ht="28.9" customHeight="1" outlineLevel="1" x14ac:dyDescent="0.2">
      <c r="A532" s="114" t="s">
        <v>1583</v>
      </c>
      <c r="B532" s="127" t="s">
        <v>324</v>
      </c>
      <c r="C532" s="38">
        <f t="shared" si="151"/>
        <v>0</v>
      </c>
      <c r="D532" s="125">
        <f t="shared" si="139"/>
        <v>0</v>
      </c>
      <c r="E532" s="76">
        <v>0</v>
      </c>
      <c r="F532" s="126">
        <f t="shared" si="140"/>
        <v>0</v>
      </c>
      <c r="G532" s="125">
        <v>0</v>
      </c>
      <c r="H532" s="125">
        <v>0</v>
      </c>
      <c r="I532" s="125">
        <v>0</v>
      </c>
      <c r="J532" s="76">
        <v>0</v>
      </c>
      <c r="K532" s="126">
        <f t="shared" si="147"/>
        <v>0</v>
      </c>
      <c r="L532" s="125">
        <v>0</v>
      </c>
      <c r="M532" s="125">
        <v>0</v>
      </c>
      <c r="N532" s="125">
        <v>0</v>
      </c>
      <c r="O532" s="38">
        <v>0</v>
      </c>
      <c r="P532" s="125">
        <f t="shared" si="150"/>
        <v>0</v>
      </c>
      <c r="Q532" s="125">
        <v>0</v>
      </c>
      <c r="R532" s="125">
        <v>0</v>
      </c>
      <c r="S532" s="36">
        <v>0</v>
      </c>
      <c r="T532" s="38">
        <v>0</v>
      </c>
      <c r="U532" s="125">
        <v>0</v>
      </c>
      <c r="V532" s="125">
        <v>0</v>
      </c>
      <c r="W532" s="125">
        <v>0</v>
      </c>
      <c r="X532" s="125">
        <v>0</v>
      </c>
      <c r="Y532" s="38">
        <v>0</v>
      </c>
      <c r="Z532" s="125">
        <f t="shared" si="152"/>
        <v>0</v>
      </c>
      <c r="AA532" s="125">
        <v>0</v>
      </c>
      <c r="AB532" s="125">
        <v>0</v>
      </c>
      <c r="AC532" s="36">
        <v>0</v>
      </c>
      <c r="AD532" s="94"/>
    </row>
    <row r="533" spans="1:30" s="108" customFormat="1" ht="28.15" customHeight="1" outlineLevel="1" x14ac:dyDescent="0.2">
      <c r="A533" s="114" t="s">
        <v>1584</v>
      </c>
      <c r="B533" s="127" t="s">
        <v>325</v>
      </c>
      <c r="C533" s="38">
        <f t="shared" si="151"/>
        <v>0</v>
      </c>
      <c r="D533" s="125">
        <f t="shared" si="139"/>
        <v>0</v>
      </c>
      <c r="E533" s="76">
        <v>0</v>
      </c>
      <c r="F533" s="126">
        <f t="shared" si="140"/>
        <v>0</v>
      </c>
      <c r="G533" s="125">
        <v>0</v>
      </c>
      <c r="H533" s="125">
        <v>0</v>
      </c>
      <c r="I533" s="125">
        <v>0</v>
      </c>
      <c r="J533" s="76">
        <v>0</v>
      </c>
      <c r="K533" s="126">
        <f t="shared" si="147"/>
        <v>0</v>
      </c>
      <c r="L533" s="125">
        <v>0</v>
      </c>
      <c r="M533" s="125">
        <v>0</v>
      </c>
      <c r="N533" s="125">
        <v>0</v>
      </c>
      <c r="O533" s="38">
        <v>0</v>
      </c>
      <c r="P533" s="125">
        <f t="shared" si="150"/>
        <v>0</v>
      </c>
      <c r="Q533" s="125">
        <v>0</v>
      </c>
      <c r="R533" s="125">
        <v>0</v>
      </c>
      <c r="S533" s="36">
        <v>0</v>
      </c>
      <c r="T533" s="38">
        <v>0</v>
      </c>
      <c r="U533" s="125">
        <v>0</v>
      </c>
      <c r="V533" s="125">
        <v>0</v>
      </c>
      <c r="W533" s="125">
        <v>0</v>
      </c>
      <c r="X533" s="125">
        <v>0</v>
      </c>
      <c r="Y533" s="38">
        <v>0</v>
      </c>
      <c r="Z533" s="125">
        <f t="shared" si="152"/>
        <v>0</v>
      </c>
      <c r="AA533" s="125">
        <v>0</v>
      </c>
      <c r="AB533" s="125">
        <v>0</v>
      </c>
      <c r="AC533" s="36">
        <v>0</v>
      </c>
      <c r="AD533" s="94"/>
    </row>
    <row r="534" spans="1:30" s="108" customFormat="1" ht="34.15" customHeight="1" outlineLevel="1" x14ac:dyDescent="0.2">
      <c r="A534" s="128"/>
      <c r="B534" s="129" t="s">
        <v>352</v>
      </c>
      <c r="C534" s="128">
        <f>SUM(C535:C553)</f>
        <v>0</v>
      </c>
      <c r="D534" s="130">
        <f>SUM(D535:D553)</f>
        <v>0</v>
      </c>
      <c r="E534" s="128">
        <f t="shared" ref="E534:S534" si="153">SUM(E535:E553)</f>
        <v>0</v>
      </c>
      <c r="F534" s="130">
        <f t="shared" si="153"/>
        <v>0</v>
      </c>
      <c r="G534" s="130">
        <f t="shared" si="153"/>
        <v>0</v>
      </c>
      <c r="H534" s="130">
        <f t="shared" si="153"/>
        <v>0</v>
      </c>
      <c r="I534" s="130">
        <f t="shared" si="153"/>
        <v>0</v>
      </c>
      <c r="J534" s="128">
        <f t="shared" si="153"/>
        <v>0</v>
      </c>
      <c r="K534" s="130">
        <f>SUM(L534:N534)</f>
        <v>0</v>
      </c>
      <c r="L534" s="130">
        <f t="shared" si="153"/>
        <v>0</v>
      </c>
      <c r="M534" s="130">
        <f t="shared" si="153"/>
        <v>0</v>
      </c>
      <c r="N534" s="130">
        <f t="shared" si="153"/>
        <v>0</v>
      </c>
      <c r="O534" s="128">
        <f t="shared" si="153"/>
        <v>0</v>
      </c>
      <c r="P534" s="123">
        <f t="shared" si="150"/>
        <v>0</v>
      </c>
      <c r="Q534" s="130">
        <f t="shared" si="153"/>
        <v>0</v>
      </c>
      <c r="R534" s="130">
        <f t="shared" si="153"/>
        <v>0</v>
      </c>
      <c r="S534" s="130">
        <f t="shared" si="153"/>
        <v>0</v>
      </c>
      <c r="T534" s="122">
        <v>0</v>
      </c>
      <c r="U534" s="123">
        <v>0</v>
      </c>
      <c r="V534" s="123">
        <v>0</v>
      </c>
      <c r="W534" s="123">
        <v>0</v>
      </c>
      <c r="X534" s="123">
        <v>0</v>
      </c>
      <c r="Y534" s="128">
        <f>SUM(T535:T553)</f>
        <v>0</v>
      </c>
      <c r="Z534" s="123">
        <f>AA534+AB534+AC534</f>
        <v>0</v>
      </c>
      <c r="AA534" s="130">
        <f>SUM(V535:V553)</f>
        <v>0</v>
      </c>
      <c r="AB534" s="130">
        <f>SUM(W535:W553)</f>
        <v>0</v>
      </c>
      <c r="AC534" s="130">
        <f>SUM(AC535:AC553)</f>
        <v>0</v>
      </c>
      <c r="AD534" s="94"/>
    </row>
    <row r="535" spans="1:30" s="108" customFormat="1" ht="25.9" customHeight="1" outlineLevel="1" x14ac:dyDescent="0.2">
      <c r="A535" s="114" t="s">
        <v>1585</v>
      </c>
      <c r="B535" s="127" t="s">
        <v>326</v>
      </c>
      <c r="C535" s="38">
        <f>E535+J535+O535+Y535+T535</f>
        <v>0</v>
      </c>
      <c r="D535" s="125">
        <f t="shared" si="139"/>
        <v>0</v>
      </c>
      <c r="E535" s="76">
        <v>0</v>
      </c>
      <c r="F535" s="126">
        <f t="shared" si="140"/>
        <v>0</v>
      </c>
      <c r="G535" s="125">
        <v>0</v>
      </c>
      <c r="H535" s="125">
        <v>0</v>
      </c>
      <c r="I535" s="125">
        <v>0</v>
      </c>
      <c r="J535" s="76">
        <v>0</v>
      </c>
      <c r="K535" s="126">
        <f t="shared" ref="K535:K552" si="154">L535+M535+N535</f>
        <v>0</v>
      </c>
      <c r="L535" s="125">
        <v>0</v>
      </c>
      <c r="M535" s="125">
        <v>0</v>
      </c>
      <c r="N535" s="125">
        <v>0</v>
      </c>
      <c r="O535" s="38">
        <v>0</v>
      </c>
      <c r="P535" s="125">
        <f t="shared" si="150"/>
        <v>0</v>
      </c>
      <c r="Q535" s="125">
        <v>0</v>
      </c>
      <c r="R535" s="125">
        <v>0</v>
      </c>
      <c r="S535" s="36">
        <v>0</v>
      </c>
      <c r="T535" s="38">
        <v>0</v>
      </c>
      <c r="U535" s="125">
        <v>0</v>
      </c>
      <c r="V535" s="125">
        <v>0</v>
      </c>
      <c r="W535" s="125">
        <v>0</v>
      </c>
      <c r="X535" s="125">
        <v>0</v>
      </c>
      <c r="Y535" s="38">
        <v>0</v>
      </c>
      <c r="Z535" s="125">
        <f t="shared" si="152"/>
        <v>0</v>
      </c>
      <c r="AA535" s="125">
        <v>0</v>
      </c>
      <c r="AB535" s="125">
        <v>0</v>
      </c>
      <c r="AC535" s="36">
        <v>0</v>
      </c>
      <c r="AD535" s="94"/>
    </row>
    <row r="536" spans="1:30" s="108" customFormat="1" ht="25.15" customHeight="1" outlineLevel="1" x14ac:dyDescent="0.2">
      <c r="A536" s="114" t="s">
        <v>1586</v>
      </c>
      <c r="B536" s="127" t="s">
        <v>327</v>
      </c>
      <c r="C536" s="38">
        <f t="shared" ref="C536:D553" si="155">E536+J536+O536+Y536+T536</f>
        <v>0</v>
      </c>
      <c r="D536" s="125">
        <f t="shared" si="139"/>
        <v>0</v>
      </c>
      <c r="E536" s="76">
        <v>0</v>
      </c>
      <c r="F536" s="126">
        <f t="shared" si="140"/>
        <v>0</v>
      </c>
      <c r="G536" s="125">
        <v>0</v>
      </c>
      <c r="H536" s="125">
        <v>0</v>
      </c>
      <c r="I536" s="125">
        <v>0</v>
      </c>
      <c r="J536" s="76">
        <v>0</v>
      </c>
      <c r="K536" s="126">
        <f t="shared" si="154"/>
        <v>0</v>
      </c>
      <c r="L536" s="125">
        <v>0</v>
      </c>
      <c r="M536" s="125">
        <v>0</v>
      </c>
      <c r="N536" s="125">
        <v>0</v>
      </c>
      <c r="O536" s="38">
        <v>0</v>
      </c>
      <c r="P536" s="125">
        <f t="shared" si="150"/>
        <v>0</v>
      </c>
      <c r="Q536" s="125">
        <v>0</v>
      </c>
      <c r="R536" s="125">
        <v>0</v>
      </c>
      <c r="S536" s="36">
        <v>0</v>
      </c>
      <c r="T536" s="38">
        <v>0</v>
      </c>
      <c r="U536" s="125">
        <v>0</v>
      </c>
      <c r="V536" s="125">
        <v>0</v>
      </c>
      <c r="W536" s="125">
        <v>0</v>
      </c>
      <c r="X536" s="125">
        <v>0</v>
      </c>
      <c r="Y536" s="38">
        <v>0</v>
      </c>
      <c r="Z536" s="125">
        <f t="shared" si="152"/>
        <v>0</v>
      </c>
      <c r="AA536" s="125">
        <v>0</v>
      </c>
      <c r="AB536" s="125">
        <v>0</v>
      </c>
      <c r="AC536" s="36">
        <v>0</v>
      </c>
      <c r="AD536" s="94"/>
    </row>
    <row r="537" spans="1:30" s="108" customFormat="1" ht="25.9" customHeight="1" outlineLevel="1" x14ac:dyDescent="0.2">
      <c r="A537" s="114" t="s">
        <v>1587</v>
      </c>
      <c r="B537" s="127" t="s">
        <v>328</v>
      </c>
      <c r="C537" s="38">
        <f t="shared" si="155"/>
        <v>0</v>
      </c>
      <c r="D537" s="125">
        <f t="shared" si="155"/>
        <v>0</v>
      </c>
      <c r="E537" s="76">
        <v>0</v>
      </c>
      <c r="F537" s="126">
        <f t="shared" ref="F537:F553" si="156">G537+H537+I537</f>
        <v>0</v>
      </c>
      <c r="G537" s="125">
        <v>0</v>
      </c>
      <c r="H537" s="125">
        <v>0</v>
      </c>
      <c r="I537" s="125">
        <v>0</v>
      </c>
      <c r="J537" s="76">
        <v>0</v>
      </c>
      <c r="K537" s="126">
        <f t="shared" si="154"/>
        <v>0</v>
      </c>
      <c r="L537" s="125">
        <v>0</v>
      </c>
      <c r="M537" s="125">
        <v>0</v>
      </c>
      <c r="N537" s="125">
        <v>0</v>
      </c>
      <c r="O537" s="38">
        <v>0</v>
      </c>
      <c r="P537" s="125">
        <f t="shared" si="150"/>
        <v>0</v>
      </c>
      <c r="Q537" s="125">
        <v>0</v>
      </c>
      <c r="R537" s="125">
        <v>0</v>
      </c>
      <c r="S537" s="36">
        <v>0</v>
      </c>
      <c r="T537" s="38">
        <v>0</v>
      </c>
      <c r="U537" s="125">
        <v>0</v>
      </c>
      <c r="V537" s="125">
        <v>0</v>
      </c>
      <c r="W537" s="125">
        <v>0</v>
      </c>
      <c r="X537" s="125">
        <v>0</v>
      </c>
      <c r="Y537" s="38">
        <v>0</v>
      </c>
      <c r="Z537" s="125">
        <f t="shared" si="152"/>
        <v>0</v>
      </c>
      <c r="AA537" s="125">
        <v>0</v>
      </c>
      <c r="AB537" s="125">
        <v>0</v>
      </c>
      <c r="AC537" s="36">
        <v>0</v>
      </c>
      <c r="AD537" s="94"/>
    </row>
    <row r="538" spans="1:30" s="108" customFormat="1" ht="25.15" customHeight="1" outlineLevel="1" x14ac:dyDescent="0.2">
      <c r="A538" s="114" t="s">
        <v>1588</v>
      </c>
      <c r="B538" s="127" t="s">
        <v>329</v>
      </c>
      <c r="C538" s="38">
        <f t="shared" si="155"/>
        <v>0</v>
      </c>
      <c r="D538" s="125">
        <f t="shared" si="155"/>
        <v>0</v>
      </c>
      <c r="E538" s="76">
        <v>0</v>
      </c>
      <c r="F538" s="126">
        <f t="shared" si="156"/>
        <v>0</v>
      </c>
      <c r="G538" s="125">
        <v>0</v>
      </c>
      <c r="H538" s="125">
        <v>0</v>
      </c>
      <c r="I538" s="125">
        <v>0</v>
      </c>
      <c r="J538" s="76">
        <v>0</v>
      </c>
      <c r="K538" s="126">
        <f t="shared" si="154"/>
        <v>0</v>
      </c>
      <c r="L538" s="125">
        <v>0</v>
      </c>
      <c r="M538" s="125">
        <v>0</v>
      </c>
      <c r="N538" s="125">
        <v>0</v>
      </c>
      <c r="O538" s="38">
        <v>0</v>
      </c>
      <c r="P538" s="125">
        <f t="shared" si="150"/>
        <v>0</v>
      </c>
      <c r="Q538" s="125">
        <v>0</v>
      </c>
      <c r="R538" s="125">
        <v>0</v>
      </c>
      <c r="S538" s="36">
        <v>0</v>
      </c>
      <c r="T538" s="38">
        <v>0</v>
      </c>
      <c r="U538" s="125">
        <v>0</v>
      </c>
      <c r="V538" s="125">
        <v>0</v>
      </c>
      <c r="W538" s="125">
        <v>0</v>
      </c>
      <c r="X538" s="125">
        <v>0</v>
      </c>
      <c r="Y538" s="38">
        <v>0</v>
      </c>
      <c r="Z538" s="125">
        <f t="shared" si="152"/>
        <v>0</v>
      </c>
      <c r="AA538" s="125">
        <v>0</v>
      </c>
      <c r="AB538" s="125">
        <v>0</v>
      </c>
      <c r="AC538" s="36">
        <v>0</v>
      </c>
      <c r="AD538" s="94"/>
    </row>
    <row r="539" spans="1:30" s="108" customFormat="1" ht="23.45" customHeight="1" outlineLevel="1" x14ac:dyDescent="0.2">
      <c r="A539" s="114" t="s">
        <v>1589</v>
      </c>
      <c r="B539" s="127" t="s">
        <v>330</v>
      </c>
      <c r="C539" s="38">
        <f t="shared" si="155"/>
        <v>0</v>
      </c>
      <c r="D539" s="125">
        <f t="shared" si="155"/>
        <v>0</v>
      </c>
      <c r="E539" s="76">
        <v>0</v>
      </c>
      <c r="F539" s="126">
        <f t="shared" si="156"/>
        <v>0</v>
      </c>
      <c r="G539" s="125">
        <v>0</v>
      </c>
      <c r="H539" s="125">
        <v>0</v>
      </c>
      <c r="I539" s="125">
        <v>0</v>
      </c>
      <c r="J539" s="76">
        <v>0</v>
      </c>
      <c r="K539" s="126">
        <f t="shared" si="154"/>
        <v>0</v>
      </c>
      <c r="L539" s="125">
        <v>0</v>
      </c>
      <c r="M539" s="125">
        <v>0</v>
      </c>
      <c r="N539" s="125">
        <v>0</v>
      </c>
      <c r="O539" s="38">
        <v>0</v>
      </c>
      <c r="P539" s="125">
        <f t="shared" si="150"/>
        <v>0</v>
      </c>
      <c r="Q539" s="125">
        <v>0</v>
      </c>
      <c r="R539" s="125">
        <v>0</v>
      </c>
      <c r="S539" s="36">
        <v>0</v>
      </c>
      <c r="T539" s="38">
        <v>0</v>
      </c>
      <c r="U539" s="125">
        <v>0</v>
      </c>
      <c r="V539" s="125">
        <v>0</v>
      </c>
      <c r="W539" s="125">
        <v>0</v>
      </c>
      <c r="X539" s="125">
        <v>0</v>
      </c>
      <c r="Y539" s="38">
        <v>0</v>
      </c>
      <c r="Z539" s="125">
        <f t="shared" si="152"/>
        <v>0</v>
      </c>
      <c r="AA539" s="125">
        <v>0</v>
      </c>
      <c r="AB539" s="125">
        <v>0</v>
      </c>
      <c r="AC539" s="36">
        <v>0</v>
      </c>
      <c r="AD539" s="94"/>
    </row>
    <row r="540" spans="1:30" s="108" customFormat="1" ht="24" customHeight="1" outlineLevel="1" x14ac:dyDescent="0.2">
      <c r="A540" s="114" t="s">
        <v>1590</v>
      </c>
      <c r="B540" s="127" t="s">
        <v>331</v>
      </c>
      <c r="C540" s="38">
        <f t="shared" si="155"/>
        <v>0</v>
      </c>
      <c r="D540" s="125">
        <f t="shared" si="155"/>
        <v>0</v>
      </c>
      <c r="E540" s="76">
        <v>0</v>
      </c>
      <c r="F540" s="126">
        <f t="shared" si="156"/>
        <v>0</v>
      </c>
      <c r="G540" s="125">
        <v>0</v>
      </c>
      <c r="H540" s="125">
        <v>0</v>
      </c>
      <c r="I540" s="125">
        <v>0</v>
      </c>
      <c r="J540" s="76">
        <v>0</v>
      </c>
      <c r="K540" s="126">
        <f t="shared" si="154"/>
        <v>0</v>
      </c>
      <c r="L540" s="125">
        <v>0</v>
      </c>
      <c r="M540" s="125">
        <v>0</v>
      </c>
      <c r="N540" s="125">
        <v>0</v>
      </c>
      <c r="O540" s="38">
        <v>0</v>
      </c>
      <c r="P540" s="125">
        <f t="shared" si="150"/>
        <v>0</v>
      </c>
      <c r="Q540" s="125">
        <v>0</v>
      </c>
      <c r="R540" s="125">
        <v>0</v>
      </c>
      <c r="S540" s="36">
        <v>0</v>
      </c>
      <c r="T540" s="38">
        <v>0</v>
      </c>
      <c r="U540" s="125">
        <v>0</v>
      </c>
      <c r="V540" s="125">
        <v>0</v>
      </c>
      <c r="W540" s="125">
        <v>0</v>
      </c>
      <c r="X540" s="125">
        <v>0</v>
      </c>
      <c r="Y540" s="38">
        <v>0</v>
      </c>
      <c r="Z540" s="125">
        <f t="shared" si="152"/>
        <v>0</v>
      </c>
      <c r="AA540" s="125">
        <v>0</v>
      </c>
      <c r="AB540" s="125">
        <v>0</v>
      </c>
      <c r="AC540" s="36">
        <v>0</v>
      </c>
      <c r="AD540" s="94"/>
    </row>
    <row r="541" spans="1:30" s="108" customFormat="1" ht="26.45" customHeight="1" outlineLevel="1" x14ac:dyDescent="0.2">
      <c r="A541" s="114" t="s">
        <v>1591</v>
      </c>
      <c r="B541" s="127" t="s">
        <v>332</v>
      </c>
      <c r="C541" s="38">
        <f t="shared" si="155"/>
        <v>0</v>
      </c>
      <c r="D541" s="125">
        <f t="shared" si="155"/>
        <v>0</v>
      </c>
      <c r="E541" s="76">
        <v>0</v>
      </c>
      <c r="F541" s="126">
        <f t="shared" si="156"/>
        <v>0</v>
      </c>
      <c r="G541" s="125">
        <v>0</v>
      </c>
      <c r="H541" s="125">
        <v>0</v>
      </c>
      <c r="I541" s="125">
        <v>0</v>
      </c>
      <c r="J541" s="76">
        <v>0</v>
      </c>
      <c r="K541" s="126">
        <f t="shared" si="154"/>
        <v>0</v>
      </c>
      <c r="L541" s="125">
        <v>0</v>
      </c>
      <c r="M541" s="125">
        <v>0</v>
      </c>
      <c r="N541" s="125">
        <v>0</v>
      </c>
      <c r="O541" s="38">
        <v>0</v>
      </c>
      <c r="P541" s="125">
        <f t="shared" si="150"/>
        <v>0</v>
      </c>
      <c r="Q541" s="125">
        <v>0</v>
      </c>
      <c r="R541" s="125">
        <v>0</v>
      </c>
      <c r="S541" s="36">
        <v>0</v>
      </c>
      <c r="T541" s="38">
        <v>0</v>
      </c>
      <c r="U541" s="125">
        <v>0</v>
      </c>
      <c r="V541" s="125">
        <v>0</v>
      </c>
      <c r="W541" s="125">
        <v>0</v>
      </c>
      <c r="X541" s="125">
        <v>0</v>
      </c>
      <c r="Y541" s="38">
        <v>0</v>
      </c>
      <c r="Z541" s="125">
        <f t="shared" si="152"/>
        <v>0</v>
      </c>
      <c r="AA541" s="125">
        <v>0</v>
      </c>
      <c r="AB541" s="125">
        <v>0</v>
      </c>
      <c r="AC541" s="36">
        <v>0</v>
      </c>
      <c r="AD541" s="94"/>
    </row>
    <row r="542" spans="1:30" s="108" customFormat="1" ht="45" customHeight="1" outlineLevel="1" x14ac:dyDescent="0.2">
      <c r="A542" s="114" t="s">
        <v>1592</v>
      </c>
      <c r="B542" s="127" t="s">
        <v>274</v>
      </c>
      <c r="C542" s="38">
        <f t="shared" si="155"/>
        <v>0</v>
      </c>
      <c r="D542" s="125">
        <f t="shared" si="155"/>
        <v>0</v>
      </c>
      <c r="E542" s="76">
        <v>0</v>
      </c>
      <c r="F542" s="126">
        <f t="shared" si="156"/>
        <v>0</v>
      </c>
      <c r="G542" s="125">
        <v>0</v>
      </c>
      <c r="H542" s="125">
        <v>0</v>
      </c>
      <c r="I542" s="125">
        <v>0</v>
      </c>
      <c r="J542" s="76">
        <v>0</v>
      </c>
      <c r="K542" s="126">
        <f t="shared" si="154"/>
        <v>0</v>
      </c>
      <c r="L542" s="125">
        <v>0</v>
      </c>
      <c r="M542" s="125">
        <v>0</v>
      </c>
      <c r="N542" s="125">
        <v>0</v>
      </c>
      <c r="O542" s="38">
        <v>0</v>
      </c>
      <c r="P542" s="125">
        <f t="shared" si="150"/>
        <v>0</v>
      </c>
      <c r="Q542" s="125">
        <v>0</v>
      </c>
      <c r="R542" s="125">
        <v>0</v>
      </c>
      <c r="S542" s="36">
        <v>0</v>
      </c>
      <c r="T542" s="38">
        <v>0</v>
      </c>
      <c r="U542" s="125">
        <v>0</v>
      </c>
      <c r="V542" s="125">
        <v>0</v>
      </c>
      <c r="W542" s="125">
        <v>0</v>
      </c>
      <c r="X542" s="36">
        <v>0</v>
      </c>
      <c r="Y542" s="38">
        <v>0</v>
      </c>
      <c r="Z542" s="125">
        <f t="shared" ref="Z542:Z555" si="157">AA542+AB542+AC542</f>
        <v>0</v>
      </c>
      <c r="AA542" s="125">
        <v>0</v>
      </c>
      <c r="AB542" s="125">
        <v>0</v>
      </c>
      <c r="AC542" s="36">
        <v>0</v>
      </c>
      <c r="AD542" s="94"/>
    </row>
    <row r="543" spans="1:30" s="108" customFormat="1" ht="24.6" customHeight="1" outlineLevel="1" x14ac:dyDescent="0.2">
      <c r="A543" s="114" t="s">
        <v>1593</v>
      </c>
      <c r="B543" s="127" t="s">
        <v>306</v>
      </c>
      <c r="C543" s="38">
        <f t="shared" si="155"/>
        <v>0</v>
      </c>
      <c r="D543" s="125">
        <f t="shared" si="155"/>
        <v>0</v>
      </c>
      <c r="E543" s="76">
        <v>0</v>
      </c>
      <c r="F543" s="126">
        <f t="shared" si="156"/>
        <v>0</v>
      </c>
      <c r="G543" s="125">
        <v>0</v>
      </c>
      <c r="H543" s="125">
        <v>0</v>
      </c>
      <c r="I543" s="125">
        <v>0</v>
      </c>
      <c r="J543" s="76">
        <v>0</v>
      </c>
      <c r="K543" s="126">
        <f t="shared" si="154"/>
        <v>0</v>
      </c>
      <c r="L543" s="125">
        <v>0</v>
      </c>
      <c r="M543" s="125">
        <v>0</v>
      </c>
      <c r="N543" s="125">
        <v>0</v>
      </c>
      <c r="O543" s="38">
        <v>0</v>
      </c>
      <c r="P543" s="125">
        <f t="shared" si="150"/>
        <v>0</v>
      </c>
      <c r="Q543" s="125">
        <v>0</v>
      </c>
      <c r="R543" s="125">
        <v>0</v>
      </c>
      <c r="S543" s="36">
        <v>0</v>
      </c>
      <c r="T543" s="38">
        <v>0</v>
      </c>
      <c r="U543" s="125">
        <v>0</v>
      </c>
      <c r="V543" s="125">
        <v>0</v>
      </c>
      <c r="W543" s="125">
        <v>0</v>
      </c>
      <c r="X543" s="36">
        <v>0</v>
      </c>
      <c r="Y543" s="38">
        <v>0</v>
      </c>
      <c r="Z543" s="125">
        <f t="shared" si="157"/>
        <v>0</v>
      </c>
      <c r="AA543" s="125">
        <v>0</v>
      </c>
      <c r="AB543" s="125">
        <v>0</v>
      </c>
      <c r="AC543" s="36">
        <v>0</v>
      </c>
      <c r="AD543" s="94"/>
    </row>
    <row r="544" spans="1:30" s="108" customFormat="1" ht="25.5" customHeight="1" outlineLevel="1" x14ac:dyDescent="0.2">
      <c r="A544" s="114" t="s">
        <v>1594</v>
      </c>
      <c r="B544" s="127" t="s">
        <v>300</v>
      </c>
      <c r="C544" s="38">
        <f t="shared" si="155"/>
        <v>0</v>
      </c>
      <c r="D544" s="125">
        <f t="shared" si="155"/>
        <v>0</v>
      </c>
      <c r="E544" s="76">
        <v>0</v>
      </c>
      <c r="F544" s="126">
        <f t="shared" si="156"/>
        <v>0</v>
      </c>
      <c r="G544" s="125">
        <v>0</v>
      </c>
      <c r="H544" s="125">
        <v>0</v>
      </c>
      <c r="I544" s="125">
        <v>0</v>
      </c>
      <c r="J544" s="76">
        <v>0</v>
      </c>
      <c r="K544" s="126">
        <f t="shared" si="154"/>
        <v>0</v>
      </c>
      <c r="L544" s="125">
        <v>0</v>
      </c>
      <c r="M544" s="125">
        <v>0</v>
      </c>
      <c r="N544" s="125">
        <v>0</v>
      </c>
      <c r="O544" s="38">
        <v>0</v>
      </c>
      <c r="P544" s="125">
        <f t="shared" si="150"/>
        <v>0</v>
      </c>
      <c r="Q544" s="125">
        <v>0</v>
      </c>
      <c r="R544" s="125">
        <v>0</v>
      </c>
      <c r="S544" s="36">
        <v>0</v>
      </c>
      <c r="T544" s="38">
        <v>0</v>
      </c>
      <c r="U544" s="125">
        <v>0</v>
      </c>
      <c r="V544" s="125">
        <v>0</v>
      </c>
      <c r="W544" s="125">
        <v>0</v>
      </c>
      <c r="X544" s="36">
        <v>0</v>
      </c>
      <c r="Y544" s="38">
        <v>0</v>
      </c>
      <c r="Z544" s="125">
        <f t="shared" si="157"/>
        <v>0</v>
      </c>
      <c r="AA544" s="125">
        <v>0</v>
      </c>
      <c r="AB544" s="125">
        <v>0</v>
      </c>
      <c r="AC544" s="36">
        <v>0</v>
      </c>
      <c r="AD544" s="94"/>
    </row>
    <row r="545" spans="1:30" s="108" customFormat="1" ht="27" customHeight="1" outlineLevel="1" x14ac:dyDescent="0.2">
      <c r="A545" s="114" t="s">
        <v>1595</v>
      </c>
      <c r="B545" s="127" t="s">
        <v>301</v>
      </c>
      <c r="C545" s="38">
        <f t="shared" si="155"/>
        <v>0</v>
      </c>
      <c r="D545" s="125">
        <f t="shared" si="155"/>
        <v>0</v>
      </c>
      <c r="E545" s="76">
        <v>0</v>
      </c>
      <c r="F545" s="126">
        <f t="shared" si="156"/>
        <v>0</v>
      </c>
      <c r="G545" s="125">
        <v>0</v>
      </c>
      <c r="H545" s="125">
        <v>0</v>
      </c>
      <c r="I545" s="125">
        <v>0</v>
      </c>
      <c r="J545" s="76">
        <v>0</v>
      </c>
      <c r="K545" s="126">
        <f t="shared" si="154"/>
        <v>0</v>
      </c>
      <c r="L545" s="125">
        <v>0</v>
      </c>
      <c r="M545" s="125">
        <v>0</v>
      </c>
      <c r="N545" s="125">
        <v>0</v>
      </c>
      <c r="O545" s="38">
        <v>0</v>
      </c>
      <c r="P545" s="125">
        <f t="shared" si="150"/>
        <v>0</v>
      </c>
      <c r="Q545" s="125">
        <v>0</v>
      </c>
      <c r="R545" s="125">
        <v>0</v>
      </c>
      <c r="S545" s="36">
        <v>0</v>
      </c>
      <c r="T545" s="38">
        <v>0</v>
      </c>
      <c r="U545" s="125">
        <v>0</v>
      </c>
      <c r="V545" s="125">
        <v>0</v>
      </c>
      <c r="W545" s="125">
        <v>0</v>
      </c>
      <c r="X545" s="36">
        <v>0</v>
      </c>
      <c r="Y545" s="38">
        <v>0</v>
      </c>
      <c r="Z545" s="125">
        <f t="shared" si="157"/>
        <v>0</v>
      </c>
      <c r="AA545" s="125">
        <v>0</v>
      </c>
      <c r="AB545" s="125">
        <v>0</v>
      </c>
      <c r="AC545" s="36">
        <v>0</v>
      </c>
      <c r="AD545" s="94"/>
    </row>
    <row r="546" spans="1:30" s="108" customFormat="1" ht="27" customHeight="1" outlineLevel="1" x14ac:dyDescent="0.2">
      <c r="A546" s="114" t="s">
        <v>1596</v>
      </c>
      <c r="B546" s="127" t="s">
        <v>302</v>
      </c>
      <c r="C546" s="38">
        <f t="shared" si="155"/>
        <v>0</v>
      </c>
      <c r="D546" s="125">
        <f t="shared" si="155"/>
        <v>0</v>
      </c>
      <c r="E546" s="76">
        <v>0</v>
      </c>
      <c r="F546" s="126">
        <f t="shared" si="156"/>
        <v>0</v>
      </c>
      <c r="G546" s="125">
        <v>0</v>
      </c>
      <c r="H546" s="125">
        <v>0</v>
      </c>
      <c r="I546" s="125">
        <v>0</v>
      </c>
      <c r="J546" s="76">
        <v>0</v>
      </c>
      <c r="K546" s="126">
        <f t="shared" si="154"/>
        <v>0</v>
      </c>
      <c r="L546" s="125">
        <v>0</v>
      </c>
      <c r="M546" s="125">
        <v>0</v>
      </c>
      <c r="N546" s="125">
        <v>0</v>
      </c>
      <c r="O546" s="38">
        <v>0</v>
      </c>
      <c r="P546" s="125">
        <f t="shared" si="150"/>
        <v>0</v>
      </c>
      <c r="Q546" s="125">
        <v>0</v>
      </c>
      <c r="R546" s="125">
        <v>0</v>
      </c>
      <c r="S546" s="36">
        <v>0</v>
      </c>
      <c r="T546" s="38">
        <v>0</v>
      </c>
      <c r="U546" s="125">
        <v>0</v>
      </c>
      <c r="V546" s="125">
        <v>0</v>
      </c>
      <c r="W546" s="125">
        <v>0</v>
      </c>
      <c r="X546" s="36">
        <v>0</v>
      </c>
      <c r="Y546" s="38">
        <v>0</v>
      </c>
      <c r="Z546" s="125">
        <f t="shared" si="157"/>
        <v>0</v>
      </c>
      <c r="AA546" s="125">
        <v>0</v>
      </c>
      <c r="AB546" s="125">
        <v>0</v>
      </c>
      <c r="AC546" s="36">
        <v>0</v>
      </c>
      <c r="AD546" s="94"/>
    </row>
    <row r="547" spans="1:30" s="108" customFormat="1" ht="28.9" customHeight="1" outlineLevel="1" x14ac:dyDescent="0.2">
      <c r="A547" s="114" t="s">
        <v>1597</v>
      </c>
      <c r="B547" s="127" t="s">
        <v>303</v>
      </c>
      <c r="C547" s="38">
        <f t="shared" si="155"/>
        <v>0</v>
      </c>
      <c r="D547" s="125">
        <f t="shared" si="155"/>
        <v>0</v>
      </c>
      <c r="E547" s="76">
        <v>0</v>
      </c>
      <c r="F547" s="126">
        <f t="shared" si="156"/>
        <v>0</v>
      </c>
      <c r="G547" s="125">
        <v>0</v>
      </c>
      <c r="H547" s="125">
        <v>0</v>
      </c>
      <c r="I547" s="125">
        <v>0</v>
      </c>
      <c r="J547" s="76">
        <v>0</v>
      </c>
      <c r="K547" s="126">
        <f t="shared" si="154"/>
        <v>0</v>
      </c>
      <c r="L547" s="125">
        <v>0</v>
      </c>
      <c r="M547" s="125">
        <v>0</v>
      </c>
      <c r="N547" s="125">
        <v>0</v>
      </c>
      <c r="O547" s="38">
        <v>0</v>
      </c>
      <c r="P547" s="125">
        <f t="shared" si="150"/>
        <v>0</v>
      </c>
      <c r="Q547" s="125">
        <v>0</v>
      </c>
      <c r="R547" s="125">
        <v>0</v>
      </c>
      <c r="S547" s="36">
        <v>0</v>
      </c>
      <c r="T547" s="38">
        <v>0</v>
      </c>
      <c r="U547" s="125">
        <v>0</v>
      </c>
      <c r="V547" s="125">
        <v>0</v>
      </c>
      <c r="W547" s="125">
        <v>0</v>
      </c>
      <c r="X547" s="36">
        <v>0</v>
      </c>
      <c r="Y547" s="38">
        <v>0</v>
      </c>
      <c r="Z547" s="125">
        <f t="shared" si="157"/>
        <v>0</v>
      </c>
      <c r="AA547" s="125">
        <v>0</v>
      </c>
      <c r="AB547" s="125">
        <v>0</v>
      </c>
      <c r="AC547" s="36">
        <v>0</v>
      </c>
      <c r="AD547" s="94"/>
    </row>
    <row r="548" spans="1:30" s="108" customFormat="1" ht="25.5" customHeight="1" outlineLevel="1" x14ac:dyDescent="0.2">
      <c r="A548" s="114" t="s">
        <v>1598</v>
      </c>
      <c r="B548" s="127" t="s">
        <v>304</v>
      </c>
      <c r="C548" s="38">
        <f t="shared" si="155"/>
        <v>0</v>
      </c>
      <c r="D548" s="125">
        <f t="shared" si="155"/>
        <v>0</v>
      </c>
      <c r="E548" s="76">
        <v>0</v>
      </c>
      <c r="F548" s="126">
        <f t="shared" si="156"/>
        <v>0</v>
      </c>
      <c r="G548" s="125">
        <v>0</v>
      </c>
      <c r="H548" s="125">
        <v>0</v>
      </c>
      <c r="I548" s="125">
        <v>0</v>
      </c>
      <c r="J548" s="76">
        <v>0</v>
      </c>
      <c r="K548" s="126">
        <f t="shared" si="154"/>
        <v>0</v>
      </c>
      <c r="L548" s="125">
        <v>0</v>
      </c>
      <c r="M548" s="125">
        <v>0</v>
      </c>
      <c r="N548" s="125">
        <v>0</v>
      </c>
      <c r="O548" s="38">
        <v>0</v>
      </c>
      <c r="P548" s="125">
        <f t="shared" si="150"/>
        <v>0</v>
      </c>
      <c r="Q548" s="125">
        <v>0</v>
      </c>
      <c r="R548" s="125">
        <v>0</v>
      </c>
      <c r="S548" s="36">
        <v>0</v>
      </c>
      <c r="T548" s="38">
        <v>0</v>
      </c>
      <c r="U548" s="125">
        <v>0</v>
      </c>
      <c r="V548" s="125">
        <v>0</v>
      </c>
      <c r="W548" s="125">
        <v>0</v>
      </c>
      <c r="X548" s="36">
        <v>0</v>
      </c>
      <c r="Y548" s="38">
        <v>0</v>
      </c>
      <c r="Z548" s="125">
        <f t="shared" si="157"/>
        <v>0</v>
      </c>
      <c r="AA548" s="125">
        <v>0</v>
      </c>
      <c r="AB548" s="125">
        <v>0</v>
      </c>
      <c r="AC548" s="36">
        <v>0</v>
      </c>
      <c r="AD548" s="94"/>
    </row>
    <row r="549" spans="1:30" s="108" customFormat="1" ht="18" customHeight="1" outlineLevel="1" x14ac:dyDescent="0.2">
      <c r="A549" s="114" t="s">
        <v>1599</v>
      </c>
      <c r="B549" s="127" t="s">
        <v>305</v>
      </c>
      <c r="C549" s="38">
        <f t="shared" si="155"/>
        <v>0</v>
      </c>
      <c r="D549" s="125">
        <f t="shared" si="155"/>
        <v>0</v>
      </c>
      <c r="E549" s="76">
        <v>0</v>
      </c>
      <c r="F549" s="126">
        <f t="shared" si="156"/>
        <v>0</v>
      </c>
      <c r="G549" s="125">
        <v>0</v>
      </c>
      <c r="H549" s="125">
        <v>0</v>
      </c>
      <c r="I549" s="125">
        <v>0</v>
      </c>
      <c r="J549" s="76">
        <v>0</v>
      </c>
      <c r="K549" s="126">
        <f t="shared" si="154"/>
        <v>0</v>
      </c>
      <c r="L549" s="125">
        <v>0</v>
      </c>
      <c r="M549" s="125">
        <v>0</v>
      </c>
      <c r="N549" s="125">
        <v>0</v>
      </c>
      <c r="O549" s="38">
        <v>0</v>
      </c>
      <c r="P549" s="125">
        <f t="shared" si="150"/>
        <v>0</v>
      </c>
      <c r="Q549" s="125">
        <v>0</v>
      </c>
      <c r="R549" s="125">
        <v>0</v>
      </c>
      <c r="S549" s="36">
        <v>0</v>
      </c>
      <c r="T549" s="38">
        <v>0</v>
      </c>
      <c r="U549" s="125">
        <v>0</v>
      </c>
      <c r="V549" s="125">
        <v>0</v>
      </c>
      <c r="W549" s="125">
        <v>0</v>
      </c>
      <c r="X549" s="36">
        <v>0</v>
      </c>
      <c r="Y549" s="38">
        <v>0</v>
      </c>
      <c r="Z549" s="125">
        <f t="shared" si="157"/>
        <v>0</v>
      </c>
      <c r="AA549" s="125">
        <v>0</v>
      </c>
      <c r="AB549" s="125">
        <v>0</v>
      </c>
      <c r="AC549" s="36">
        <v>0</v>
      </c>
      <c r="AD549" s="94"/>
    </row>
    <row r="550" spans="1:30" s="108" customFormat="1" ht="17.25" customHeight="1" outlineLevel="1" x14ac:dyDescent="0.2">
      <c r="A550" s="114" t="s">
        <v>1600</v>
      </c>
      <c r="B550" s="127" t="s">
        <v>286</v>
      </c>
      <c r="C550" s="38">
        <f t="shared" si="155"/>
        <v>0</v>
      </c>
      <c r="D550" s="125">
        <f t="shared" si="155"/>
        <v>0</v>
      </c>
      <c r="E550" s="76">
        <v>0</v>
      </c>
      <c r="F550" s="126">
        <f t="shared" si="156"/>
        <v>0</v>
      </c>
      <c r="G550" s="125">
        <v>0</v>
      </c>
      <c r="H550" s="125">
        <v>0</v>
      </c>
      <c r="I550" s="125">
        <v>0</v>
      </c>
      <c r="J550" s="76">
        <v>0</v>
      </c>
      <c r="K550" s="126">
        <f t="shared" si="154"/>
        <v>0</v>
      </c>
      <c r="L550" s="125">
        <v>0</v>
      </c>
      <c r="M550" s="125">
        <v>0</v>
      </c>
      <c r="N550" s="125">
        <v>0</v>
      </c>
      <c r="O550" s="38">
        <v>0</v>
      </c>
      <c r="P550" s="125">
        <f t="shared" si="150"/>
        <v>0</v>
      </c>
      <c r="Q550" s="125">
        <v>0</v>
      </c>
      <c r="R550" s="125">
        <v>0</v>
      </c>
      <c r="S550" s="36">
        <v>0</v>
      </c>
      <c r="T550" s="38">
        <v>0</v>
      </c>
      <c r="U550" s="125">
        <v>0</v>
      </c>
      <c r="V550" s="125">
        <v>0</v>
      </c>
      <c r="W550" s="125">
        <v>0</v>
      </c>
      <c r="X550" s="36">
        <v>0</v>
      </c>
      <c r="Y550" s="38">
        <v>0</v>
      </c>
      <c r="Z550" s="125">
        <f t="shared" si="157"/>
        <v>0</v>
      </c>
      <c r="AA550" s="125">
        <v>0</v>
      </c>
      <c r="AB550" s="125">
        <v>0</v>
      </c>
      <c r="AC550" s="36">
        <v>0</v>
      </c>
      <c r="AD550" s="94"/>
    </row>
    <row r="551" spans="1:30" s="108" customFormat="1" ht="25.5" customHeight="1" outlineLevel="1" x14ac:dyDescent="0.2">
      <c r="A551" s="114" t="s">
        <v>1601</v>
      </c>
      <c r="B551" s="127" t="s">
        <v>283</v>
      </c>
      <c r="C551" s="38">
        <f t="shared" si="155"/>
        <v>0</v>
      </c>
      <c r="D551" s="125">
        <f t="shared" si="155"/>
        <v>0</v>
      </c>
      <c r="E551" s="76">
        <v>0</v>
      </c>
      <c r="F551" s="126">
        <f t="shared" si="156"/>
        <v>0</v>
      </c>
      <c r="G551" s="125">
        <v>0</v>
      </c>
      <c r="H551" s="125">
        <v>0</v>
      </c>
      <c r="I551" s="125">
        <v>0</v>
      </c>
      <c r="J551" s="76">
        <v>0</v>
      </c>
      <c r="K551" s="126">
        <f t="shared" si="154"/>
        <v>0</v>
      </c>
      <c r="L551" s="125">
        <v>0</v>
      </c>
      <c r="M551" s="125">
        <v>0</v>
      </c>
      <c r="N551" s="125">
        <v>0</v>
      </c>
      <c r="O551" s="38">
        <v>0</v>
      </c>
      <c r="P551" s="125">
        <f t="shared" si="150"/>
        <v>0</v>
      </c>
      <c r="Q551" s="125">
        <v>0</v>
      </c>
      <c r="R551" s="125">
        <v>0</v>
      </c>
      <c r="S551" s="36">
        <v>0</v>
      </c>
      <c r="T551" s="38">
        <v>0</v>
      </c>
      <c r="U551" s="125">
        <v>0</v>
      </c>
      <c r="V551" s="125">
        <v>0</v>
      </c>
      <c r="W551" s="125">
        <v>0</v>
      </c>
      <c r="X551" s="36">
        <v>0</v>
      </c>
      <c r="Y551" s="38">
        <v>0</v>
      </c>
      <c r="Z551" s="125">
        <f t="shared" si="157"/>
        <v>0</v>
      </c>
      <c r="AA551" s="125">
        <v>0</v>
      </c>
      <c r="AB551" s="125">
        <v>0</v>
      </c>
      <c r="AC551" s="36">
        <v>0</v>
      </c>
      <c r="AD551" s="94"/>
    </row>
    <row r="552" spans="1:30" s="108" customFormat="1" ht="27" customHeight="1" outlineLevel="1" x14ac:dyDescent="0.2">
      <c r="A552" s="114" t="s">
        <v>1602</v>
      </c>
      <c r="B552" s="127" t="s">
        <v>284</v>
      </c>
      <c r="C552" s="38">
        <f t="shared" si="155"/>
        <v>0</v>
      </c>
      <c r="D552" s="125">
        <f t="shared" si="155"/>
        <v>0</v>
      </c>
      <c r="E552" s="76">
        <v>0</v>
      </c>
      <c r="F552" s="126">
        <f t="shared" si="156"/>
        <v>0</v>
      </c>
      <c r="G552" s="125">
        <v>0</v>
      </c>
      <c r="H552" s="125">
        <v>0</v>
      </c>
      <c r="I552" s="125">
        <v>0</v>
      </c>
      <c r="J552" s="76">
        <v>0</v>
      </c>
      <c r="K552" s="126">
        <f t="shared" si="154"/>
        <v>0</v>
      </c>
      <c r="L552" s="125">
        <v>0</v>
      </c>
      <c r="M552" s="125">
        <v>0</v>
      </c>
      <c r="N552" s="125">
        <v>0</v>
      </c>
      <c r="O552" s="38">
        <v>0</v>
      </c>
      <c r="P552" s="125">
        <f t="shared" si="150"/>
        <v>0</v>
      </c>
      <c r="Q552" s="125">
        <v>0</v>
      </c>
      <c r="R552" s="125">
        <v>0</v>
      </c>
      <c r="S552" s="36">
        <v>0</v>
      </c>
      <c r="T552" s="38">
        <v>0</v>
      </c>
      <c r="U552" s="125">
        <v>0</v>
      </c>
      <c r="V552" s="125">
        <v>0</v>
      </c>
      <c r="W552" s="125">
        <v>0</v>
      </c>
      <c r="X552" s="36">
        <v>0</v>
      </c>
      <c r="Y552" s="38">
        <v>0</v>
      </c>
      <c r="Z552" s="125">
        <f t="shared" si="157"/>
        <v>0</v>
      </c>
      <c r="AA552" s="125">
        <v>0</v>
      </c>
      <c r="AB552" s="125">
        <v>0</v>
      </c>
      <c r="AC552" s="36">
        <v>0</v>
      </c>
      <c r="AD552" s="94"/>
    </row>
    <row r="553" spans="1:30" s="108" customFormat="1" ht="18.75" customHeight="1" outlineLevel="1" x14ac:dyDescent="0.2">
      <c r="A553" s="114" t="s">
        <v>1603</v>
      </c>
      <c r="B553" s="138" t="s">
        <v>270</v>
      </c>
      <c r="C553" s="38">
        <f t="shared" si="155"/>
        <v>0</v>
      </c>
      <c r="D553" s="125">
        <f t="shared" si="155"/>
        <v>0</v>
      </c>
      <c r="E553" s="76">
        <v>0</v>
      </c>
      <c r="F553" s="126">
        <f t="shared" si="156"/>
        <v>0</v>
      </c>
      <c r="G553" s="125">
        <v>0</v>
      </c>
      <c r="H553" s="125">
        <v>0</v>
      </c>
      <c r="I553" s="125">
        <v>0</v>
      </c>
      <c r="J553" s="76">
        <v>0</v>
      </c>
      <c r="K553" s="126">
        <f>L553+M553+N553</f>
        <v>0</v>
      </c>
      <c r="L553" s="125">
        <v>0</v>
      </c>
      <c r="M553" s="125">
        <v>0</v>
      </c>
      <c r="N553" s="125">
        <v>0</v>
      </c>
      <c r="O553" s="38">
        <v>0</v>
      </c>
      <c r="P553" s="125">
        <f t="shared" si="150"/>
        <v>0</v>
      </c>
      <c r="Q553" s="125">
        <v>0</v>
      </c>
      <c r="R553" s="125">
        <v>0</v>
      </c>
      <c r="S553" s="36">
        <v>0</v>
      </c>
      <c r="T553" s="38">
        <v>0</v>
      </c>
      <c r="U553" s="125">
        <v>0</v>
      </c>
      <c r="V553" s="125">
        <v>0</v>
      </c>
      <c r="W553" s="125">
        <v>0</v>
      </c>
      <c r="X553" s="36">
        <v>0</v>
      </c>
      <c r="Y553" s="38">
        <v>0</v>
      </c>
      <c r="Z553" s="125">
        <f t="shared" si="157"/>
        <v>0</v>
      </c>
      <c r="AA553" s="125">
        <v>0</v>
      </c>
      <c r="AB553" s="125">
        <v>0</v>
      </c>
      <c r="AC553" s="36">
        <v>0</v>
      </c>
      <c r="AD553" s="94"/>
    </row>
    <row r="554" spans="1:30" s="108" customFormat="1" ht="32.25" customHeight="1" x14ac:dyDescent="0.2">
      <c r="A554" s="92"/>
      <c r="B554" s="139" t="s">
        <v>334</v>
      </c>
      <c r="C554" s="122">
        <f t="shared" ref="C554:I554" si="158">SUM(C534,C483,C476,C470)</f>
        <v>10.48</v>
      </c>
      <c r="D554" s="140">
        <f>SUM(D534,D483,D476,D470)</f>
        <v>3237</v>
      </c>
      <c r="E554" s="122">
        <f t="shared" si="158"/>
        <v>0</v>
      </c>
      <c r="F554" s="140">
        <f t="shared" si="158"/>
        <v>0</v>
      </c>
      <c r="G554" s="140">
        <f t="shared" si="158"/>
        <v>0</v>
      </c>
      <c r="H554" s="140">
        <f t="shared" si="158"/>
        <v>0</v>
      </c>
      <c r="I554" s="140">
        <f t="shared" si="158"/>
        <v>0</v>
      </c>
      <c r="J554" s="122">
        <f>SUM(J534,J483,J476,J470)</f>
        <v>2.8</v>
      </c>
      <c r="K554" s="140">
        <f>SUM(L554:N554)</f>
        <v>1380</v>
      </c>
      <c r="L554" s="140">
        <f>SUM(L534,L483,L476,L470)</f>
        <v>0</v>
      </c>
      <c r="M554" s="140">
        <f>SUM(M534,M483,M476,M470)</f>
        <v>0</v>
      </c>
      <c r="N554" s="140">
        <f>SUM(N534,N483,N476,N470)</f>
        <v>1380</v>
      </c>
      <c r="O554" s="122">
        <f>SUM(O534,O61,O476,O470,O483)</f>
        <v>2.8</v>
      </c>
      <c r="P554" s="140">
        <f t="shared" si="150"/>
        <v>724</v>
      </c>
      <c r="Q554" s="140">
        <f>SUM(Q534,Q483,Q476,Q470)</f>
        <v>0</v>
      </c>
      <c r="R554" s="140">
        <f>SUM(R534,R483,R476,R470)</f>
        <v>0</v>
      </c>
      <c r="S554" s="140">
        <f>SUM(S534,S483,S476,S470)</f>
        <v>724</v>
      </c>
      <c r="T554" s="122">
        <f>SUM(T534,T483,T476,T470)</f>
        <v>4.88</v>
      </c>
      <c r="U554" s="123">
        <f>V554+W554+X554</f>
        <v>1133</v>
      </c>
      <c r="V554" s="123">
        <v>0</v>
      </c>
      <c r="W554" s="123">
        <v>0</v>
      </c>
      <c r="X554" s="123">
        <f>SUM(X534,X483,X476,X470)</f>
        <v>1133</v>
      </c>
      <c r="Y554" s="122">
        <f>SUM(Y534,Y483,Y476,Y470)</f>
        <v>0</v>
      </c>
      <c r="Z554" s="140">
        <f>AA554+AB554+AC554</f>
        <v>0</v>
      </c>
      <c r="AA554" s="140">
        <f>SUM(AA534,AA483,AA476,AA470)</f>
        <v>0</v>
      </c>
      <c r="AB554" s="140">
        <f>SUM(AB534,AB483,AB476,AB470)</f>
        <v>0</v>
      </c>
      <c r="AC554" s="140">
        <f>SUM(AC534,AC483,AC476,AC470)</f>
        <v>0</v>
      </c>
      <c r="AD554" s="94"/>
    </row>
    <row r="555" spans="1:30" s="108" customFormat="1" ht="127.5" hidden="1" customHeight="1" x14ac:dyDescent="0.2">
      <c r="A555" s="92"/>
      <c r="B555" s="127" t="s">
        <v>333</v>
      </c>
      <c r="C555" s="38">
        <f>E555+J555+O555+T555+Y555</f>
        <v>0</v>
      </c>
      <c r="D555" s="125">
        <f>F555+K555+P555+U555+Z555</f>
        <v>0</v>
      </c>
      <c r="E555" s="87"/>
      <c r="F555" s="126">
        <f>G555+H555+I555</f>
        <v>0</v>
      </c>
      <c r="G555" s="135"/>
      <c r="H555" s="135"/>
      <c r="I555" s="135"/>
      <c r="J555" s="87"/>
      <c r="K555" s="126">
        <f>SUM(L555:N555)</f>
        <v>0</v>
      </c>
      <c r="L555" s="135"/>
      <c r="M555" s="135"/>
      <c r="N555" s="135"/>
      <c r="O555" s="92">
        <v>0</v>
      </c>
      <c r="P555" s="126">
        <f t="shared" si="150"/>
        <v>0</v>
      </c>
      <c r="Q555" s="135"/>
      <c r="R555" s="135"/>
      <c r="S555" s="126">
        <v>0</v>
      </c>
      <c r="T555" s="92">
        <v>0</v>
      </c>
      <c r="U555" s="126">
        <f>V555+W555+X555</f>
        <v>0</v>
      </c>
      <c r="V555" s="135"/>
      <c r="W555" s="135"/>
      <c r="X555" s="126">
        <v>0</v>
      </c>
      <c r="Y555" s="92">
        <v>0</v>
      </c>
      <c r="Z555" s="126">
        <f t="shared" si="157"/>
        <v>0</v>
      </c>
      <c r="AA555" s="125">
        <v>0</v>
      </c>
      <c r="AB555" s="125">
        <v>0</v>
      </c>
      <c r="AC555" s="126">
        <v>0</v>
      </c>
      <c r="AD555" s="94"/>
    </row>
    <row r="556" spans="1:30" s="108" customFormat="1" ht="66.75" customHeight="1" x14ac:dyDescent="0.2">
      <c r="A556" s="141"/>
      <c r="B556" s="112" t="s">
        <v>1604</v>
      </c>
      <c r="C556" s="87">
        <f t="shared" ref="C556:J556" si="159">C468+C554</f>
        <v>34.180000000000007</v>
      </c>
      <c r="D556" s="88">
        <f t="shared" si="159"/>
        <v>8159</v>
      </c>
      <c r="E556" s="87">
        <f t="shared" si="159"/>
        <v>13.8</v>
      </c>
      <c r="F556" s="88">
        <f t="shared" si="159"/>
        <v>2746</v>
      </c>
      <c r="G556" s="88">
        <f t="shared" si="159"/>
        <v>0</v>
      </c>
      <c r="H556" s="88">
        <f t="shared" si="159"/>
        <v>0</v>
      </c>
      <c r="I556" s="88">
        <f t="shared" si="159"/>
        <v>2746</v>
      </c>
      <c r="J556" s="87">
        <f t="shared" si="159"/>
        <v>2.8</v>
      </c>
      <c r="K556" s="88">
        <f t="shared" ref="K556:R556" si="160">K468+K554</f>
        <v>1380</v>
      </c>
      <c r="L556" s="88">
        <f t="shared" si="160"/>
        <v>0</v>
      </c>
      <c r="M556" s="88">
        <f t="shared" si="160"/>
        <v>0</v>
      </c>
      <c r="N556" s="88">
        <f t="shared" si="160"/>
        <v>1380</v>
      </c>
      <c r="O556" s="87">
        <f>O468+O554</f>
        <v>8.6999999999999993</v>
      </c>
      <c r="P556" s="88">
        <f t="shared" si="160"/>
        <v>1972</v>
      </c>
      <c r="Q556" s="88">
        <f t="shared" si="160"/>
        <v>0</v>
      </c>
      <c r="R556" s="88">
        <f t="shared" si="160"/>
        <v>0</v>
      </c>
      <c r="S556" s="88">
        <f>S468+S554</f>
        <v>1972</v>
      </c>
      <c r="T556" s="87">
        <f>T468+T554</f>
        <v>8.879999999999999</v>
      </c>
      <c r="U556" s="88">
        <f>U468+U554</f>
        <v>2061</v>
      </c>
      <c r="V556" s="88">
        <f>V468+AA554</f>
        <v>0</v>
      </c>
      <c r="W556" s="88">
        <f>W468+AB554</f>
        <v>0</v>
      </c>
      <c r="X556" s="88">
        <f t="shared" ref="X556:AC556" si="161">X468+X554</f>
        <v>2061</v>
      </c>
      <c r="Y556" s="87">
        <f>Y468+Y554</f>
        <v>0</v>
      </c>
      <c r="Z556" s="88">
        <f t="shared" si="161"/>
        <v>0</v>
      </c>
      <c r="AA556" s="88">
        <f t="shared" si="161"/>
        <v>0</v>
      </c>
      <c r="AB556" s="88">
        <f t="shared" si="161"/>
        <v>0</v>
      </c>
      <c r="AC556" s="88">
        <f t="shared" si="161"/>
        <v>0</v>
      </c>
      <c r="AD556" s="94"/>
    </row>
    <row r="557" spans="1:30" s="108" customFormat="1" ht="27.75" customHeight="1" x14ac:dyDescent="0.2">
      <c r="A557" s="113" t="s">
        <v>1062</v>
      </c>
      <c r="B557" s="479" t="s">
        <v>707</v>
      </c>
      <c r="C557" s="480"/>
      <c r="D557" s="480"/>
      <c r="E557" s="480"/>
      <c r="F557" s="480"/>
      <c r="G557" s="480"/>
      <c r="H557" s="480"/>
      <c r="I557" s="480"/>
      <c r="J557" s="480"/>
      <c r="K557" s="480"/>
      <c r="L557" s="480"/>
      <c r="M557" s="480"/>
      <c r="N557" s="480"/>
      <c r="O557" s="480"/>
      <c r="P557" s="480"/>
      <c r="Q557" s="480"/>
      <c r="R557" s="480"/>
      <c r="S557" s="480"/>
      <c r="T557" s="480"/>
      <c r="U557" s="480"/>
      <c r="V557" s="480"/>
      <c r="W557" s="480"/>
      <c r="X557" s="480"/>
      <c r="Y557" s="480"/>
      <c r="Z557" s="480"/>
      <c r="AA557" s="480"/>
      <c r="AB557" s="480"/>
      <c r="AC557" s="481"/>
      <c r="AD557" s="94"/>
    </row>
    <row r="558" spans="1:30" s="108" customFormat="1" ht="39.75" customHeight="1" x14ac:dyDescent="0.2">
      <c r="A558" s="92" t="s">
        <v>1605</v>
      </c>
      <c r="B558" s="138" t="s">
        <v>709</v>
      </c>
      <c r="C558" s="76">
        <f>E558+J558+O558+T558+Y558</f>
        <v>0</v>
      </c>
      <c r="D558" s="52">
        <f>F558+K558+P558+U558+Z558</f>
        <v>580090</v>
      </c>
      <c r="E558" s="118">
        <v>0</v>
      </c>
      <c r="F558" s="77">
        <f>G558+H558+I558</f>
        <v>155462</v>
      </c>
      <c r="G558" s="77">
        <v>0</v>
      </c>
      <c r="H558" s="77">
        <v>148000</v>
      </c>
      <c r="I558" s="77">
        <v>7462</v>
      </c>
      <c r="J558" s="76">
        <v>0</v>
      </c>
      <c r="K558" s="77">
        <f>SUM(L558:N558)</f>
        <v>212314</v>
      </c>
      <c r="L558" s="77">
        <v>0</v>
      </c>
      <c r="M558" s="77">
        <v>200000</v>
      </c>
      <c r="N558" s="77">
        <v>12314</v>
      </c>
      <c r="O558" s="76">
        <v>0</v>
      </c>
      <c r="P558" s="77">
        <f>Q558+R558+S558</f>
        <v>212314</v>
      </c>
      <c r="Q558" s="125">
        <v>0</v>
      </c>
      <c r="R558" s="77">
        <v>200000</v>
      </c>
      <c r="S558" s="77">
        <v>12314</v>
      </c>
      <c r="T558" s="76">
        <v>0</v>
      </c>
      <c r="U558" s="125">
        <f>V558+W558+X558</f>
        <v>0</v>
      </c>
      <c r="V558" s="125">
        <v>0</v>
      </c>
      <c r="W558" s="125">
        <v>0</v>
      </c>
      <c r="X558" s="125">
        <v>0</v>
      </c>
      <c r="Y558" s="76">
        <v>0</v>
      </c>
      <c r="Z558" s="125">
        <f>AA558+AB558+AC558</f>
        <v>0</v>
      </c>
      <c r="AA558" s="125">
        <v>0</v>
      </c>
      <c r="AB558" s="125">
        <v>0</v>
      </c>
      <c r="AC558" s="125">
        <v>0</v>
      </c>
      <c r="AD558" s="94"/>
    </row>
    <row r="559" spans="1:30" s="108" customFormat="1" ht="88.5" customHeight="1" x14ac:dyDescent="0.2">
      <c r="A559" s="141"/>
      <c r="B559" s="112" t="s">
        <v>1606</v>
      </c>
      <c r="C559" s="87">
        <f>E559+J559+O559+T559+Y559</f>
        <v>0</v>
      </c>
      <c r="D559" s="63">
        <f>F559+K559+P559+U559+Z559</f>
        <v>580090</v>
      </c>
      <c r="E559" s="87">
        <v>0</v>
      </c>
      <c r="F559" s="63">
        <f>G559+H559+I559</f>
        <v>155462</v>
      </c>
      <c r="G559" s="63">
        <v>0</v>
      </c>
      <c r="H559" s="63">
        <f>H558</f>
        <v>148000</v>
      </c>
      <c r="I559" s="63">
        <f>I558</f>
        <v>7462</v>
      </c>
      <c r="J559" s="87">
        <v>0</v>
      </c>
      <c r="K559" s="88">
        <f>SUM(L559:N559)</f>
        <v>212314</v>
      </c>
      <c r="L559" s="88">
        <v>0</v>
      </c>
      <c r="M559" s="88">
        <v>200000</v>
      </c>
      <c r="N559" s="88">
        <v>12314</v>
      </c>
      <c r="O559" s="87">
        <v>0</v>
      </c>
      <c r="P559" s="63">
        <f>SUM(Q559:S559)</f>
        <v>212314</v>
      </c>
      <c r="Q559" s="63">
        <v>0</v>
      </c>
      <c r="R559" s="63">
        <f>R558</f>
        <v>200000</v>
      </c>
      <c r="S559" s="63">
        <f>S558</f>
        <v>12314</v>
      </c>
      <c r="T559" s="87">
        <v>0</v>
      </c>
      <c r="U559" s="63">
        <f>V559+W559+X559</f>
        <v>0</v>
      </c>
      <c r="V559" s="63">
        <v>0</v>
      </c>
      <c r="W559" s="63">
        <v>0</v>
      </c>
      <c r="X559" s="63">
        <v>0</v>
      </c>
      <c r="Y559" s="87">
        <v>0</v>
      </c>
      <c r="Z559" s="63">
        <f>AA559+AB559+AC559</f>
        <v>0</v>
      </c>
      <c r="AA559" s="63">
        <v>0</v>
      </c>
      <c r="AB559" s="63">
        <v>0</v>
      </c>
      <c r="AC559" s="63">
        <v>0</v>
      </c>
      <c r="AD559" s="94"/>
    </row>
    <row r="560" spans="1:30" s="108" customFormat="1" ht="42.75" customHeight="1" x14ac:dyDescent="0.2">
      <c r="A560" s="494" t="s">
        <v>947</v>
      </c>
      <c r="B560" s="494"/>
      <c r="C560" s="494"/>
      <c r="D560" s="48">
        <f>D562-D561</f>
        <v>6726420.4000000004</v>
      </c>
      <c r="E560" s="84">
        <f t="shared" ref="E560:AB560" si="162">E562-E561</f>
        <v>424.43</v>
      </c>
      <c r="F560" s="48">
        <f>F562-F561</f>
        <v>1582855</v>
      </c>
      <c r="G560" s="48">
        <f t="shared" si="162"/>
        <v>126793</v>
      </c>
      <c r="H560" s="48">
        <f t="shared" si="162"/>
        <v>1349108</v>
      </c>
      <c r="I560" s="48">
        <f t="shared" si="162"/>
        <v>108934</v>
      </c>
      <c r="J560" s="84">
        <f t="shared" si="162"/>
        <v>492.98</v>
      </c>
      <c r="K560" s="48">
        <f>K562-K561</f>
        <v>1550012</v>
      </c>
      <c r="L560" s="48">
        <f t="shared" si="162"/>
        <v>0</v>
      </c>
      <c r="M560" s="48">
        <f t="shared" si="162"/>
        <v>1290861</v>
      </c>
      <c r="N560" s="48">
        <f t="shared" si="162"/>
        <v>259151</v>
      </c>
      <c r="O560" s="84">
        <f t="shared" si="162"/>
        <v>432.26300000000003</v>
      </c>
      <c r="P560" s="389">
        <f>P562-P56</f>
        <v>2057659</v>
      </c>
      <c r="Q560" s="389">
        <f t="shared" si="162"/>
        <v>0</v>
      </c>
      <c r="R560" s="389">
        <f t="shared" si="162"/>
        <v>1760048</v>
      </c>
      <c r="S560" s="389">
        <f>S562-S561</f>
        <v>297611</v>
      </c>
      <c r="T560" s="588">
        <f t="shared" si="162"/>
        <v>176.17999999999998</v>
      </c>
      <c r="U560" s="389">
        <f t="shared" si="162"/>
        <v>770922</v>
      </c>
      <c r="V560" s="48">
        <f t="shared" si="162"/>
        <v>0</v>
      </c>
      <c r="W560" s="48">
        <f t="shared" si="162"/>
        <v>700000</v>
      </c>
      <c r="X560" s="48">
        <f t="shared" si="162"/>
        <v>70922</v>
      </c>
      <c r="Y560" s="84">
        <f t="shared" si="162"/>
        <v>5.8</v>
      </c>
      <c r="Z560" s="48">
        <f t="shared" si="162"/>
        <v>778013</v>
      </c>
      <c r="AA560" s="48">
        <f t="shared" si="162"/>
        <v>0</v>
      </c>
      <c r="AB560" s="48">
        <f t="shared" si="162"/>
        <v>700000</v>
      </c>
      <c r="AC560" s="48">
        <f>AC562-AC561</f>
        <v>78013</v>
      </c>
      <c r="AD560" s="94"/>
    </row>
    <row r="561" spans="1:31" s="73" customFormat="1" ht="26.25" customHeight="1" x14ac:dyDescent="0.2">
      <c r="A561" s="495" t="s">
        <v>951</v>
      </c>
      <c r="B561" s="495"/>
      <c r="C561" s="495"/>
      <c r="D561" s="88">
        <f>F561+K561+P561+U561+Z561</f>
        <v>2572</v>
      </c>
      <c r="E561" s="87">
        <v>0</v>
      </c>
      <c r="F561" s="88">
        <f>G561+H561+I561</f>
        <v>988</v>
      </c>
      <c r="G561" s="88">
        <v>0</v>
      </c>
      <c r="H561" s="88">
        <v>0</v>
      </c>
      <c r="I561" s="88">
        <v>988</v>
      </c>
      <c r="J561" s="87">
        <v>0</v>
      </c>
      <c r="K561" s="88">
        <f>L561+M561+N561</f>
        <v>1584</v>
      </c>
      <c r="L561" s="88">
        <v>0</v>
      </c>
      <c r="M561" s="88">
        <v>0</v>
      </c>
      <c r="N561" s="88">
        <v>1584</v>
      </c>
      <c r="O561" s="87">
        <v>0</v>
      </c>
      <c r="P561" s="88">
        <f>Q561+R561+S561</f>
        <v>0</v>
      </c>
      <c r="Q561" s="88">
        <v>0</v>
      </c>
      <c r="R561" s="88">
        <v>0</v>
      </c>
      <c r="S561" s="88">
        <v>0</v>
      </c>
      <c r="T561" s="87">
        <v>0</v>
      </c>
      <c r="U561" s="88">
        <f>V561+W561+X561</f>
        <v>0</v>
      </c>
      <c r="V561" s="88">
        <v>0</v>
      </c>
      <c r="W561" s="88">
        <v>0</v>
      </c>
      <c r="X561" s="88">
        <v>0</v>
      </c>
      <c r="Y561" s="87">
        <v>0</v>
      </c>
      <c r="Z561" s="88">
        <f>AA561+AB561+AC561</f>
        <v>0</v>
      </c>
      <c r="AA561" s="88">
        <v>0</v>
      </c>
      <c r="AB561" s="88">
        <v>0</v>
      </c>
      <c r="AC561" s="88">
        <v>0</v>
      </c>
      <c r="AD561" s="80"/>
      <c r="AE561" s="80"/>
    </row>
    <row r="562" spans="1:31" ht="47.25" customHeight="1" x14ac:dyDescent="0.2">
      <c r="A562" s="496" t="s">
        <v>946</v>
      </c>
      <c r="B562" s="496"/>
      <c r="C562" s="496"/>
      <c r="D562" s="48">
        <f t="shared" ref="D562:AC562" si="163">D52+D71+D100+D126+D300+D304+D556+D559+D561</f>
        <v>6728992.4000000004</v>
      </c>
      <c r="E562" s="84">
        <f t="shared" si="163"/>
        <v>424.43</v>
      </c>
      <c r="F562" s="48">
        <f t="shared" si="163"/>
        <v>1583843</v>
      </c>
      <c r="G562" s="48">
        <f t="shared" si="163"/>
        <v>126793</v>
      </c>
      <c r="H562" s="48">
        <f t="shared" si="163"/>
        <v>1349108</v>
      </c>
      <c r="I562" s="48">
        <f t="shared" si="163"/>
        <v>109922</v>
      </c>
      <c r="J562" s="84">
        <f t="shared" si="163"/>
        <v>492.98</v>
      </c>
      <c r="K562" s="48">
        <f t="shared" si="163"/>
        <v>1551596</v>
      </c>
      <c r="L562" s="48">
        <f t="shared" si="163"/>
        <v>0</v>
      </c>
      <c r="M562" s="48">
        <f t="shared" si="163"/>
        <v>1290861</v>
      </c>
      <c r="N562" s="48">
        <f t="shared" si="163"/>
        <v>260735</v>
      </c>
      <c r="O562" s="84">
        <f t="shared" si="163"/>
        <v>432.26300000000003</v>
      </c>
      <c r="P562" s="48">
        <f t="shared" si="163"/>
        <v>2057659</v>
      </c>
      <c r="Q562" s="48">
        <f t="shared" si="163"/>
        <v>0</v>
      </c>
      <c r="R562" s="48">
        <f t="shared" si="163"/>
        <v>1760048</v>
      </c>
      <c r="S562" s="48">
        <f t="shared" si="163"/>
        <v>297611</v>
      </c>
      <c r="T562" s="84">
        <f t="shared" si="163"/>
        <v>176.17999999999998</v>
      </c>
      <c r="U562" s="48">
        <f t="shared" si="163"/>
        <v>770922</v>
      </c>
      <c r="V562" s="48">
        <f t="shared" si="163"/>
        <v>0</v>
      </c>
      <c r="W562" s="48">
        <f t="shared" si="163"/>
        <v>700000</v>
      </c>
      <c r="X562" s="48">
        <f t="shared" si="163"/>
        <v>70922</v>
      </c>
      <c r="Y562" s="84">
        <f t="shared" si="163"/>
        <v>5.8</v>
      </c>
      <c r="Z562" s="48">
        <f t="shared" si="163"/>
        <v>778013</v>
      </c>
      <c r="AA562" s="48">
        <f t="shared" si="163"/>
        <v>0</v>
      </c>
      <c r="AB562" s="48">
        <f t="shared" si="163"/>
        <v>700000</v>
      </c>
      <c r="AC562" s="48">
        <f t="shared" si="163"/>
        <v>78013</v>
      </c>
    </row>
    <row r="563" spans="1:31" ht="52.15" customHeight="1" x14ac:dyDescent="0.2">
      <c r="M563" s="145"/>
      <c r="N563" s="145"/>
      <c r="O563" s="146"/>
      <c r="P563" s="147"/>
      <c r="Q563" s="147"/>
    </row>
  </sheetData>
  <mergeCells count="28">
    <mergeCell ref="A560:C560"/>
    <mergeCell ref="A561:C561"/>
    <mergeCell ref="A562:C562"/>
    <mergeCell ref="Z2:AC2"/>
    <mergeCell ref="Z1:AC1"/>
    <mergeCell ref="T5:X5"/>
    <mergeCell ref="B4:B6"/>
    <mergeCell ref="O5:S5"/>
    <mergeCell ref="E5:I5"/>
    <mergeCell ref="Y5:AC5"/>
    <mergeCell ref="C4:C6"/>
    <mergeCell ref="A3:AC3"/>
    <mergeCell ref="J5:N5"/>
    <mergeCell ref="E4:AC4"/>
    <mergeCell ref="D4:D6"/>
    <mergeCell ref="A4:A6"/>
    <mergeCell ref="A8:AC8"/>
    <mergeCell ref="B9:AC9"/>
    <mergeCell ref="B557:AC557"/>
    <mergeCell ref="B72:AC72"/>
    <mergeCell ref="B102:AC102"/>
    <mergeCell ref="B127:AC127"/>
    <mergeCell ref="B301:AC301"/>
    <mergeCell ref="B305:AC305"/>
    <mergeCell ref="A122:AC122"/>
    <mergeCell ref="A254:AC254"/>
    <mergeCell ref="B10:AC10"/>
    <mergeCell ref="B53:AC53"/>
  </mergeCells>
  <phoneticPr fontId="1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46" fitToHeight="0" orientation="landscape" r:id="rId1"/>
  <headerFooter alignWithMargins="0"/>
  <rowBreaks count="27" manualBreakCount="27">
    <brk id="19" max="28" man="1"/>
    <brk id="31" max="28" man="1"/>
    <brk id="46" max="28" man="1"/>
    <brk id="57" max="28" man="1"/>
    <brk id="66" max="28" man="1"/>
    <brk id="77" max="28" man="1"/>
    <brk id="85" max="28" man="1"/>
    <brk id="94" max="28" man="1"/>
    <brk id="108" max="28" man="1"/>
    <brk id="116" max="28" man="1"/>
    <brk id="135" max="28" man="1"/>
    <brk id="160" max="28" man="1"/>
    <brk id="178" max="28" man="1"/>
    <brk id="192" max="28" man="1"/>
    <brk id="207" max="28" man="1"/>
    <brk id="221" max="28" man="1"/>
    <brk id="234" max="28" man="1"/>
    <brk id="249" max="28" man="1"/>
    <brk id="272" max="28" man="1"/>
    <brk id="299" max="28" man="1"/>
    <brk id="325" max="28" man="1"/>
    <brk id="355" max="28" man="1"/>
    <brk id="391" max="28" man="1"/>
    <brk id="427" max="28" man="1"/>
    <brk id="462" max="28" man="1"/>
    <brk id="495" max="28" man="1"/>
    <brk id="533" max="2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8"/>
  <sheetViews>
    <sheetView view="pageBreakPreview" zoomScale="70" zoomScaleSheetLayoutView="70" workbookViewId="0">
      <selection activeCell="O15" sqref="O15:P15"/>
    </sheetView>
  </sheetViews>
  <sheetFormatPr defaultColWidth="9.140625" defaultRowHeight="42" customHeight="1" outlineLevelRow="1" x14ac:dyDescent="0.2"/>
  <cols>
    <col min="1" max="1" width="8.140625" style="198" customWidth="1"/>
    <col min="2" max="2" width="23.85546875" style="251" customWidth="1"/>
    <col min="3" max="3" width="19.7109375" style="213" customWidth="1"/>
    <col min="4" max="4" width="10.28515625" style="198" customWidth="1"/>
    <col min="5" max="5" width="14.28515625" style="200" customWidth="1"/>
    <col min="6" max="6" width="12.85546875" style="198" customWidth="1"/>
    <col min="7" max="7" width="13.85546875" style="198" customWidth="1"/>
    <col min="8" max="8" width="13.5703125" style="198" customWidth="1"/>
    <col min="9" max="9" width="8.85546875" style="198" customWidth="1"/>
    <col min="10" max="10" width="13.85546875" style="200" customWidth="1"/>
    <col min="11" max="11" width="13.7109375" style="198" customWidth="1"/>
    <col min="12" max="12" width="13" style="198" customWidth="1"/>
    <col min="13" max="13" width="9.140625" style="198" customWidth="1"/>
    <col min="14" max="14" width="8.42578125" style="198" customWidth="1"/>
    <col min="15" max="15" width="13.85546875" style="200" customWidth="1"/>
    <col min="16" max="16" width="11.85546875" style="198" customWidth="1"/>
    <col min="17" max="17" width="15.140625" style="198" customWidth="1"/>
    <col min="18" max="18" width="8.5703125" style="198" customWidth="1"/>
    <col min="19" max="19" width="8.42578125" style="198" customWidth="1"/>
    <col min="20" max="20" width="14.42578125" style="200" customWidth="1"/>
    <col min="21" max="21" width="14.42578125" style="198" customWidth="1"/>
    <col min="22" max="22" width="16" style="198" customWidth="1"/>
    <col min="23" max="23" width="8.5703125" style="198" customWidth="1"/>
    <col min="24" max="24" width="8.42578125" style="198" customWidth="1"/>
    <col min="25" max="25" width="13.85546875" style="200" customWidth="1"/>
    <col min="26" max="26" width="13.140625" style="198" customWidth="1"/>
    <col min="27" max="27" width="13.85546875" style="198" customWidth="1"/>
    <col min="28" max="28" width="8.5703125" style="198" customWidth="1"/>
    <col min="29" max="29" width="7.7109375" style="198" customWidth="1"/>
    <col min="30" max="30" width="15.7109375" style="237" customWidth="1"/>
    <col min="31" max="31" width="16.28515625" style="198" bestFit="1" customWidth="1"/>
    <col min="32" max="32" width="14.7109375" style="198" customWidth="1"/>
    <col min="33" max="33" width="16.28515625" style="198" customWidth="1"/>
    <col min="34" max="34" width="9.28515625" style="198" bestFit="1" customWidth="1"/>
    <col min="35" max="16384" width="9.140625" style="198"/>
  </cols>
  <sheetData>
    <row r="1" spans="1:34" s="195" customFormat="1" ht="82.9" customHeight="1" x14ac:dyDescent="0.25">
      <c r="A1" s="190"/>
      <c r="B1" s="191"/>
      <c r="C1" s="192"/>
      <c r="D1" s="193"/>
      <c r="E1" s="194"/>
      <c r="J1" s="196"/>
      <c r="K1" s="197"/>
      <c r="L1" s="197"/>
      <c r="M1" s="197"/>
      <c r="N1" s="197"/>
      <c r="O1" s="198"/>
      <c r="P1" s="198"/>
      <c r="Q1" s="199"/>
      <c r="R1" s="198"/>
      <c r="S1" s="198"/>
      <c r="T1" s="198"/>
      <c r="U1" s="198"/>
      <c r="V1" s="198"/>
      <c r="W1" s="198"/>
      <c r="X1" s="198"/>
      <c r="Y1" s="200"/>
      <c r="Z1" s="198"/>
      <c r="AA1" s="523" t="s">
        <v>1830</v>
      </c>
      <c r="AB1" s="523"/>
      <c r="AC1" s="523"/>
      <c r="AD1" s="523"/>
    </row>
    <row r="2" spans="1:34" s="195" customFormat="1" ht="138" customHeight="1" x14ac:dyDescent="0.25">
      <c r="A2" s="190"/>
      <c r="B2" s="191"/>
      <c r="C2" s="192"/>
      <c r="D2" s="193"/>
      <c r="E2" s="194"/>
      <c r="J2" s="196"/>
      <c r="K2" s="197"/>
      <c r="L2" s="197"/>
      <c r="M2" s="197"/>
      <c r="N2" s="197"/>
      <c r="O2" s="198"/>
      <c r="P2" s="198"/>
      <c r="Q2" s="199"/>
      <c r="R2" s="198"/>
      <c r="S2" s="198"/>
      <c r="T2" s="198"/>
      <c r="U2" s="198"/>
      <c r="V2" s="198"/>
      <c r="W2" s="198"/>
      <c r="X2" s="198"/>
      <c r="Y2" s="200"/>
      <c r="Z2" s="198"/>
      <c r="AA2" s="534" t="s">
        <v>1046</v>
      </c>
      <c r="AB2" s="534"/>
      <c r="AC2" s="534"/>
      <c r="AD2" s="534"/>
    </row>
    <row r="3" spans="1:34" ht="42" customHeight="1" x14ac:dyDescent="0.4">
      <c r="A3" s="201"/>
      <c r="B3" s="532" t="s">
        <v>685</v>
      </c>
      <c r="C3" s="532"/>
      <c r="D3" s="532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533"/>
      <c r="R3" s="533"/>
      <c r="S3" s="533"/>
      <c r="T3" s="533"/>
      <c r="U3" s="533"/>
      <c r="V3" s="533"/>
      <c r="W3" s="533"/>
      <c r="X3" s="533"/>
      <c r="Y3" s="533"/>
      <c r="Z3" s="533"/>
      <c r="AA3" s="533"/>
      <c r="AB3" s="533"/>
      <c r="AC3" s="533"/>
      <c r="AD3" s="533"/>
    </row>
    <row r="4" spans="1:34" ht="42" customHeight="1" x14ac:dyDescent="0.2">
      <c r="A4" s="525" t="s">
        <v>123</v>
      </c>
      <c r="B4" s="526" t="s">
        <v>122</v>
      </c>
      <c r="C4" s="526" t="s">
        <v>121</v>
      </c>
      <c r="D4" s="526" t="s">
        <v>132</v>
      </c>
      <c r="E4" s="528" t="s">
        <v>120</v>
      </c>
      <c r="F4" s="528"/>
      <c r="G4" s="528"/>
      <c r="H4" s="528"/>
      <c r="I4" s="528"/>
      <c r="J4" s="529"/>
      <c r="K4" s="529"/>
      <c r="L4" s="529"/>
      <c r="M4" s="529"/>
      <c r="N4" s="529"/>
      <c r="O4" s="529"/>
      <c r="P4" s="529"/>
      <c r="Q4" s="529"/>
      <c r="R4" s="529"/>
      <c r="S4" s="529"/>
      <c r="T4" s="529"/>
      <c r="U4" s="529"/>
      <c r="V4" s="529"/>
      <c r="W4" s="529"/>
      <c r="X4" s="529"/>
      <c r="Y4" s="529"/>
      <c r="Z4" s="529"/>
      <c r="AA4" s="529"/>
      <c r="AB4" s="529"/>
      <c r="AC4" s="529"/>
      <c r="AD4" s="530" t="s">
        <v>119</v>
      </c>
    </row>
    <row r="5" spans="1:34" ht="42" customHeight="1" x14ac:dyDescent="0.2">
      <c r="A5" s="525"/>
      <c r="B5" s="515"/>
      <c r="C5" s="526"/>
      <c r="D5" s="527"/>
      <c r="E5" s="536" t="s">
        <v>118</v>
      </c>
      <c r="F5" s="536"/>
      <c r="G5" s="536"/>
      <c r="H5" s="536"/>
      <c r="I5" s="536"/>
      <c r="J5" s="536" t="s">
        <v>117</v>
      </c>
      <c r="K5" s="536"/>
      <c r="L5" s="536"/>
      <c r="M5" s="536"/>
      <c r="N5" s="536"/>
      <c r="O5" s="536" t="s">
        <v>116</v>
      </c>
      <c r="P5" s="536"/>
      <c r="Q5" s="536"/>
      <c r="R5" s="536"/>
      <c r="S5" s="536"/>
      <c r="T5" s="536" t="s">
        <v>115</v>
      </c>
      <c r="U5" s="536"/>
      <c r="V5" s="536"/>
      <c r="W5" s="536"/>
      <c r="X5" s="536"/>
      <c r="Y5" s="536" t="s">
        <v>114</v>
      </c>
      <c r="Z5" s="536"/>
      <c r="AA5" s="536"/>
      <c r="AB5" s="536"/>
      <c r="AC5" s="536"/>
      <c r="AD5" s="530"/>
    </row>
    <row r="6" spans="1:34" ht="57.6" customHeight="1" x14ac:dyDescent="0.2">
      <c r="A6" s="525"/>
      <c r="B6" s="515"/>
      <c r="C6" s="526"/>
      <c r="D6" s="527"/>
      <c r="E6" s="202" t="s">
        <v>113</v>
      </c>
      <c r="F6" s="203" t="s">
        <v>362</v>
      </c>
      <c r="G6" s="203" t="s">
        <v>363</v>
      </c>
      <c r="H6" s="203" t="s">
        <v>110</v>
      </c>
      <c r="I6" s="203" t="s">
        <v>124</v>
      </c>
      <c r="J6" s="202" t="s">
        <v>113</v>
      </c>
      <c r="K6" s="203" t="s">
        <v>362</v>
      </c>
      <c r="L6" s="203" t="s">
        <v>363</v>
      </c>
      <c r="M6" s="203" t="s">
        <v>125</v>
      </c>
      <c r="N6" s="203" t="s">
        <v>124</v>
      </c>
      <c r="O6" s="202" t="s">
        <v>113</v>
      </c>
      <c r="P6" s="203" t="s">
        <v>362</v>
      </c>
      <c r="Q6" s="203" t="s">
        <v>363</v>
      </c>
      <c r="R6" s="203" t="s">
        <v>125</v>
      </c>
      <c r="S6" s="203" t="s">
        <v>124</v>
      </c>
      <c r="T6" s="202" t="s">
        <v>113</v>
      </c>
      <c r="U6" s="203" t="s">
        <v>362</v>
      </c>
      <c r="V6" s="203" t="s">
        <v>363</v>
      </c>
      <c r="W6" s="203" t="s">
        <v>125</v>
      </c>
      <c r="X6" s="203" t="s">
        <v>124</v>
      </c>
      <c r="Y6" s="202" t="s">
        <v>113</v>
      </c>
      <c r="Z6" s="203" t="s">
        <v>362</v>
      </c>
      <c r="AA6" s="203" t="s">
        <v>363</v>
      </c>
      <c r="AB6" s="203" t="s">
        <v>125</v>
      </c>
      <c r="AC6" s="203" t="s">
        <v>124</v>
      </c>
      <c r="AD6" s="530"/>
      <c r="AE6" s="203" t="s">
        <v>112</v>
      </c>
      <c r="AF6" s="203" t="s">
        <v>111</v>
      </c>
      <c r="AG6" s="203" t="s">
        <v>125</v>
      </c>
      <c r="AH6" s="203" t="s">
        <v>124</v>
      </c>
    </row>
    <row r="7" spans="1:34" s="205" customFormat="1" ht="25.15" customHeight="1" x14ac:dyDescent="0.25">
      <c r="A7" s="204">
        <v>1</v>
      </c>
      <c r="B7" s="204">
        <v>2</v>
      </c>
      <c r="C7" s="204">
        <v>3</v>
      </c>
      <c r="D7" s="204">
        <v>4</v>
      </c>
      <c r="E7" s="204">
        <v>5</v>
      </c>
      <c r="F7" s="204">
        <v>6</v>
      </c>
      <c r="G7" s="204">
        <v>7</v>
      </c>
      <c r="H7" s="204">
        <v>8</v>
      </c>
      <c r="I7" s="204">
        <v>9</v>
      </c>
      <c r="J7" s="204">
        <v>10</v>
      </c>
      <c r="K7" s="204">
        <v>11</v>
      </c>
      <c r="L7" s="204">
        <v>12</v>
      </c>
      <c r="M7" s="204">
        <v>13</v>
      </c>
      <c r="N7" s="204">
        <v>14</v>
      </c>
      <c r="O7" s="204">
        <v>15</v>
      </c>
      <c r="P7" s="204">
        <v>16</v>
      </c>
      <c r="Q7" s="204">
        <v>17</v>
      </c>
      <c r="R7" s="204">
        <v>18</v>
      </c>
      <c r="S7" s="204">
        <v>19</v>
      </c>
      <c r="T7" s="204">
        <v>20</v>
      </c>
      <c r="U7" s="204">
        <v>21</v>
      </c>
      <c r="V7" s="204">
        <v>22</v>
      </c>
      <c r="W7" s="204">
        <v>23</v>
      </c>
      <c r="X7" s="204">
        <v>24</v>
      </c>
      <c r="Y7" s="204">
        <v>25</v>
      </c>
      <c r="Z7" s="204">
        <v>26</v>
      </c>
      <c r="AA7" s="204">
        <v>27</v>
      </c>
      <c r="AB7" s="204">
        <v>28</v>
      </c>
      <c r="AC7" s="204">
        <v>29</v>
      </c>
      <c r="AD7" s="204">
        <v>30</v>
      </c>
    </row>
    <row r="8" spans="1:34" s="205" customFormat="1" ht="33" customHeight="1" x14ac:dyDescent="0.25">
      <c r="A8" s="537" t="s">
        <v>133</v>
      </c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</row>
    <row r="9" spans="1:34" s="205" customFormat="1" ht="34.9" customHeight="1" x14ac:dyDescent="0.25">
      <c r="A9" s="206" t="s">
        <v>1055</v>
      </c>
      <c r="B9" s="506" t="s">
        <v>108</v>
      </c>
      <c r="C9" s="507"/>
      <c r="D9" s="507"/>
      <c r="E9" s="507"/>
      <c r="F9" s="507"/>
      <c r="G9" s="507"/>
      <c r="H9" s="507"/>
      <c r="I9" s="507"/>
      <c r="J9" s="507"/>
      <c r="K9" s="507"/>
      <c r="L9" s="507"/>
      <c r="M9" s="507"/>
      <c r="N9" s="507"/>
      <c r="O9" s="507"/>
      <c r="P9" s="507"/>
      <c r="Q9" s="507"/>
      <c r="R9" s="507"/>
      <c r="S9" s="507"/>
      <c r="T9" s="507"/>
      <c r="U9" s="507"/>
      <c r="V9" s="507"/>
      <c r="W9" s="507"/>
      <c r="X9" s="507"/>
      <c r="Y9" s="507"/>
      <c r="Z9" s="507"/>
      <c r="AA9" s="507"/>
      <c r="AB9" s="507"/>
      <c r="AC9" s="507"/>
      <c r="AD9" s="510"/>
    </row>
    <row r="10" spans="1:34" s="195" customFormat="1" ht="30" customHeight="1" x14ac:dyDescent="0.2">
      <c r="A10" s="531" t="s">
        <v>684</v>
      </c>
      <c r="B10" s="531"/>
      <c r="C10" s="531"/>
      <c r="D10" s="531"/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</row>
    <row r="11" spans="1:34" s="195" customFormat="1" ht="34.9" customHeight="1" outlineLevel="1" x14ac:dyDescent="0.2">
      <c r="A11" s="538" t="s">
        <v>107</v>
      </c>
      <c r="B11" s="538"/>
      <c r="C11" s="538"/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</row>
    <row r="12" spans="1:34" s="195" customFormat="1" ht="31.15" customHeight="1" outlineLevel="1" x14ac:dyDescent="0.2">
      <c r="A12" s="207" t="s">
        <v>1</v>
      </c>
      <c r="B12" s="508" t="s">
        <v>1054</v>
      </c>
      <c r="C12" s="509"/>
      <c r="D12" s="509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509"/>
      <c r="Z12" s="509"/>
      <c r="AA12" s="509"/>
      <c r="AB12" s="509"/>
      <c r="AC12" s="509"/>
      <c r="AD12" s="511"/>
    </row>
    <row r="13" spans="1:34" s="213" customFormat="1" ht="88.15" customHeight="1" outlineLevel="1" x14ac:dyDescent="0.2">
      <c r="A13" s="208" t="s">
        <v>8</v>
      </c>
      <c r="B13" s="209" t="s">
        <v>567</v>
      </c>
      <c r="C13" s="203" t="s">
        <v>94</v>
      </c>
      <c r="D13" s="210" t="s">
        <v>853</v>
      </c>
      <c r="E13" s="211">
        <f t="shared" ref="E13:E20" si="0">F13+G13+H13+I13</f>
        <v>67429</v>
      </c>
      <c r="F13" s="212">
        <f>67429</f>
        <v>67429</v>
      </c>
      <c r="G13" s="212">
        <v>0</v>
      </c>
      <c r="H13" s="212">
        <v>0</v>
      </c>
      <c r="I13" s="212">
        <v>0</v>
      </c>
      <c r="J13" s="211">
        <f t="shared" ref="J13:J20" si="1">K13+L13+M13+N13</f>
        <v>19781</v>
      </c>
      <c r="K13" s="212">
        <f>6885+12896</f>
        <v>19781</v>
      </c>
      <c r="L13" s="212">
        <v>0</v>
      </c>
      <c r="M13" s="212">
        <v>0</v>
      </c>
      <c r="N13" s="212">
        <v>0</v>
      </c>
      <c r="O13" s="357">
        <f t="shared" ref="O13:O19" si="2">SUM(P13:S13)</f>
        <v>331</v>
      </c>
      <c r="P13" s="356">
        <f>30758-12896-17501-30</f>
        <v>331</v>
      </c>
      <c r="Q13" s="212">
        <v>0</v>
      </c>
      <c r="R13" s="212">
        <v>0</v>
      </c>
      <c r="S13" s="212">
        <v>0</v>
      </c>
      <c r="T13" s="211">
        <f t="shared" ref="T13:T19" si="3">SUM(U13:X13)</f>
        <v>8359</v>
      </c>
      <c r="U13" s="212">
        <f>30758-22399</f>
        <v>8359</v>
      </c>
      <c r="V13" s="212">
        <v>0</v>
      </c>
      <c r="W13" s="212">
        <v>0</v>
      </c>
      <c r="X13" s="212">
        <v>0</v>
      </c>
      <c r="Y13" s="211">
        <f t="shared" ref="Y13:Y19" si="4">SUM(Z13:AC13)</f>
        <v>34182</v>
      </c>
      <c r="Z13" s="212">
        <v>34182</v>
      </c>
      <c r="AA13" s="212">
        <v>0</v>
      </c>
      <c r="AB13" s="212">
        <v>0</v>
      </c>
      <c r="AC13" s="212">
        <v>0</v>
      </c>
      <c r="AD13" s="211">
        <f t="shared" ref="AD13:AD18" si="5">E13+J13+O13+T13+Y13</f>
        <v>130082</v>
      </c>
    </row>
    <row r="14" spans="1:34" s="213" customFormat="1" ht="117" customHeight="1" outlineLevel="1" x14ac:dyDescent="0.2">
      <c r="A14" s="214" t="s">
        <v>25</v>
      </c>
      <c r="B14" s="209" t="s">
        <v>840</v>
      </c>
      <c r="C14" s="203" t="s">
        <v>94</v>
      </c>
      <c r="D14" s="215" t="s">
        <v>852</v>
      </c>
      <c r="E14" s="211">
        <f t="shared" si="0"/>
        <v>1235</v>
      </c>
      <c r="F14" s="212">
        <v>1235</v>
      </c>
      <c r="G14" s="212">
        <v>0</v>
      </c>
      <c r="H14" s="212">
        <v>0</v>
      </c>
      <c r="I14" s="212">
        <v>0</v>
      </c>
      <c r="J14" s="211">
        <f t="shared" si="1"/>
        <v>741</v>
      </c>
      <c r="K14" s="212">
        <v>741</v>
      </c>
      <c r="L14" s="212">
        <v>0</v>
      </c>
      <c r="M14" s="212">
        <v>0</v>
      </c>
      <c r="N14" s="212">
        <v>0</v>
      </c>
      <c r="O14" s="211">
        <f t="shared" si="2"/>
        <v>0</v>
      </c>
      <c r="P14" s="212">
        <v>0</v>
      </c>
      <c r="Q14" s="212">
        <v>0</v>
      </c>
      <c r="R14" s="212">
        <v>0</v>
      </c>
      <c r="S14" s="212">
        <v>0</v>
      </c>
      <c r="T14" s="211">
        <f t="shared" si="3"/>
        <v>0</v>
      </c>
      <c r="U14" s="212">
        <v>0</v>
      </c>
      <c r="V14" s="212">
        <v>0</v>
      </c>
      <c r="W14" s="212">
        <v>0</v>
      </c>
      <c r="X14" s="212">
        <v>0</v>
      </c>
      <c r="Y14" s="211">
        <f t="shared" si="4"/>
        <v>0</v>
      </c>
      <c r="Z14" s="212">
        <v>0</v>
      </c>
      <c r="AA14" s="212">
        <v>0</v>
      </c>
      <c r="AB14" s="212">
        <v>0</v>
      </c>
      <c r="AC14" s="212">
        <v>0</v>
      </c>
      <c r="AD14" s="211">
        <f t="shared" si="5"/>
        <v>1976</v>
      </c>
    </row>
    <row r="15" spans="1:34" ht="99" customHeight="1" outlineLevel="1" x14ac:dyDescent="0.2">
      <c r="A15" s="214" t="s">
        <v>36</v>
      </c>
      <c r="B15" s="209" t="s">
        <v>105</v>
      </c>
      <c r="C15" s="203" t="s">
        <v>94</v>
      </c>
      <c r="D15" s="216" t="s">
        <v>90</v>
      </c>
      <c r="E15" s="211">
        <f t="shared" si="0"/>
        <v>1644</v>
      </c>
      <c r="F15" s="212">
        <v>1644</v>
      </c>
      <c r="G15" s="212">
        <v>0</v>
      </c>
      <c r="H15" s="212">
        <v>0</v>
      </c>
      <c r="I15" s="212">
        <v>0</v>
      </c>
      <c r="J15" s="211">
        <f t="shared" si="1"/>
        <v>1472</v>
      </c>
      <c r="K15" s="212">
        <v>1472</v>
      </c>
      <c r="L15" s="212">
        <v>0</v>
      </c>
      <c r="M15" s="212">
        <v>0</v>
      </c>
      <c r="N15" s="212">
        <v>0</v>
      </c>
      <c r="O15" s="418">
        <f t="shared" si="2"/>
        <v>5011</v>
      </c>
      <c r="P15" s="419">
        <f>1368-668+1946+117-708+676+1409+418+253+200</f>
        <v>5011</v>
      </c>
      <c r="Q15" s="212">
        <v>0</v>
      </c>
      <c r="R15" s="212">
        <v>0</v>
      </c>
      <c r="S15" s="212">
        <v>0</v>
      </c>
      <c r="T15" s="211">
        <f t="shared" si="3"/>
        <v>4600</v>
      </c>
      <c r="U15" s="212">
        <f>1368+3232</f>
        <v>4600</v>
      </c>
      <c r="V15" s="212">
        <v>0</v>
      </c>
      <c r="W15" s="212">
        <v>0</v>
      </c>
      <c r="X15" s="212">
        <v>0</v>
      </c>
      <c r="Y15" s="211">
        <f t="shared" si="4"/>
        <v>4463</v>
      </c>
      <c r="Z15" s="212">
        <v>4463</v>
      </c>
      <c r="AA15" s="212">
        <v>0</v>
      </c>
      <c r="AB15" s="212">
        <v>0</v>
      </c>
      <c r="AC15" s="212">
        <v>0</v>
      </c>
      <c r="AD15" s="211">
        <f t="shared" si="5"/>
        <v>17190</v>
      </c>
    </row>
    <row r="16" spans="1:34" ht="94.9" customHeight="1" outlineLevel="1" x14ac:dyDescent="0.2">
      <c r="A16" s="214" t="s">
        <v>1063</v>
      </c>
      <c r="B16" s="209" t="s">
        <v>702</v>
      </c>
      <c r="C16" s="203" t="s">
        <v>104</v>
      </c>
      <c r="D16" s="215" t="s">
        <v>90</v>
      </c>
      <c r="E16" s="211">
        <f t="shared" si="0"/>
        <v>1020</v>
      </c>
      <c r="F16" s="212">
        <v>1020</v>
      </c>
      <c r="G16" s="212">
        <v>0</v>
      </c>
      <c r="H16" s="212">
        <v>0</v>
      </c>
      <c r="I16" s="212">
        <v>0</v>
      </c>
      <c r="J16" s="211">
        <f t="shared" si="1"/>
        <v>1570</v>
      </c>
      <c r="K16" s="212">
        <f>1286+283+1</f>
        <v>1570</v>
      </c>
      <c r="L16" s="212">
        <v>0</v>
      </c>
      <c r="M16" s="212">
        <v>0</v>
      </c>
      <c r="N16" s="212">
        <v>0</v>
      </c>
      <c r="O16" s="357">
        <f t="shared" si="2"/>
        <v>838</v>
      </c>
      <c r="P16" s="356">
        <f>94+838-94</f>
        <v>838</v>
      </c>
      <c r="Q16" s="212">
        <v>0</v>
      </c>
      <c r="R16" s="212">
        <v>0</v>
      </c>
      <c r="S16" s="212">
        <v>0</v>
      </c>
      <c r="T16" s="211">
        <f t="shared" si="3"/>
        <v>14338</v>
      </c>
      <c r="U16" s="212">
        <v>14338</v>
      </c>
      <c r="V16" s="212">
        <v>0</v>
      </c>
      <c r="W16" s="212">
        <v>0</v>
      </c>
      <c r="X16" s="212">
        <v>0</v>
      </c>
      <c r="Y16" s="211">
        <f t="shared" si="4"/>
        <v>632</v>
      </c>
      <c r="Z16" s="212">
        <v>632</v>
      </c>
      <c r="AA16" s="212">
        <v>0</v>
      </c>
      <c r="AB16" s="212">
        <v>0</v>
      </c>
      <c r="AC16" s="212">
        <v>0</v>
      </c>
      <c r="AD16" s="211">
        <f t="shared" si="5"/>
        <v>18398</v>
      </c>
    </row>
    <row r="17" spans="1:30" ht="96" customHeight="1" outlineLevel="1" x14ac:dyDescent="0.2">
      <c r="A17" s="214" t="s">
        <v>1064</v>
      </c>
      <c r="B17" s="209" t="s">
        <v>103</v>
      </c>
      <c r="C17" s="203" t="s">
        <v>94</v>
      </c>
      <c r="D17" s="216" t="s">
        <v>1615</v>
      </c>
      <c r="E17" s="211">
        <f t="shared" si="0"/>
        <v>8411</v>
      </c>
      <c r="F17" s="212">
        <v>8411</v>
      </c>
      <c r="G17" s="212">
        <v>0</v>
      </c>
      <c r="H17" s="212">
        <v>0</v>
      </c>
      <c r="I17" s="212">
        <v>0</v>
      </c>
      <c r="J17" s="217">
        <f t="shared" si="1"/>
        <v>3081</v>
      </c>
      <c r="K17" s="218">
        <f>7310-5219+841+153-4</f>
        <v>3081</v>
      </c>
      <c r="L17" s="212">
        <v>0</v>
      </c>
      <c r="M17" s="212">
        <v>0</v>
      </c>
      <c r="N17" s="212">
        <v>0</v>
      </c>
      <c r="O17" s="357">
        <f t="shared" si="2"/>
        <v>5820</v>
      </c>
      <c r="P17" s="356">
        <f>8219-6307+105+772-157-71+3259</f>
        <v>5820</v>
      </c>
      <c r="Q17" s="212">
        <v>0</v>
      </c>
      <c r="R17" s="212">
        <v>0</v>
      </c>
      <c r="S17" s="212">
        <v>0</v>
      </c>
      <c r="T17" s="211">
        <f t="shared" si="3"/>
        <v>0</v>
      </c>
      <c r="U17" s="212">
        <v>0</v>
      </c>
      <c r="V17" s="212">
        <v>0</v>
      </c>
      <c r="W17" s="212">
        <v>0</v>
      </c>
      <c r="X17" s="212">
        <v>0</v>
      </c>
      <c r="Y17" s="211">
        <f t="shared" si="4"/>
        <v>0</v>
      </c>
      <c r="Z17" s="212">
        <v>0</v>
      </c>
      <c r="AA17" s="212">
        <v>0</v>
      </c>
      <c r="AB17" s="212">
        <v>0</v>
      </c>
      <c r="AC17" s="212">
        <v>0</v>
      </c>
      <c r="AD17" s="211">
        <f t="shared" si="5"/>
        <v>17312</v>
      </c>
    </row>
    <row r="18" spans="1:30" ht="135.75" customHeight="1" outlineLevel="1" x14ac:dyDescent="0.2">
      <c r="A18" s="214" t="s">
        <v>1065</v>
      </c>
      <c r="B18" s="209" t="s">
        <v>705</v>
      </c>
      <c r="C18" s="203" t="s">
        <v>94</v>
      </c>
      <c r="D18" s="215" t="s">
        <v>90</v>
      </c>
      <c r="E18" s="211">
        <f t="shared" si="0"/>
        <v>817</v>
      </c>
      <c r="F18" s="212">
        <v>817</v>
      </c>
      <c r="G18" s="212">
        <v>0</v>
      </c>
      <c r="H18" s="212">
        <v>0</v>
      </c>
      <c r="I18" s="212">
        <v>0</v>
      </c>
      <c r="J18" s="211">
        <f t="shared" si="1"/>
        <v>2512</v>
      </c>
      <c r="K18" s="212">
        <f>1695+817</f>
        <v>2512</v>
      </c>
      <c r="L18" s="212">
        <v>0</v>
      </c>
      <c r="M18" s="212">
        <v>0</v>
      </c>
      <c r="N18" s="212">
        <v>0</v>
      </c>
      <c r="O18" s="357">
        <f t="shared" si="2"/>
        <v>4649</v>
      </c>
      <c r="P18" s="356">
        <f>615+578+1853+2512-486-423</f>
        <v>4649</v>
      </c>
      <c r="Q18" s="212">
        <v>0</v>
      </c>
      <c r="R18" s="212">
        <v>0</v>
      </c>
      <c r="S18" s="212">
        <v>0</v>
      </c>
      <c r="T18" s="211">
        <f t="shared" si="3"/>
        <v>3573</v>
      </c>
      <c r="U18" s="212">
        <v>3573</v>
      </c>
      <c r="V18" s="212">
        <v>0</v>
      </c>
      <c r="W18" s="212">
        <v>0</v>
      </c>
      <c r="X18" s="212">
        <v>0</v>
      </c>
      <c r="Y18" s="211">
        <f t="shared" si="4"/>
        <v>3719</v>
      </c>
      <c r="Z18" s="212">
        <v>3719</v>
      </c>
      <c r="AA18" s="212">
        <v>0</v>
      </c>
      <c r="AB18" s="212">
        <v>0</v>
      </c>
      <c r="AC18" s="212">
        <v>0</v>
      </c>
      <c r="AD18" s="211">
        <f t="shared" si="5"/>
        <v>15270</v>
      </c>
    </row>
    <row r="19" spans="1:30" ht="135.75" customHeight="1" outlineLevel="1" x14ac:dyDescent="0.2">
      <c r="A19" s="214" t="s">
        <v>1066</v>
      </c>
      <c r="B19" s="209" t="s">
        <v>851</v>
      </c>
      <c r="C19" s="203" t="s">
        <v>106</v>
      </c>
      <c r="D19" s="215" t="s">
        <v>1618</v>
      </c>
      <c r="E19" s="211">
        <f t="shared" si="0"/>
        <v>0</v>
      </c>
      <c r="F19" s="212">
        <v>0</v>
      </c>
      <c r="G19" s="212">
        <v>0</v>
      </c>
      <c r="H19" s="212">
        <v>0</v>
      </c>
      <c r="I19" s="212">
        <v>0</v>
      </c>
      <c r="J19" s="211">
        <f t="shared" si="1"/>
        <v>0</v>
      </c>
      <c r="K19" s="212">
        <f>8629-8629</f>
        <v>0</v>
      </c>
      <c r="L19" s="212">
        <v>0</v>
      </c>
      <c r="M19" s="212">
        <v>0</v>
      </c>
      <c r="N19" s="212">
        <v>0</v>
      </c>
      <c r="O19" s="211">
        <f t="shared" si="2"/>
        <v>10733</v>
      </c>
      <c r="P19" s="212">
        <v>10733</v>
      </c>
      <c r="Q19" s="212">
        <v>0</v>
      </c>
      <c r="R19" s="212">
        <v>0</v>
      </c>
      <c r="S19" s="212">
        <v>0</v>
      </c>
      <c r="T19" s="211">
        <f t="shared" si="3"/>
        <v>0</v>
      </c>
      <c r="U19" s="212">
        <v>0</v>
      </c>
      <c r="V19" s="212">
        <v>0</v>
      </c>
      <c r="W19" s="212">
        <v>0</v>
      </c>
      <c r="X19" s="212">
        <v>0</v>
      </c>
      <c r="Y19" s="211">
        <f t="shared" si="4"/>
        <v>0</v>
      </c>
      <c r="Z19" s="212">
        <v>0</v>
      </c>
      <c r="AA19" s="212">
        <v>0</v>
      </c>
      <c r="AB19" s="212">
        <v>0</v>
      </c>
      <c r="AC19" s="212">
        <v>0</v>
      </c>
      <c r="AD19" s="211">
        <f>E19+J19+O19+T19+Y19</f>
        <v>10733</v>
      </c>
    </row>
    <row r="20" spans="1:30" ht="132" customHeight="1" outlineLevel="1" x14ac:dyDescent="0.2">
      <c r="A20" s="214" t="s">
        <v>1745</v>
      </c>
      <c r="B20" s="327" t="s">
        <v>1752</v>
      </c>
      <c r="C20" s="203" t="s">
        <v>94</v>
      </c>
      <c r="D20" s="219" t="s">
        <v>1618</v>
      </c>
      <c r="E20" s="211">
        <f t="shared" si="0"/>
        <v>0</v>
      </c>
      <c r="F20" s="212">
        <v>0</v>
      </c>
      <c r="G20" s="212">
        <v>0</v>
      </c>
      <c r="H20" s="212">
        <v>0</v>
      </c>
      <c r="I20" s="212">
        <v>0</v>
      </c>
      <c r="J20" s="211">
        <f t="shared" si="1"/>
        <v>0</v>
      </c>
      <c r="K20" s="212">
        <f>8629-8629</f>
        <v>0</v>
      </c>
      <c r="L20" s="212">
        <v>0</v>
      </c>
      <c r="M20" s="212">
        <v>0</v>
      </c>
      <c r="N20" s="212">
        <v>0</v>
      </c>
      <c r="O20" s="211">
        <f>SUM(P20:S20)</f>
        <v>486</v>
      </c>
      <c r="P20" s="212">
        <v>486</v>
      </c>
      <c r="Q20" s="212">
        <v>0</v>
      </c>
      <c r="R20" s="212">
        <v>0</v>
      </c>
      <c r="S20" s="212">
        <v>0</v>
      </c>
      <c r="T20" s="211">
        <f>SUM(U20:X20)</f>
        <v>0</v>
      </c>
      <c r="U20" s="212">
        <v>0</v>
      </c>
      <c r="V20" s="212">
        <v>0</v>
      </c>
      <c r="W20" s="212">
        <v>0</v>
      </c>
      <c r="X20" s="212">
        <v>0</v>
      </c>
      <c r="Y20" s="211">
        <f>SUM(Z20:AC20)</f>
        <v>0</v>
      </c>
      <c r="Z20" s="212">
        <v>0</v>
      </c>
      <c r="AA20" s="212">
        <v>0</v>
      </c>
      <c r="AB20" s="212">
        <v>0</v>
      </c>
      <c r="AC20" s="212">
        <v>0</v>
      </c>
      <c r="AD20" s="211">
        <f>E20+J20+O20+T20+Y20</f>
        <v>486</v>
      </c>
    </row>
    <row r="21" spans="1:30" ht="40.9" customHeight="1" outlineLevel="1" x14ac:dyDescent="0.2">
      <c r="A21" s="206" t="s">
        <v>10</v>
      </c>
      <c r="B21" s="506" t="s">
        <v>1067</v>
      </c>
      <c r="C21" s="507"/>
      <c r="D21" s="507"/>
      <c r="E21" s="507"/>
      <c r="F21" s="507"/>
      <c r="G21" s="507"/>
      <c r="H21" s="507"/>
      <c r="I21" s="507"/>
      <c r="J21" s="507"/>
      <c r="K21" s="507"/>
      <c r="L21" s="507"/>
      <c r="M21" s="507"/>
      <c r="N21" s="507"/>
      <c r="O21" s="507"/>
      <c r="P21" s="507"/>
      <c r="Q21" s="507"/>
      <c r="R21" s="507"/>
      <c r="S21" s="507"/>
      <c r="T21" s="507"/>
      <c r="U21" s="507"/>
      <c r="V21" s="507"/>
      <c r="W21" s="507"/>
      <c r="X21" s="507"/>
      <c r="Y21" s="507"/>
      <c r="Z21" s="507"/>
      <c r="AA21" s="507"/>
      <c r="AB21" s="507"/>
      <c r="AC21" s="507"/>
      <c r="AD21" s="510"/>
    </row>
    <row r="22" spans="1:30" ht="118.9" customHeight="1" outlineLevel="1" x14ac:dyDescent="0.2">
      <c r="A22" s="208" t="s">
        <v>11</v>
      </c>
      <c r="B22" s="209" t="s">
        <v>594</v>
      </c>
      <c r="C22" s="203" t="s">
        <v>106</v>
      </c>
      <c r="D22" s="210" t="s">
        <v>600</v>
      </c>
      <c r="E22" s="211">
        <f>SUM(F22:I22)</f>
        <v>51269</v>
      </c>
      <c r="F22" s="212">
        <f>46195+1408+1630+2036</f>
        <v>51269</v>
      </c>
      <c r="G22" s="212">
        <v>0</v>
      </c>
      <c r="H22" s="212">
        <v>0</v>
      </c>
      <c r="I22" s="212">
        <v>0</v>
      </c>
      <c r="J22" s="211">
        <f>SUM(K22:N22)</f>
        <v>13924</v>
      </c>
      <c r="K22" s="212">
        <f>11888+2036</f>
        <v>13924</v>
      </c>
      <c r="L22" s="212">
        <v>0</v>
      </c>
      <c r="M22" s="212">
        <v>0</v>
      </c>
      <c r="N22" s="212">
        <v>0</v>
      </c>
      <c r="O22" s="357">
        <f t="shared" ref="O22:O31" si="6">SUM(P22:S22)</f>
        <v>34933</v>
      </c>
      <c r="P22" s="356">
        <f>11888+2036+1353+2370+4401+11012+1873</f>
        <v>34933</v>
      </c>
      <c r="Q22" s="212">
        <v>0</v>
      </c>
      <c r="R22" s="212">
        <v>0</v>
      </c>
      <c r="S22" s="212">
        <v>0</v>
      </c>
      <c r="T22" s="211">
        <f t="shared" ref="T22:T30" si="7">SUM(U22:X22)</f>
        <v>2500</v>
      </c>
      <c r="U22" s="212">
        <f>13924-11424</f>
        <v>2500</v>
      </c>
      <c r="V22" s="212">
        <v>0</v>
      </c>
      <c r="W22" s="212">
        <v>0</v>
      </c>
      <c r="X22" s="212">
        <v>0</v>
      </c>
      <c r="Y22" s="211">
        <f t="shared" ref="Y22:Y30" si="8">SUM(Z22:AC22)</f>
        <v>2500</v>
      </c>
      <c r="Z22" s="212">
        <f>29000+781-27281</f>
        <v>2500</v>
      </c>
      <c r="AA22" s="212">
        <v>0</v>
      </c>
      <c r="AB22" s="212">
        <v>0</v>
      </c>
      <c r="AC22" s="212">
        <v>0</v>
      </c>
      <c r="AD22" s="211">
        <f t="shared" ref="AD22:AD32" si="9">E22+J22+O22+T22+Y22</f>
        <v>105126</v>
      </c>
    </row>
    <row r="23" spans="1:30" ht="126" customHeight="1" outlineLevel="1" x14ac:dyDescent="0.2">
      <c r="A23" s="220" t="s">
        <v>12</v>
      </c>
      <c r="B23" s="209" t="s">
        <v>102</v>
      </c>
      <c r="C23" s="203" t="s">
        <v>94</v>
      </c>
      <c r="D23" s="210" t="s">
        <v>1754</v>
      </c>
      <c r="E23" s="211">
        <f>F23+G23+H23+I23</f>
        <v>0</v>
      </c>
      <c r="F23" s="212">
        <v>0</v>
      </c>
      <c r="G23" s="212">
        <v>0</v>
      </c>
      <c r="H23" s="212">
        <v>0</v>
      </c>
      <c r="I23" s="212">
        <v>0</v>
      </c>
      <c r="J23" s="211">
        <f>K23+L23</f>
        <v>0</v>
      </c>
      <c r="K23" s="212">
        <v>0</v>
      </c>
      <c r="L23" s="212">
        <v>0</v>
      </c>
      <c r="M23" s="212">
        <v>0</v>
      </c>
      <c r="N23" s="212">
        <v>0</v>
      </c>
      <c r="O23" s="418">
        <f t="shared" si="6"/>
        <v>13</v>
      </c>
      <c r="P23" s="419">
        <f>1417-578-583-29-214</f>
        <v>13</v>
      </c>
      <c r="Q23" s="212">
        <v>0</v>
      </c>
      <c r="R23" s="212">
        <v>0</v>
      </c>
      <c r="S23" s="212">
        <v>0</v>
      </c>
      <c r="T23" s="211">
        <f t="shared" si="7"/>
        <v>4886</v>
      </c>
      <c r="U23" s="212">
        <f>1417+3469</f>
        <v>4886</v>
      </c>
      <c r="V23" s="212">
        <v>0</v>
      </c>
      <c r="W23" s="212">
        <v>0</v>
      </c>
      <c r="X23" s="212">
        <v>0</v>
      </c>
      <c r="Y23" s="211">
        <f t="shared" si="8"/>
        <v>256</v>
      </c>
      <c r="Z23" s="212">
        <v>256</v>
      </c>
      <c r="AA23" s="212">
        <v>0</v>
      </c>
      <c r="AB23" s="212">
        <v>0</v>
      </c>
      <c r="AC23" s="212">
        <v>0</v>
      </c>
      <c r="AD23" s="211">
        <f t="shared" si="9"/>
        <v>5155</v>
      </c>
    </row>
    <row r="24" spans="1:30" ht="117.6" customHeight="1" outlineLevel="1" x14ac:dyDescent="0.2">
      <c r="A24" s="214" t="s">
        <v>27</v>
      </c>
      <c r="B24" s="209" t="s">
        <v>568</v>
      </c>
      <c r="C24" s="203" t="s">
        <v>94</v>
      </c>
      <c r="D24" s="210" t="s">
        <v>1615</v>
      </c>
      <c r="E24" s="211">
        <f>F24+G24+H24+I24</f>
        <v>5379</v>
      </c>
      <c r="F24" s="212">
        <v>5379</v>
      </c>
      <c r="G24" s="212">
        <v>0</v>
      </c>
      <c r="H24" s="212">
        <v>0</v>
      </c>
      <c r="I24" s="212">
        <v>0</v>
      </c>
      <c r="J24" s="217">
        <f>K24+L24+M24+N24</f>
        <v>8539</v>
      </c>
      <c r="K24" s="218">
        <f>5209+3483-153</f>
        <v>8539</v>
      </c>
      <c r="L24" s="212">
        <v>0</v>
      </c>
      <c r="M24" s="212">
        <v>0</v>
      </c>
      <c r="N24" s="212">
        <v>0</v>
      </c>
      <c r="O24" s="357">
        <f t="shared" si="6"/>
        <v>1231</v>
      </c>
      <c r="P24" s="356">
        <f>12265-10932-82-20</f>
        <v>1231</v>
      </c>
      <c r="Q24" s="212">
        <v>0</v>
      </c>
      <c r="R24" s="212">
        <v>0</v>
      </c>
      <c r="S24" s="212">
        <v>0</v>
      </c>
      <c r="T24" s="211">
        <f t="shared" si="7"/>
        <v>0</v>
      </c>
      <c r="U24" s="212">
        <f>12265-12265</f>
        <v>0</v>
      </c>
      <c r="V24" s="212">
        <v>0</v>
      </c>
      <c r="W24" s="212">
        <v>0</v>
      </c>
      <c r="X24" s="212">
        <v>0</v>
      </c>
      <c r="Y24" s="211">
        <f t="shared" si="8"/>
        <v>0</v>
      </c>
      <c r="Z24" s="212">
        <v>0</v>
      </c>
      <c r="AA24" s="212">
        <v>0</v>
      </c>
      <c r="AB24" s="212">
        <v>0</v>
      </c>
      <c r="AC24" s="212">
        <v>0</v>
      </c>
      <c r="AD24" s="211">
        <f t="shared" si="9"/>
        <v>15149</v>
      </c>
    </row>
    <row r="25" spans="1:30" ht="109.5" customHeight="1" outlineLevel="1" x14ac:dyDescent="0.2">
      <c r="A25" s="214" t="s">
        <v>1068</v>
      </c>
      <c r="B25" s="209" t="s">
        <v>599</v>
      </c>
      <c r="C25" s="203" t="s">
        <v>94</v>
      </c>
      <c r="D25" s="210" t="s">
        <v>965</v>
      </c>
      <c r="E25" s="211">
        <v>0</v>
      </c>
      <c r="F25" s="212">
        <v>0</v>
      </c>
      <c r="G25" s="212">
        <v>0</v>
      </c>
      <c r="H25" s="212">
        <v>0</v>
      </c>
      <c r="I25" s="212">
        <v>0</v>
      </c>
      <c r="J25" s="211">
        <f>K25+L25</f>
        <v>65</v>
      </c>
      <c r="K25" s="212">
        <v>65</v>
      </c>
      <c r="L25" s="212">
        <v>0</v>
      </c>
      <c r="M25" s="212">
        <v>0</v>
      </c>
      <c r="N25" s="212">
        <v>0</v>
      </c>
      <c r="O25" s="357">
        <f t="shared" si="6"/>
        <v>1076</v>
      </c>
      <c r="P25" s="356">
        <v>1076</v>
      </c>
      <c r="Q25" s="212">
        <v>0</v>
      </c>
      <c r="R25" s="212">
        <v>0</v>
      </c>
      <c r="S25" s="212">
        <v>0</v>
      </c>
      <c r="T25" s="211">
        <f t="shared" si="7"/>
        <v>1752</v>
      </c>
      <c r="U25" s="212">
        <v>1752</v>
      </c>
      <c r="V25" s="212">
        <v>0</v>
      </c>
      <c r="W25" s="212">
        <v>0</v>
      </c>
      <c r="X25" s="212">
        <v>0</v>
      </c>
      <c r="Y25" s="211">
        <f t="shared" si="8"/>
        <v>0</v>
      </c>
      <c r="Z25" s="212">
        <f>2170-2170</f>
        <v>0</v>
      </c>
      <c r="AA25" s="212">
        <v>0</v>
      </c>
      <c r="AB25" s="212">
        <v>0</v>
      </c>
      <c r="AC25" s="212">
        <v>0</v>
      </c>
      <c r="AD25" s="211">
        <f t="shared" si="9"/>
        <v>2893</v>
      </c>
    </row>
    <row r="26" spans="1:30" ht="82.9" customHeight="1" outlineLevel="1" x14ac:dyDescent="0.2">
      <c r="A26" s="214" t="s">
        <v>1069</v>
      </c>
      <c r="B26" s="209" t="s">
        <v>575</v>
      </c>
      <c r="C26" s="203" t="s">
        <v>94</v>
      </c>
      <c r="D26" s="210" t="s">
        <v>1615</v>
      </c>
      <c r="E26" s="211">
        <f>F26+G26+H26+I26</f>
        <v>3478</v>
      </c>
      <c r="F26" s="212">
        <v>3478</v>
      </c>
      <c r="G26" s="212">
        <v>0</v>
      </c>
      <c r="H26" s="212">
        <v>0</v>
      </c>
      <c r="I26" s="212">
        <v>0</v>
      </c>
      <c r="J26" s="211">
        <f>K26+L26+M26+N26</f>
        <v>797</v>
      </c>
      <c r="K26" s="212">
        <f>4667-3870</f>
        <v>797</v>
      </c>
      <c r="L26" s="212">
        <v>0</v>
      </c>
      <c r="M26" s="212">
        <v>0</v>
      </c>
      <c r="N26" s="212">
        <v>0</v>
      </c>
      <c r="O26" s="357">
        <f t="shared" si="6"/>
        <v>2619</v>
      </c>
      <c r="P26" s="356">
        <f>57-57+2619</f>
        <v>2619</v>
      </c>
      <c r="Q26" s="212">
        <v>0</v>
      </c>
      <c r="R26" s="212">
        <v>0</v>
      </c>
      <c r="S26" s="212">
        <v>0</v>
      </c>
      <c r="T26" s="211">
        <f t="shared" si="7"/>
        <v>0</v>
      </c>
      <c r="U26" s="212">
        <v>0</v>
      </c>
      <c r="V26" s="212">
        <v>0</v>
      </c>
      <c r="W26" s="212">
        <v>0</v>
      </c>
      <c r="X26" s="212">
        <v>0</v>
      </c>
      <c r="Y26" s="211">
        <f t="shared" si="8"/>
        <v>0</v>
      </c>
      <c r="Z26" s="212">
        <v>0</v>
      </c>
      <c r="AA26" s="212">
        <v>0</v>
      </c>
      <c r="AB26" s="212">
        <v>0</v>
      </c>
      <c r="AC26" s="212">
        <v>0</v>
      </c>
      <c r="AD26" s="211">
        <f t="shared" si="9"/>
        <v>6894</v>
      </c>
    </row>
    <row r="27" spans="1:30" ht="94.9" customHeight="1" outlineLevel="1" x14ac:dyDescent="0.2">
      <c r="A27" s="214" t="s">
        <v>1070</v>
      </c>
      <c r="B27" s="209" t="s">
        <v>596</v>
      </c>
      <c r="C27" s="203" t="s">
        <v>99</v>
      </c>
      <c r="D27" s="209" t="s">
        <v>90</v>
      </c>
      <c r="E27" s="211">
        <f>F27</f>
        <v>1700</v>
      </c>
      <c r="F27" s="212">
        <v>1700</v>
      </c>
      <c r="G27" s="212">
        <v>0</v>
      </c>
      <c r="H27" s="212">
        <v>0</v>
      </c>
      <c r="I27" s="212">
        <v>0</v>
      </c>
      <c r="J27" s="211">
        <f>K27</f>
        <v>2742</v>
      </c>
      <c r="K27" s="212">
        <f>2000+147+411+184</f>
        <v>2742</v>
      </c>
      <c r="L27" s="212">
        <v>0</v>
      </c>
      <c r="M27" s="212">
        <v>0</v>
      </c>
      <c r="N27" s="212">
        <v>0</v>
      </c>
      <c r="O27" s="357">
        <f t="shared" si="6"/>
        <v>2996</v>
      </c>
      <c r="P27" s="356">
        <f>2000+996</f>
        <v>2996</v>
      </c>
      <c r="Q27" s="212">
        <v>0</v>
      </c>
      <c r="R27" s="212">
        <v>0</v>
      </c>
      <c r="S27" s="212">
        <v>0</v>
      </c>
      <c r="T27" s="211">
        <f t="shared" si="7"/>
        <v>5529</v>
      </c>
      <c r="U27" s="212">
        <f>2000+3529</f>
        <v>5529</v>
      </c>
      <c r="V27" s="212">
        <v>0</v>
      </c>
      <c r="W27" s="212">
        <v>0</v>
      </c>
      <c r="X27" s="212">
        <v>0</v>
      </c>
      <c r="Y27" s="211">
        <f t="shared" si="8"/>
        <v>5529</v>
      </c>
      <c r="Z27" s="212">
        <f>4500+1029</f>
        <v>5529</v>
      </c>
      <c r="AA27" s="212">
        <v>0</v>
      </c>
      <c r="AB27" s="212">
        <v>0</v>
      </c>
      <c r="AC27" s="212">
        <v>0</v>
      </c>
      <c r="AD27" s="211">
        <f t="shared" si="9"/>
        <v>18496</v>
      </c>
    </row>
    <row r="28" spans="1:30" ht="100.9" customHeight="1" outlineLevel="1" x14ac:dyDescent="0.2">
      <c r="A28" s="214" t="s">
        <v>1071</v>
      </c>
      <c r="B28" s="209" t="s">
        <v>100</v>
      </c>
      <c r="C28" s="203" t="s">
        <v>99</v>
      </c>
      <c r="D28" s="209">
        <v>2025</v>
      </c>
      <c r="E28" s="211">
        <f>SUM(F28:I28)</f>
        <v>0</v>
      </c>
      <c r="F28" s="212">
        <v>0</v>
      </c>
      <c r="G28" s="212">
        <v>0</v>
      </c>
      <c r="H28" s="212">
        <v>0</v>
      </c>
      <c r="I28" s="212">
        <v>0</v>
      </c>
      <c r="J28" s="211">
        <f>SUM(K28:N28)</f>
        <v>0</v>
      </c>
      <c r="K28" s="212">
        <v>0</v>
      </c>
      <c r="L28" s="212">
        <v>0</v>
      </c>
      <c r="M28" s="212">
        <v>0</v>
      </c>
      <c r="N28" s="212">
        <v>0</v>
      </c>
      <c r="O28" s="357">
        <f t="shared" si="6"/>
        <v>0</v>
      </c>
      <c r="P28" s="356">
        <v>0</v>
      </c>
      <c r="Q28" s="212">
        <v>0</v>
      </c>
      <c r="R28" s="212">
        <v>0</v>
      </c>
      <c r="S28" s="212">
        <v>0</v>
      </c>
      <c r="T28" s="211">
        <f t="shared" si="7"/>
        <v>0</v>
      </c>
      <c r="U28" s="212">
        <v>0</v>
      </c>
      <c r="V28" s="212">
        <v>0</v>
      </c>
      <c r="W28" s="212">
        <v>0</v>
      </c>
      <c r="X28" s="212">
        <v>0</v>
      </c>
      <c r="Y28" s="211">
        <f t="shared" si="8"/>
        <v>0</v>
      </c>
      <c r="Z28" s="212">
        <f>893-893</f>
        <v>0</v>
      </c>
      <c r="AA28" s="212">
        <v>0</v>
      </c>
      <c r="AB28" s="212">
        <v>0</v>
      </c>
      <c r="AC28" s="212">
        <v>0</v>
      </c>
      <c r="AD28" s="211">
        <f t="shared" si="9"/>
        <v>0</v>
      </c>
    </row>
    <row r="29" spans="1:30" ht="112.9" customHeight="1" outlineLevel="1" x14ac:dyDescent="0.2">
      <c r="A29" s="214" t="s">
        <v>1072</v>
      </c>
      <c r="B29" s="209" t="s">
        <v>98</v>
      </c>
      <c r="C29" s="203" t="s">
        <v>97</v>
      </c>
      <c r="D29" s="216" t="s">
        <v>90</v>
      </c>
      <c r="E29" s="211">
        <f>SUM(F29:I29)</f>
        <v>3594</v>
      </c>
      <c r="F29" s="212">
        <v>3594</v>
      </c>
      <c r="G29" s="212">
        <v>0</v>
      </c>
      <c r="H29" s="212">
        <v>0</v>
      </c>
      <c r="I29" s="212">
        <v>0</v>
      </c>
      <c r="J29" s="211">
        <f>SUM(K29:N29)</f>
        <v>3788</v>
      </c>
      <c r="K29" s="212">
        <f>4176-388</f>
        <v>3788</v>
      </c>
      <c r="L29" s="212">
        <v>0</v>
      </c>
      <c r="M29" s="212">
        <v>0</v>
      </c>
      <c r="N29" s="212">
        <v>0</v>
      </c>
      <c r="O29" s="357">
        <f t="shared" si="6"/>
        <v>4176</v>
      </c>
      <c r="P29" s="356">
        <f>4575-399</f>
        <v>4176</v>
      </c>
      <c r="Q29" s="212">
        <v>0</v>
      </c>
      <c r="R29" s="212">
        <v>0</v>
      </c>
      <c r="S29" s="212">
        <v>0</v>
      </c>
      <c r="T29" s="211">
        <f t="shared" si="7"/>
        <v>4342</v>
      </c>
      <c r="U29" s="212">
        <f>4575-233</f>
        <v>4342</v>
      </c>
      <c r="V29" s="212">
        <v>0</v>
      </c>
      <c r="W29" s="212">
        <v>0</v>
      </c>
      <c r="X29" s="212">
        <v>0</v>
      </c>
      <c r="Y29" s="211">
        <f t="shared" si="8"/>
        <v>4342</v>
      </c>
      <c r="Z29" s="212">
        <f>4176+166</f>
        <v>4342</v>
      </c>
      <c r="AA29" s="212">
        <v>0</v>
      </c>
      <c r="AB29" s="212">
        <v>0</v>
      </c>
      <c r="AC29" s="212">
        <v>0</v>
      </c>
      <c r="AD29" s="211">
        <f t="shared" si="9"/>
        <v>20242</v>
      </c>
    </row>
    <row r="30" spans="1:30" ht="117.75" customHeight="1" outlineLevel="1" x14ac:dyDescent="0.2">
      <c r="A30" s="214" t="s">
        <v>1073</v>
      </c>
      <c r="B30" s="209" t="s">
        <v>1042</v>
      </c>
      <c r="C30" s="203" t="s">
        <v>94</v>
      </c>
      <c r="D30" s="209" t="s">
        <v>1617</v>
      </c>
      <c r="E30" s="211">
        <f>SUM(F30:I30)</f>
        <v>0</v>
      </c>
      <c r="F30" s="212">
        <v>0</v>
      </c>
      <c r="G30" s="212">
        <v>0</v>
      </c>
      <c r="H30" s="212">
        <v>0</v>
      </c>
      <c r="I30" s="212">
        <v>0</v>
      </c>
      <c r="J30" s="211">
        <f>SUM(K30:N30)</f>
        <v>716</v>
      </c>
      <c r="K30" s="212">
        <f>1557-841</f>
        <v>716</v>
      </c>
      <c r="L30" s="212">
        <v>0</v>
      </c>
      <c r="M30" s="212">
        <v>0</v>
      </c>
      <c r="N30" s="212">
        <v>0</v>
      </c>
      <c r="O30" s="357">
        <f t="shared" si="6"/>
        <v>1587</v>
      </c>
      <c r="P30" s="356">
        <f>117+684-117-486+518+687+161+23</f>
        <v>1587</v>
      </c>
      <c r="Q30" s="212">
        <v>0</v>
      </c>
      <c r="R30" s="212">
        <v>0</v>
      </c>
      <c r="S30" s="212">
        <v>0</v>
      </c>
      <c r="T30" s="211">
        <f t="shared" si="7"/>
        <v>716</v>
      </c>
      <c r="U30" s="212">
        <v>716</v>
      </c>
      <c r="V30" s="212">
        <v>0</v>
      </c>
      <c r="W30" s="212">
        <v>0</v>
      </c>
      <c r="X30" s="212">
        <v>0</v>
      </c>
      <c r="Y30" s="211">
        <f t="shared" si="8"/>
        <v>0</v>
      </c>
      <c r="Z30" s="212">
        <v>0</v>
      </c>
      <c r="AA30" s="212">
        <v>0</v>
      </c>
      <c r="AB30" s="212">
        <v>0</v>
      </c>
      <c r="AC30" s="212">
        <v>0</v>
      </c>
      <c r="AD30" s="211">
        <f t="shared" si="9"/>
        <v>3019</v>
      </c>
    </row>
    <row r="31" spans="1:30" ht="112.9" customHeight="1" outlineLevel="1" x14ac:dyDescent="0.2">
      <c r="A31" s="214" t="s">
        <v>1074</v>
      </c>
      <c r="B31" s="209" t="s">
        <v>981</v>
      </c>
      <c r="C31" s="203" t="s">
        <v>94</v>
      </c>
      <c r="D31" s="209">
        <v>2022</v>
      </c>
      <c r="E31" s="211">
        <f>F31+G31+H31+I31</f>
        <v>0</v>
      </c>
      <c r="F31" s="212">
        <v>0</v>
      </c>
      <c r="G31" s="212">
        <v>0</v>
      </c>
      <c r="H31" s="212">
        <v>0</v>
      </c>
      <c r="I31" s="212">
        <v>0</v>
      </c>
      <c r="J31" s="211">
        <f>K31+L31+M31+N31</f>
        <v>314</v>
      </c>
      <c r="K31" s="212">
        <v>314</v>
      </c>
      <c r="L31" s="212">
        <v>0</v>
      </c>
      <c r="M31" s="212">
        <v>0</v>
      </c>
      <c r="N31" s="212">
        <v>0</v>
      </c>
      <c r="O31" s="357">
        <f t="shared" si="6"/>
        <v>314</v>
      </c>
      <c r="P31" s="356">
        <v>314</v>
      </c>
      <c r="Q31" s="212">
        <v>0</v>
      </c>
      <c r="R31" s="212">
        <v>0</v>
      </c>
      <c r="S31" s="212">
        <v>0</v>
      </c>
      <c r="T31" s="211">
        <f>SUM(U31:X31)</f>
        <v>0</v>
      </c>
      <c r="U31" s="212">
        <v>0</v>
      </c>
      <c r="V31" s="212">
        <v>0</v>
      </c>
      <c r="W31" s="212">
        <v>0</v>
      </c>
      <c r="X31" s="212">
        <v>0</v>
      </c>
      <c r="Y31" s="211">
        <f>SUM(Z31:AC31)</f>
        <v>0</v>
      </c>
      <c r="Z31" s="212">
        <v>0</v>
      </c>
      <c r="AA31" s="212">
        <v>0</v>
      </c>
      <c r="AB31" s="212">
        <v>0</v>
      </c>
      <c r="AC31" s="212">
        <v>0</v>
      </c>
      <c r="AD31" s="211">
        <f t="shared" si="9"/>
        <v>628</v>
      </c>
    </row>
    <row r="32" spans="1:30" ht="112.9" customHeight="1" outlineLevel="1" x14ac:dyDescent="0.2">
      <c r="A32" s="214" t="s">
        <v>1075</v>
      </c>
      <c r="B32" s="209" t="s">
        <v>982</v>
      </c>
      <c r="C32" s="203" t="s">
        <v>94</v>
      </c>
      <c r="D32" s="342">
        <v>2022</v>
      </c>
      <c r="E32" s="211">
        <f>SUM(F32:I32)</f>
        <v>0</v>
      </c>
      <c r="F32" s="212">
        <v>0</v>
      </c>
      <c r="G32" s="212">
        <v>0</v>
      </c>
      <c r="H32" s="212">
        <v>0</v>
      </c>
      <c r="I32" s="212">
        <v>0</v>
      </c>
      <c r="J32" s="211">
        <f>K32+L32+M32+N32</f>
        <v>2279</v>
      </c>
      <c r="K32" s="212">
        <v>2279</v>
      </c>
      <c r="L32" s="212">
        <v>0</v>
      </c>
      <c r="M32" s="212">
        <v>0</v>
      </c>
      <c r="N32" s="212">
        <v>0</v>
      </c>
      <c r="O32" s="357">
        <f>SUM(P32:S32)</f>
        <v>0</v>
      </c>
      <c r="P32" s="356">
        <v>0</v>
      </c>
      <c r="Q32" s="212">
        <v>0</v>
      </c>
      <c r="R32" s="212">
        <v>0</v>
      </c>
      <c r="S32" s="212">
        <v>0</v>
      </c>
      <c r="T32" s="211">
        <f>SUM(U32:X32)</f>
        <v>0</v>
      </c>
      <c r="U32" s="212">
        <v>0</v>
      </c>
      <c r="V32" s="212">
        <v>0</v>
      </c>
      <c r="W32" s="212">
        <v>0</v>
      </c>
      <c r="X32" s="212">
        <v>0</v>
      </c>
      <c r="Y32" s="211">
        <f>SUM(Z32:AC32)</f>
        <v>0</v>
      </c>
      <c r="Z32" s="212">
        <v>0</v>
      </c>
      <c r="AA32" s="212">
        <v>0</v>
      </c>
      <c r="AB32" s="212">
        <v>0</v>
      </c>
      <c r="AC32" s="212">
        <v>0</v>
      </c>
      <c r="AD32" s="211">
        <f t="shared" si="9"/>
        <v>2279</v>
      </c>
    </row>
    <row r="33" spans="1:34" ht="112.9" customHeight="1" outlineLevel="1" x14ac:dyDescent="0.2">
      <c r="A33" s="214" t="s">
        <v>1076</v>
      </c>
      <c r="B33" s="209" t="s">
        <v>998</v>
      </c>
      <c r="C33" s="203" t="s">
        <v>94</v>
      </c>
      <c r="D33" s="342" t="s">
        <v>1763</v>
      </c>
      <c r="E33" s="211">
        <f>SUM(F33:I33)</f>
        <v>0</v>
      </c>
      <c r="F33" s="212">
        <v>0</v>
      </c>
      <c r="G33" s="212">
        <v>0</v>
      </c>
      <c r="H33" s="212">
        <v>0</v>
      </c>
      <c r="I33" s="212">
        <v>0</v>
      </c>
      <c r="J33" s="211">
        <f>K33+L33+M33+N33</f>
        <v>6496</v>
      </c>
      <c r="K33" s="212">
        <v>6496</v>
      </c>
      <c r="L33" s="212">
        <v>0</v>
      </c>
      <c r="M33" s="212">
        <v>0</v>
      </c>
      <c r="N33" s="212">
        <v>0</v>
      </c>
      <c r="O33" s="357">
        <f>SUM(P33:S33)</f>
        <v>4128</v>
      </c>
      <c r="P33" s="356">
        <f>3914+214</f>
        <v>4128</v>
      </c>
      <c r="Q33" s="212">
        <v>0</v>
      </c>
      <c r="R33" s="212">
        <v>0</v>
      </c>
      <c r="S33" s="212">
        <v>0</v>
      </c>
      <c r="T33" s="211">
        <f>SUM(U33:X33)</f>
        <v>0</v>
      </c>
      <c r="U33" s="212">
        <v>0</v>
      </c>
      <c r="V33" s="212">
        <v>0</v>
      </c>
      <c r="W33" s="212">
        <v>0</v>
      </c>
      <c r="X33" s="212">
        <v>0</v>
      </c>
      <c r="Y33" s="211">
        <f>SUM(Z33:AC33)</f>
        <v>0</v>
      </c>
      <c r="Z33" s="212">
        <v>0</v>
      </c>
      <c r="AA33" s="212">
        <v>0</v>
      </c>
      <c r="AB33" s="212">
        <v>0</v>
      </c>
      <c r="AC33" s="212">
        <v>0</v>
      </c>
      <c r="AD33" s="211">
        <f>E33+J33+O33+T33+Y33</f>
        <v>10624</v>
      </c>
    </row>
    <row r="34" spans="1:34" ht="46.9" customHeight="1" outlineLevel="1" x14ac:dyDescent="0.2">
      <c r="A34" s="206" t="s">
        <v>26</v>
      </c>
      <c r="B34" s="506" t="s">
        <v>1053</v>
      </c>
      <c r="C34" s="507"/>
      <c r="D34" s="507"/>
      <c r="E34" s="507"/>
      <c r="F34" s="507"/>
      <c r="G34" s="507"/>
      <c r="H34" s="507"/>
      <c r="I34" s="507"/>
      <c r="J34" s="507"/>
      <c r="K34" s="507"/>
      <c r="L34" s="507"/>
      <c r="M34" s="507"/>
      <c r="N34" s="507"/>
      <c r="O34" s="507"/>
      <c r="P34" s="507"/>
      <c r="Q34" s="507"/>
      <c r="R34" s="507"/>
      <c r="S34" s="507"/>
      <c r="T34" s="507"/>
      <c r="U34" s="507"/>
      <c r="V34" s="507"/>
      <c r="W34" s="507"/>
      <c r="X34" s="507"/>
      <c r="Y34" s="507"/>
      <c r="Z34" s="507"/>
      <c r="AA34" s="507"/>
      <c r="AB34" s="507"/>
      <c r="AC34" s="507"/>
      <c r="AD34" s="510"/>
    </row>
    <row r="35" spans="1:34" ht="94.9" customHeight="1" outlineLevel="1" x14ac:dyDescent="0.2">
      <c r="A35" s="214" t="s">
        <v>409</v>
      </c>
      <c r="B35" s="209" t="s">
        <v>95</v>
      </c>
      <c r="C35" s="203" t="s">
        <v>94</v>
      </c>
      <c r="D35" s="216" t="s">
        <v>90</v>
      </c>
      <c r="E35" s="221">
        <f>F35+G35+H35+I35</f>
        <v>27036</v>
      </c>
      <c r="F35" s="212">
        <v>27036</v>
      </c>
      <c r="G35" s="212">
        <v>0</v>
      </c>
      <c r="H35" s="212">
        <v>0</v>
      </c>
      <c r="I35" s="212">
        <v>0</v>
      </c>
      <c r="J35" s="211">
        <f>K35+L35+M35+N35</f>
        <v>35037</v>
      </c>
      <c r="K35" s="212">
        <f>34053+19+526+786-411-184+388-1-139</f>
        <v>35037</v>
      </c>
      <c r="L35" s="212">
        <v>0</v>
      </c>
      <c r="M35" s="212">
        <v>0</v>
      </c>
      <c r="N35" s="212">
        <v>0</v>
      </c>
      <c r="O35" s="357">
        <f>SUM(P35:S35)</f>
        <v>45899</v>
      </c>
      <c r="P35" s="356">
        <f>32839+12411+642-2-121+130</f>
        <v>45899</v>
      </c>
      <c r="Q35" s="212">
        <v>0</v>
      </c>
      <c r="R35" s="212">
        <v>0</v>
      </c>
      <c r="S35" s="212">
        <v>0</v>
      </c>
      <c r="T35" s="211">
        <f>SUM(U35:X35)</f>
        <v>45368</v>
      </c>
      <c r="U35" s="212">
        <f>32839+12529</f>
        <v>45368</v>
      </c>
      <c r="V35" s="212">
        <v>0</v>
      </c>
      <c r="W35" s="212">
        <v>0</v>
      </c>
      <c r="X35" s="212">
        <v>0</v>
      </c>
      <c r="Y35" s="211">
        <f>SUM(Z35:AC35)</f>
        <v>45368</v>
      </c>
      <c r="Z35" s="212">
        <f>26539+300+18529</f>
        <v>45368</v>
      </c>
      <c r="AA35" s="212">
        <v>0</v>
      </c>
      <c r="AB35" s="212">
        <v>0</v>
      </c>
      <c r="AC35" s="212">
        <v>0</v>
      </c>
      <c r="AD35" s="211">
        <f>E35+J35+O35+T35+Y35</f>
        <v>198708</v>
      </c>
    </row>
    <row r="36" spans="1:34" ht="46.9" customHeight="1" outlineLevel="1" x14ac:dyDescent="0.2">
      <c r="A36" s="539" t="s">
        <v>127</v>
      </c>
      <c r="B36" s="539"/>
      <c r="C36" s="539"/>
      <c r="D36" s="1"/>
      <c r="E36" s="211">
        <f t="shared" ref="E36:AD36" si="10">SUM(E13:E35)</f>
        <v>173012</v>
      </c>
      <c r="F36" s="211">
        <f t="shared" si="10"/>
        <v>173012</v>
      </c>
      <c r="G36" s="211">
        <f t="shared" si="10"/>
        <v>0</v>
      </c>
      <c r="H36" s="211">
        <f t="shared" si="10"/>
        <v>0</v>
      </c>
      <c r="I36" s="211">
        <f t="shared" si="10"/>
        <v>0</v>
      </c>
      <c r="J36" s="211">
        <f t="shared" si="10"/>
        <v>103854</v>
      </c>
      <c r="K36" s="211">
        <f>SUM(K13:K35)</f>
        <v>103854</v>
      </c>
      <c r="L36" s="211">
        <f t="shared" si="10"/>
        <v>0</v>
      </c>
      <c r="M36" s="211">
        <f t="shared" si="10"/>
        <v>0</v>
      </c>
      <c r="N36" s="211">
        <f t="shared" si="10"/>
        <v>0</v>
      </c>
      <c r="O36" s="211">
        <f t="shared" si="10"/>
        <v>126840</v>
      </c>
      <c r="P36" s="211">
        <f t="shared" si="10"/>
        <v>126840</v>
      </c>
      <c r="Q36" s="211">
        <f t="shared" si="10"/>
        <v>0</v>
      </c>
      <c r="R36" s="211">
        <f t="shared" si="10"/>
        <v>0</v>
      </c>
      <c r="S36" s="211">
        <f t="shared" si="10"/>
        <v>0</v>
      </c>
      <c r="T36" s="211">
        <f t="shared" si="10"/>
        <v>95963</v>
      </c>
      <c r="U36" s="211">
        <f t="shared" si="10"/>
        <v>95963</v>
      </c>
      <c r="V36" s="211">
        <f t="shared" si="10"/>
        <v>0</v>
      </c>
      <c r="W36" s="211">
        <f t="shared" si="10"/>
        <v>0</v>
      </c>
      <c r="X36" s="211">
        <f t="shared" si="10"/>
        <v>0</v>
      </c>
      <c r="Y36" s="211">
        <f t="shared" si="10"/>
        <v>100991</v>
      </c>
      <c r="Z36" s="211">
        <f t="shared" si="10"/>
        <v>100991</v>
      </c>
      <c r="AA36" s="211">
        <f t="shared" si="10"/>
        <v>0</v>
      </c>
      <c r="AB36" s="211">
        <f t="shared" si="10"/>
        <v>0</v>
      </c>
      <c r="AC36" s="211">
        <f t="shared" si="10"/>
        <v>0</v>
      </c>
      <c r="AD36" s="211">
        <f t="shared" si="10"/>
        <v>600660</v>
      </c>
      <c r="AE36" s="222">
        <f>F36+K36+P36+U36+Z36</f>
        <v>600660</v>
      </c>
      <c r="AF36" s="222">
        <f>G36+L36+Q36+V36+AA36</f>
        <v>0</v>
      </c>
      <c r="AG36" s="222">
        <f>H36+M36+R36+W36+AB36</f>
        <v>0</v>
      </c>
      <c r="AH36" s="222">
        <f>I36+N36+S36+X36+AC36</f>
        <v>0</v>
      </c>
    </row>
    <row r="37" spans="1:34" s="223" customFormat="1" ht="55.15" customHeight="1" x14ac:dyDescent="0.2">
      <c r="A37" s="207" t="s">
        <v>1057</v>
      </c>
      <c r="B37" s="508" t="s">
        <v>452</v>
      </c>
      <c r="C37" s="509"/>
      <c r="D37" s="509"/>
      <c r="E37" s="509"/>
      <c r="F37" s="509"/>
      <c r="G37" s="509"/>
      <c r="H37" s="509"/>
      <c r="I37" s="509"/>
      <c r="J37" s="509"/>
      <c r="K37" s="509"/>
      <c r="L37" s="509"/>
      <c r="M37" s="509"/>
      <c r="N37" s="509"/>
      <c r="O37" s="509"/>
      <c r="P37" s="509"/>
      <c r="Q37" s="509"/>
      <c r="R37" s="509"/>
      <c r="S37" s="509"/>
      <c r="T37" s="509"/>
      <c r="U37" s="509"/>
      <c r="V37" s="509"/>
      <c r="W37" s="509"/>
      <c r="X37" s="509"/>
      <c r="Y37" s="509"/>
      <c r="Z37" s="509"/>
      <c r="AA37" s="509"/>
      <c r="AB37" s="509"/>
      <c r="AC37" s="509"/>
      <c r="AD37" s="511"/>
      <c r="AE37" s="198"/>
      <c r="AF37" s="198"/>
      <c r="AG37" s="198"/>
      <c r="AH37" s="198"/>
    </row>
    <row r="38" spans="1:34" ht="42" customHeight="1" x14ac:dyDescent="0.2">
      <c r="A38" s="531" t="s">
        <v>561</v>
      </c>
      <c r="B38" s="531"/>
      <c r="C38" s="531"/>
      <c r="D38" s="531"/>
      <c r="E38" s="531"/>
      <c r="F38" s="531"/>
      <c r="G38" s="531"/>
      <c r="H38" s="531"/>
      <c r="I38" s="531"/>
      <c r="J38" s="531"/>
      <c r="K38" s="531"/>
      <c r="L38" s="531"/>
      <c r="M38" s="531"/>
      <c r="N38" s="531"/>
      <c r="O38" s="531"/>
      <c r="P38" s="531"/>
      <c r="Q38" s="531"/>
      <c r="R38" s="531"/>
      <c r="S38" s="531"/>
      <c r="T38" s="531"/>
      <c r="U38" s="531"/>
      <c r="V38" s="531"/>
      <c r="W38" s="531"/>
      <c r="X38" s="531"/>
      <c r="Y38" s="531"/>
      <c r="Z38" s="531"/>
      <c r="AA38" s="531"/>
      <c r="AB38" s="531"/>
      <c r="AC38" s="531"/>
      <c r="AD38" s="531"/>
    </row>
    <row r="39" spans="1:34" s="224" customFormat="1" ht="43.15" customHeight="1" outlineLevel="1" x14ac:dyDescent="0.2">
      <c r="A39" s="538" t="s">
        <v>451</v>
      </c>
      <c r="B39" s="538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538"/>
      <c r="N39" s="538"/>
      <c r="O39" s="538"/>
      <c r="P39" s="538"/>
      <c r="Q39" s="538"/>
      <c r="R39" s="538"/>
      <c r="S39" s="538"/>
      <c r="T39" s="538"/>
      <c r="U39" s="538"/>
      <c r="V39" s="538"/>
      <c r="W39" s="538"/>
      <c r="X39" s="538"/>
      <c r="Y39" s="538"/>
      <c r="Z39" s="538"/>
      <c r="AA39" s="538"/>
      <c r="AB39" s="538"/>
      <c r="AC39" s="538"/>
      <c r="AD39" s="538"/>
      <c r="AE39" s="198"/>
      <c r="AF39" s="198"/>
      <c r="AG39" s="198"/>
      <c r="AH39" s="198"/>
    </row>
    <row r="40" spans="1:34" s="224" customFormat="1" ht="54" customHeight="1" outlineLevel="1" x14ac:dyDescent="0.2">
      <c r="A40" s="207" t="s">
        <v>2</v>
      </c>
      <c r="B40" s="508" t="s">
        <v>1056</v>
      </c>
      <c r="C40" s="509"/>
      <c r="D40" s="509"/>
      <c r="E40" s="509"/>
      <c r="F40" s="509"/>
      <c r="G40" s="509"/>
      <c r="H40" s="509"/>
      <c r="I40" s="509"/>
      <c r="J40" s="509"/>
      <c r="K40" s="509"/>
      <c r="L40" s="509"/>
      <c r="M40" s="509"/>
      <c r="N40" s="509"/>
      <c r="O40" s="509"/>
      <c r="P40" s="509"/>
      <c r="Q40" s="509"/>
      <c r="R40" s="509"/>
      <c r="S40" s="509"/>
      <c r="T40" s="509"/>
      <c r="U40" s="509"/>
      <c r="V40" s="509"/>
      <c r="W40" s="509"/>
      <c r="X40" s="509"/>
      <c r="Y40" s="509"/>
      <c r="Z40" s="509"/>
      <c r="AA40" s="509"/>
      <c r="AB40" s="509"/>
      <c r="AC40" s="509"/>
      <c r="AD40" s="511"/>
      <c r="AE40" s="198"/>
      <c r="AF40" s="198"/>
      <c r="AG40" s="198"/>
      <c r="AH40" s="198"/>
    </row>
    <row r="41" spans="1:34" ht="179.25" customHeight="1" outlineLevel="1" x14ac:dyDescent="0.2">
      <c r="A41" s="214" t="s">
        <v>9</v>
      </c>
      <c r="B41" s="209" t="s">
        <v>689</v>
      </c>
      <c r="C41" s="203" t="s">
        <v>846</v>
      </c>
      <c r="D41" s="209" t="s">
        <v>90</v>
      </c>
      <c r="E41" s="211">
        <f t="shared" ref="E41:E49" si="11">F41+G41+H41+I41</f>
        <v>321465</v>
      </c>
      <c r="F41" s="2">
        <f>ROUND('2.переченьМРАД'!$I$52,0)</f>
        <v>12402</v>
      </c>
      <c r="G41" s="2">
        <f>ROUND('2.переченьМРАД'!$H$52,0)</f>
        <v>182270</v>
      </c>
      <c r="H41" s="2">
        <f>ROUND('2.переченьМРАД'!G52,0)</f>
        <v>126793</v>
      </c>
      <c r="I41" s="225">
        <v>0</v>
      </c>
      <c r="J41" s="211">
        <f>K41+L41+M41+N41</f>
        <v>8332</v>
      </c>
      <c r="K41" s="2">
        <f>'2.переченьМРАД'!$N$52</f>
        <v>8332</v>
      </c>
      <c r="L41" s="2">
        <f>'2.переченьМРАД'!$M$52</f>
        <v>0</v>
      </c>
      <c r="M41" s="2">
        <f>'2.переченьМРАД'!$L$52</f>
        <v>0</v>
      </c>
      <c r="N41" s="225">
        <v>0</v>
      </c>
      <c r="O41" s="211">
        <f t="shared" ref="O41:O54" si="12">SUM(P41:S41)</f>
        <v>57740</v>
      </c>
      <c r="P41" s="2">
        <f>'2.переченьМРАД'!$S$52</f>
        <v>10692</v>
      </c>
      <c r="Q41" s="2">
        <f>'2.переченьМРАД'!$R$52</f>
        <v>47048</v>
      </c>
      <c r="R41" s="2">
        <v>0</v>
      </c>
      <c r="S41" s="225">
        <v>0</v>
      </c>
      <c r="T41" s="211">
        <f t="shared" ref="T41:T54" si="13">SUM(U41:X41)</f>
        <v>13519</v>
      </c>
      <c r="U41" s="212">
        <f>ROUND('2.переченьМРАД'!$X$52,0)</f>
        <v>13519</v>
      </c>
      <c r="V41" s="212">
        <f>ROUND('2.переченьМРАД'!$W$52,0)</f>
        <v>0</v>
      </c>
      <c r="W41" s="212">
        <v>0</v>
      </c>
      <c r="X41" s="212">
        <v>0</v>
      </c>
      <c r="Y41" s="211">
        <f t="shared" ref="Y41:Y52" si="14">SUM(Z41:AC41)</f>
        <v>0</v>
      </c>
      <c r="Z41" s="212">
        <f>'2.переченьМРАД'!$AC$52</f>
        <v>0</v>
      </c>
      <c r="AA41" s="212">
        <f>'2.переченьМРАД'!$AB$52</f>
        <v>0</v>
      </c>
      <c r="AB41" s="212">
        <v>0</v>
      </c>
      <c r="AC41" s="212">
        <v>0</v>
      </c>
      <c r="AD41" s="211">
        <f>E41+J41+O41+T41+Y41</f>
        <v>401056</v>
      </c>
    </row>
    <row r="42" spans="1:34" ht="178.5" customHeight="1" outlineLevel="1" x14ac:dyDescent="0.2">
      <c r="A42" s="214" t="s">
        <v>77</v>
      </c>
      <c r="B42" s="209" t="s">
        <v>128</v>
      </c>
      <c r="C42" s="203" t="s">
        <v>846</v>
      </c>
      <c r="D42" s="209" t="s">
        <v>1616</v>
      </c>
      <c r="E42" s="211">
        <f t="shared" si="11"/>
        <v>66560</v>
      </c>
      <c r="F42" s="2">
        <f>'2.переченьМРАД'!$I$71</f>
        <v>4500</v>
      </c>
      <c r="G42" s="2">
        <f>'2.переченьМРАД'!$H$71</f>
        <v>62060</v>
      </c>
      <c r="H42" s="2">
        <f>'2.переченьМРАД'!G53</f>
        <v>0</v>
      </c>
      <c r="I42" s="225">
        <v>0</v>
      </c>
      <c r="J42" s="211">
        <f>K42+L42+M42+N42</f>
        <v>2196</v>
      </c>
      <c r="K42" s="2">
        <f>'2.переченьМРАД'!$N$71</f>
        <v>2196</v>
      </c>
      <c r="L42" s="2">
        <f>'2.переченьМРАД'!$M$71</f>
        <v>0</v>
      </c>
      <c r="M42" s="2">
        <v>0</v>
      </c>
      <c r="N42" s="225">
        <v>0</v>
      </c>
      <c r="O42" s="211">
        <f t="shared" si="12"/>
        <v>328655</v>
      </c>
      <c r="P42" s="2">
        <f>'2.переченьМРАД'!$S$71</f>
        <v>22655</v>
      </c>
      <c r="Q42" s="2">
        <f>'2.переченьМРАД'!$R$71</f>
        <v>306000</v>
      </c>
      <c r="R42" s="2">
        <v>0</v>
      </c>
      <c r="S42" s="225">
        <v>0</v>
      </c>
      <c r="T42" s="211">
        <f t="shared" si="13"/>
        <v>0</v>
      </c>
      <c r="U42" s="212">
        <f>ROUND('2.переченьМРАД'!$X$71,0)</f>
        <v>0</v>
      </c>
      <c r="V42" s="212">
        <f>ROUND('2.переченьМРАД'!$W$71,0)</f>
        <v>0</v>
      </c>
      <c r="W42" s="212">
        <v>0</v>
      </c>
      <c r="X42" s="212">
        <v>0</v>
      </c>
      <c r="Y42" s="211">
        <f t="shared" si="14"/>
        <v>0</v>
      </c>
      <c r="Z42" s="212">
        <f>'2.переченьМРАД'!$AC$71</f>
        <v>0</v>
      </c>
      <c r="AA42" s="212">
        <f>'2.переченьМРАД'!$AB$71</f>
        <v>0</v>
      </c>
      <c r="AB42" s="212">
        <v>0</v>
      </c>
      <c r="AC42" s="212">
        <v>0</v>
      </c>
      <c r="AD42" s="211">
        <f t="shared" ref="AD42:AD51" si="15">E42+J42+O42+T42+Y42</f>
        <v>397411</v>
      </c>
    </row>
    <row r="43" spans="1:34" ht="307.5" customHeight="1" outlineLevel="1" x14ac:dyDescent="0.2">
      <c r="A43" s="515" t="s">
        <v>408</v>
      </c>
      <c r="B43" s="512" t="s">
        <v>964</v>
      </c>
      <c r="C43" s="516" t="s">
        <v>846</v>
      </c>
      <c r="D43" s="209" t="s">
        <v>90</v>
      </c>
      <c r="E43" s="211">
        <f t="shared" si="11"/>
        <v>44356</v>
      </c>
      <c r="F43" s="2">
        <f>'2.переченьМРАД'!$I$100</f>
        <v>28021</v>
      </c>
      <c r="G43" s="2">
        <f>'2.переченьМРАД'!$H$100</f>
        <v>16335</v>
      </c>
      <c r="H43" s="2">
        <f>'2.переченьМРАД'!G54</f>
        <v>0</v>
      </c>
      <c r="I43" s="225">
        <v>0</v>
      </c>
      <c r="J43" s="211">
        <f>K43+L43+M43+N43</f>
        <v>16962</v>
      </c>
      <c r="K43" s="2">
        <f>'2.переченьМРАД'!$N$100</f>
        <v>16962</v>
      </c>
      <c r="L43" s="2">
        <f>'2.переченьМРАД'!$M$100</f>
        <v>0</v>
      </c>
      <c r="M43" s="2">
        <v>0</v>
      </c>
      <c r="N43" s="225">
        <v>0</v>
      </c>
      <c r="O43" s="211">
        <f t="shared" si="12"/>
        <v>11049</v>
      </c>
      <c r="P43" s="2">
        <f>'2.переченьМРАД'!$S$100</f>
        <v>11049</v>
      </c>
      <c r="Q43" s="2">
        <f>'2.переченьМРАД'!$R$100</f>
        <v>0</v>
      </c>
      <c r="R43" s="2">
        <v>0</v>
      </c>
      <c r="S43" s="225">
        <v>0</v>
      </c>
      <c r="T43" s="211">
        <f t="shared" si="13"/>
        <v>19863</v>
      </c>
      <c r="U43" s="212">
        <f>'2.переченьМРАД'!$X$100</f>
        <v>19863</v>
      </c>
      <c r="V43" s="212">
        <f>'2.переченьМРАД'!$W$100</f>
        <v>0</v>
      </c>
      <c r="W43" s="212">
        <v>0</v>
      </c>
      <c r="X43" s="212">
        <v>0</v>
      </c>
      <c r="Y43" s="211">
        <f t="shared" si="14"/>
        <v>0</v>
      </c>
      <c r="Z43" s="212">
        <f>'2.переченьМРАД'!$AC$100</f>
        <v>0</v>
      </c>
      <c r="AA43" s="212">
        <f>'2.переченьМРАД'!$AB$100</f>
        <v>0</v>
      </c>
      <c r="AB43" s="212">
        <v>0</v>
      </c>
      <c r="AC43" s="212">
        <v>0</v>
      </c>
      <c r="AD43" s="211">
        <f>E43+J43+O43+T43+Y43</f>
        <v>92230</v>
      </c>
    </row>
    <row r="44" spans="1:34" ht="132.75" customHeight="1" outlineLevel="1" x14ac:dyDescent="0.2">
      <c r="A44" s="515"/>
      <c r="B44" s="513"/>
      <c r="C44" s="517"/>
      <c r="D44" s="209" t="s">
        <v>1668</v>
      </c>
      <c r="E44" s="211">
        <f t="shared" si="11"/>
        <v>988</v>
      </c>
      <c r="F44" s="2">
        <v>988</v>
      </c>
      <c r="G44" s="2">
        <v>0</v>
      </c>
      <c r="H44" s="2">
        <v>0</v>
      </c>
      <c r="I44" s="225">
        <v>0</v>
      </c>
      <c r="J44" s="211">
        <f>K44+L44+M44+N44</f>
        <v>1584</v>
      </c>
      <c r="K44" s="2">
        <v>1584</v>
      </c>
      <c r="L44" s="2">
        <v>0</v>
      </c>
      <c r="M44" s="2">
        <v>0</v>
      </c>
      <c r="N44" s="225">
        <v>0</v>
      </c>
      <c r="O44" s="211">
        <f t="shared" si="12"/>
        <v>0</v>
      </c>
      <c r="P44" s="2">
        <v>0</v>
      </c>
      <c r="Q44" s="2">
        <f>'2.переченьМРАД'!$R$100</f>
        <v>0</v>
      </c>
      <c r="R44" s="2">
        <v>0</v>
      </c>
      <c r="S44" s="225">
        <v>0</v>
      </c>
      <c r="T44" s="211">
        <f t="shared" si="13"/>
        <v>0</v>
      </c>
      <c r="U44" s="212">
        <v>0</v>
      </c>
      <c r="V44" s="212">
        <f>'2.переченьМРАД'!$W$100</f>
        <v>0</v>
      </c>
      <c r="W44" s="212">
        <v>0</v>
      </c>
      <c r="X44" s="212">
        <v>0</v>
      </c>
      <c r="Y44" s="211">
        <f t="shared" si="14"/>
        <v>0</v>
      </c>
      <c r="Z44" s="212">
        <v>0</v>
      </c>
      <c r="AA44" s="212">
        <f>'2.переченьМРАД'!$AB$100</f>
        <v>0</v>
      </c>
      <c r="AB44" s="212">
        <v>0</v>
      </c>
      <c r="AC44" s="212">
        <v>0</v>
      </c>
      <c r="AD44" s="211">
        <f>E44+J44+O44+T44+Y44</f>
        <v>2572</v>
      </c>
    </row>
    <row r="45" spans="1:34" ht="179.25" customHeight="1" outlineLevel="1" x14ac:dyDescent="0.2">
      <c r="A45" s="515" t="s">
        <v>1058</v>
      </c>
      <c r="B45" s="209" t="s">
        <v>792</v>
      </c>
      <c r="C45" s="524" t="s">
        <v>91</v>
      </c>
      <c r="D45" s="209" t="s">
        <v>90</v>
      </c>
      <c r="E45" s="211">
        <f t="shared" si="11"/>
        <v>64125</v>
      </c>
      <c r="F45" s="2">
        <f>SUM('2.переченьМРАД'!$I$126,0)</f>
        <v>4013</v>
      </c>
      <c r="G45" s="2">
        <f>SUM('2.переченьМРАД'!$H$126,0)</f>
        <v>60112</v>
      </c>
      <c r="H45" s="2">
        <f>'2.переченьМРАД'!G55</f>
        <v>0</v>
      </c>
      <c r="I45" s="225">
        <v>0</v>
      </c>
      <c r="J45" s="211">
        <f t="shared" ref="J45:J51" si="16">K45+L45+M45+N45</f>
        <v>241974</v>
      </c>
      <c r="K45" s="2">
        <f>ROUND('2.переченьМРАД'!$N$126,0)</f>
        <v>27315</v>
      </c>
      <c r="L45" s="2">
        <f>'2.переченьМРАД'!$M$126</f>
        <v>214659</v>
      </c>
      <c r="M45" s="2">
        <v>0</v>
      </c>
      <c r="N45" s="225">
        <v>0</v>
      </c>
      <c r="O45" s="211">
        <f t="shared" si="12"/>
        <v>184649</v>
      </c>
      <c r="P45" s="2">
        <f>'2.переченьМРАД'!$S$126</f>
        <v>11649</v>
      </c>
      <c r="Q45" s="2">
        <f>'2.переченьМРАД'!$R$126</f>
        <v>173000</v>
      </c>
      <c r="R45" s="2">
        <v>0</v>
      </c>
      <c r="S45" s="225">
        <v>0</v>
      </c>
      <c r="T45" s="211">
        <f t="shared" si="13"/>
        <v>8256</v>
      </c>
      <c r="U45" s="212">
        <f>ROUND('2.переченьМРАД'!$X$126,0)</f>
        <v>8256</v>
      </c>
      <c r="V45" s="212">
        <f>'2.переченьМРАД'!$W$126</f>
        <v>0</v>
      </c>
      <c r="W45" s="212">
        <v>0</v>
      </c>
      <c r="X45" s="212">
        <v>0</v>
      </c>
      <c r="Y45" s="211">
        <f t="shared" si="14"/>
        <v>8256</v>
      </c>
      <c r="Z45" s="212">
        <f>'2.переченьМРАД'!$AC$126</f>
        <v>8256</v>
      </c>
      <c r="AA45" s="212">
        <f>ROUND('2.переченьМРАД'!$AB$126,0)</f>
        <v>0</v>
      </c>
      <c r="AB45" s="212">
        <v>0</v>
      </c>
      <c r="AC45" s="212">
        <v>0</v>
      </c>
      <c r="AD45" s="211">
        <f t="shared" si="15"/>
        <v>507260</v>
      </c>
    </row>
    <row r="46" spans="1:34" ht="146.44999999999999" customHeight="1" outlineLevel="1" x14ac:dyDescent="0.2">
      <c r="A46" s="515"/>
      <c r="B46" s="209" t="s">
        <v>849</v>
      </c>
      <c r="C46" s="524"/>
      <c r="D46" s="209">
        <v>2025</v>
      </c>
      <c r="E46" s="211">
        <f t="shared" si="11"/>
        <v>0</v>
      </c>
      <c r="F46" s="2">
        <f>SUM('2.переченьМРАД'!I118:I125)</f>
        <v>0</v>
      </c>
      <c r="G46" s="2">
        <f>SUM('2.переченьМРАД'!H118:H125)</f>
        <v>0</v>
      </c>
      <c r="H46" s="2">
        <f>'2.переченьМРАД'!G126</f>
        <v>0</v>
      </c>
      <c r="I46" s="225">
        <v>0</v>
      </c>
      <c r="J46" s="211">
        <f t="shared" si="16"/>
        <v>0</v>
      </c>
      <c r="K46" s="2">
        <f>SUM('2.переченьМРАД'!N123:N125)</f>
        <v>0</v>
      </c>
      <c r="L46" s="2">
        <f>SUM('2.переченьМРАД'!M123:M125)</f>
        <v>0</v>
      </c>
      <c r="M46" s="2">
        <f>'2.переченьМРАД'!L126</f>
        <v>0</v>
      </c>
      <c r="N46" s="225">
        <v>0</v>
      </c>
      <c r="O46" s="211">
        <f t="shared" si="12"/>
        <v>0</v>
      </c>
      <c r="P46" s="2">
        <f>SUM('2.переченьМРАД'!S123:S125)</f>
        <v>0</v>
      </c>
      <c r="Q46" s="2">
        <f>SUM('2.переченьМРАД'!R123:R125)</f>
        <v>0</v>
      </c>
      <c r="R46" s="2">
        <f>'[1]3.переченьМРАД'!Q96</f>
        <v>0</v>
      </c>
      <c r="S46" s="225">
        <v>0</v>
      </c>
      <c r="T46" s="211">
        <f t="shared" si="13"/>
        <v>8256</v>
      </c>
      <c r="U46" s="212">
        <f>SUM('2.переченьМРАД'!X118:X125)</f>
        <v>8256</v>
      </c>
      <c r="V46" s="212">
        <f>SUM('2.переченьМРАД'!W118:W125)</f>
        <v>0</v>
      </c>
      <c r="W46" s="212">
        <f>'[1]3.переченьМРАД'!V96</f>
        <v>0</v>
      </c>
      <c r="X46" s="212">
        <v>0</v>
      </c>
      <c r="Y46" s="211">
        <f t="shared" si="14"/>
        <v>8256</v>
      </c>
      <c r="Z46" s="212">
        <f>SUM('2.переченьМРАД'!AC114:AC125)</f>
        <v>8256</v>
      </c>
      <c r="AA46" s="212">
        <f>SUM('2.переченьМРАД'!AB114:AB125)</f>
        <v>0</v>
      </c>
      <c r="AB46" s="212">
        <f>'[1]3.переченьМРАД'!AA96</f>
        <v>0</v>
      </c>
      <c r="AC46" s="212">
        <v>0</v>
      </c>
      <c r="AD46" s="211">
        <f t="shared" si="15"/>
        <v>16512</v>
      </c>
    </row>
    <row r="47" spans="1:34" ht="135.75" customHeight="1" outlineLevel="1" x14ac:dyDescent="0.2">
      <c r="A47" s="515" t="s">
        <v>1059</v>
      </c>
      <c r="B47" s="209" t="s">
        <v>129</v>
      </c>
      <c r="C47" s="524" t="s">
        <v>91</v>
      </c>
      <c r="D47" s="209" t="s">
        <v>90</v>
      </c>
      <c r="E47" s="211">
        <f>F47+G47+H47+I47</f>
        <v>787419</v>
      </c>
      <c r="F47" s="2">
        <f>ROUND('2.переченьМРАД'!$I$300,0)</f>
        <v>42088</v>
      </c>
      <c r="G47" s="2">
        <f>ROUND('2.переченьМРАД'!$H$300,0)</f>
        <v>745331</v>
      </c>
      <c r="H47" s="2">
        <f>'2.переченьМРАД'!G56</f>
        <v>0</v>
      </c>
      <c r="I47" s="225">
        <v>0</v>
      </c>
      <c r="J47" s="211">
        <f>K47+L47+M47+N47</f>
        <v>934352</v>
      </c>
      <c r="K47" s="2">
        <f>ROUND('2.переченьМРАД'!$N$300,0)</f>
        <v>58150</v>
      </c>
      <c r="L47" s="2">
        <f>ROUND('2.переченьМРАД'!$M$300,0)</f>
        <v>876202</v>
      </c>
      <c r="M47" s="2">
        <v>0</v>
      </c>
      <c r="N47" s="225">
        <v>0</v>
      </c>
      <c r="O47" s="387">
        <f t="shared" si="12"/>
        <v>1220581</v>
      </c>
      <c r="P47" s="339">
        <f>ROUND('2.переченьМРАД'!$S$300,0)</f>
        <v>186581</v>
      </c>
      <c r="Q47" s="339">
        <f>ROUND('2.переченьМРАД'!$R$300,0)</f>
        <v>1034000</v>
      </c>
      <c r="R47" s="2">
        <v>0</v>
      </c>
      <c r="S47" s="225">
        <v>0</v>
      </c>
      <c r="T47" s="211">
        <f t="shared" si="13"/>
        <v>727223</v>
      </c>
      <c r="U47" s="419">
        <f>ROUND('2.переченьМРАД'!$X$300,0)</f>
        <v>27223</v>
      </c>
      <c r="V47" s="212">
        <f>ROUND('2.переченьМРАД'!$W$300,0)</f>
        <v>700000</v>
      </c>
      <c r="W47" s="212">
        <v>0</v>
      </c>
      <c r="X47" s="212">
        <v>0</v>
      </c>
      <c r="Y47" s="211">
        <f t="shared" si="14"/>
        <v>762061</v>
      </c>
      <c r="Z47" s="212">
        <f>ROUND('2.переченьМРАД'!$AC$300,0)</f>
        <v>62061</v>
      </c>
      <c r="AA47" s="212">
        <f>ROUND('2.переченьМРАД'!$AB$300,0)</f>
        <v>700000</v>
      </c>
      <c r="AB47" s="212">
        <v>0</v>
      </c>
      <c r="AC47" s="212">
        <v>0</v>
      </c>
      <c r="AD47" s="211">
        <f>E47+J47+O47+T47+Y47</f>
        <v>4431636</v>
      </c>
    </row>
    <row r="48" spans="1:34" ht="149.25" customHeight="1" outlineLevel="1" x14ac:dyDescent="0.2">
      <c r="A48" s="515"/>
      <c r="B48" s="209" t="s">
        <v>849</v>
      </c>
      <c r="C48" s="524"/>
      <c r="D48" s="209" t="s">
        <v>853</v>
      </c>
      <c r="E48" s="211">
        <f t="shared" si="11"/>
        <v>682680</v>
      </c>
      <c r="F48" s="2">
        <f>SUM('2.переченьМРАД'!I255:I299)</f>
        <v>32769</v>
      </c>
      <c r="G48" s="2">
        <f>SUM('2.переченьМРАД'!H255:H299)</f>
        <v>649911</v>
      </c>
      <c r="H48" s="2">
        <f>SUM('[1]3.переченьМРАД'!G215:G227)</f>
        <v>0</v>
      </c>
      <c r="I48" s="225">
        <v>0</v>
      </c>
      <c r="J48" s="211">
        <f t="shared" si="16"/>
        <v>930249</v>
      </c>
      <c r="K48" s="2">
        <f>SUM('2.переченьМРАД'!N255:N299)</f>
        <v>54047</v>
      </c>
      <c r="L48" s="2">
        <f>SUM('2.переченьМРАД'!M255:M299)</f>
        <v>876202</v>
      </c>
      <c r="M48" s="2">
        <f>SUM('[1]3.переченьМРАД'!L215:L227)</f>
        <v>0</v>
      </c>
      <c r="N48" s="225">
        <v>0</v>
      </c>
      <c r="O48" s="211">
        <f t="shared" si="12"/>
        <v>743100</v>
      </c>
      <c r="P48" s="2">
        <f>SUM('2.переченьМРАД'!S255:S299)</f>
        <v>43100</v>
      </c>
      <c r="Q48" s="2">
        <f>SUM('2.переченьМРАД'!R255:R299)</f>
        <v>700000</v>
      </c>
      <c r="R48" s="2">
        <f>SUM('[1]3.переченьМРАД'!Q215:Q227)</f>
        <v>0</v>
      </c>
      <c r="S48" s="225">
        <v>0</v>
      </c>
      <c r="T48" s="387">
        <f t="shared" si="13"/>
        <v>721650</v>
      </c>
      <c r="U48" s="419">
        <f>SUM('2.переченьМРАД'!X255:X299)</f>
        <v>21650</v>
      </c>
      <c r="V48" s="212">
        <f>SUM('2.переченьМРАД'!W255:W299)</f>
        <v>700000</v>
      </c>
      <c r="W48" s="212">
        <f>SUM('2.переченьМРАД'!V255:V299)</f>
        <v>0</v>
      </c>
      <c r="X48" s="212">
        <v>0</v>
      </c>
      <c r="Y48" s="211">
        <f t="shared" si="14"/>
        <v>743100</v>
      </c>
      <c r="Z48" s="212">
        <f>SUM('2.переченьМРАД'!AC255:AC299)</f>
        <v>43100</v>
      </c>
      <c r="AA48" s="212">
        <f>SUM('2.переченьМРАД'!AB255:AB299)</f>
        <v>700000</v>
      </c>
      <c r="AB48" s="212">
        <f>SUM('[1]3.переченьМРАД'!AA215:AA227)</f>
        <v>0</v>
      </c>
      <c r="AC48" s="212">
        <v>0</v>
      </c>
      <c r="AD48" s="211">
        <f t="shared" si="15"/>
        <v>3820779</v>
      </c>
    </row>
    <row r="49" spans="1:34" ht="156.75" customHeight="1" outlineLevel="1" x14ac:dyDescent="0.2">
      <c r="A49" s="214" t="s">
        <v>1060</v>
      </c>
      <c r="B49" s="209" t="s">
        <v>446</v>
      </c>
      <c r="C49" s="203" t="s">
        <v>101</v>
      </c>
      <c r="D49" s="209" t="s">
        <v>90</v>
      </c>
      <c r="E49" s="211">
        <f t="shared" si="11"/>
        <v>142702</v>
      </c>
      <c r="F49" s="2">
        <f>'2.переченьМРАД'!$I$304</f>
        <v>7702</v>
      </c>
      <c r="G49" s="2">
        <f>'2.переченьМРАД'!$H$304</f>
        <v>135000</v>
      </c>
      <c r="H49" s="2">
        <f>'2.переченьМРАД'!G58</f>
        <v>0</v>
      </c>
      <c r="I49" s="225">
        <v>0</v>
      </c>
      <c r="J49" s="211">
        <f t="shared" si="16"/>
        <v>132502</v>
      </c>
      <c r="K49" s="2">
        <f>'2.переченьМРАД'!$N$304</f>
        <v>132502</v>
      </c>
      <c r="L49" s="2">
        <f>'2.переченьМРАД'!$M$304</f>
        <v>0</v>
      </c>
      <c r="M49" s="2">
        <v>0</v>
      </c>
      <c r="N49" s="225">
        <v>0</v>
      </c>
      <c r="O49" s="387">
        <f t="shared" si="12"/>
        <v>40699</v>
      </c>
      <c r="P49" s="339">
        <f>'2.переченьМРАД'!$S$304</f>
        <v>40699</v>
      </c>
      <c r="Q49" s="339">
        <f>'2.переченьМРАД'!$R$304</f>
        <v>0</v>
      </c>
      <c r="R49" s="339">
        <v>0</v>
      </c>
      <c r="S49" s="408">
        <v>0</v>
      </c>
      <c r="T49" s="387">
        <f t="shared" si="13"/>
        <v>0</v>
      </c>
      <c r="U49" s="388">
        <f>ROUND('2.переченьМРАД'!$X$304,0)</f>
        <v>0</v>
      </c>
      <c r="V49" s="212">
        <f>ROUND('2.переченьМРАД'!$W$304,0)</f>
        <v>0</v>
      </c>
      <c r="W49" s="212">
        <v>0</v>
      </c>
      <c r="X49" s="212">
        <v>0</v>
      </c>
      <c r="Y49" s="211">
        <f t="shared" si="14"/>
        <v>7696</v>
      </c>
      <c r="Z49" s="212">
        <f>ROUND('2.переченьМРАД'!$AC$304,0)</f>
        <v>7696</v>
      </c>
      <c r="AA49" s="212">
        <f>ROUND('2.переченьМРАД'!$AB$304,0)</f>
        <v>0</v>
      </c>
      <c r="AB49" s="212">
        <v>0</v>
      </c>
      <c r="AC49" s="212">
        <v>0</v>
      </c>
      <c r="AD49" s="211">
        <f t="shared" si="15"/>
        <v>323599</v>
      </c>
    </row>
    <row r="50" spans="1:34" s="223" customFormat="1" ht="343.5" customHeight="1" outlineLevel="1" x14ac:dyDescent="0.2">
      <c r="A50" s="214" t="s">
        <v>1061</v>
      </c>
      <c r="B50" s="209" t="s">
        <v>453</v>
      </c>
      <c r="C50" s="203" t="s">
        <v>101</v>
      </c>
      <c r="D50" s="209" t="s">
        <v>90</v>
      </c>
      <c r="E50" s="211">
        <f>F50+G50+H50+I50</f>
        <v>2746</v>
      </c>
      <c r="F50" s="2">
        <v>2746</v>
      </c>
      <c r="G50" s="2">
        <f>'2.переченьМРАД'!$H$556</f>
        <v>0</v>
      </c>
      <c r="H50" s="2">
        <f>'2.переченьМРАД'!G556</f>
        <v>0</v>
      </c>
      <c r="I50" s="225">
        <v>0</v>
      </c>
      <c r="J50" s="211">
        <f t="shared" si="16"/>
        <v>1380</v>
      </c>
      <c r="K50" s="2">
        <f>'2.переченьМРАД'!N556</f>
        <v>1380</v>
      </c>
      <c r="L50" s="2">
        <f>'[2]2.переченьМРАД'!$M$510</f>
        <v>0</v>
      </c>
      <c r="M50" s="2">
        <v>0</v>
      </c>
      <c r="N50" s="225">
        <v>0</v>
      </c>
      <c r="O50" s="211">
        <f t="shared" si="12"/>
        <v>1972</v>
      </c>
      <c r="P50" s="2">
        <f>'2.переченьМРАД'!S556</f>
        <v>1972</v>
      </c>
      <c r="Q50" s="2">
        <f>'[2]2.переченьМРАД'!$R$510</f>
        <v>0</v>
      </c>
      <c r="R50" s="2">
        <v>0</v>
      </c>
      <c r="S50" s="225">
        <v>0</v>
      </c>
      <c r="T50" s="211">
        <f t="shared" si="13"/>
        <v>2061</v>
      </c>
      <c r="U50" s="212">
        <f>'2.переченьМРАД'!X556</f>
        <v>2061</v>
      </c>
      <c r="V50" s="212">
        <f>'2.переченьМРАД'!$W$556</f>
        <v>0</v>
      </c>
      <c r="W50" s="212">
        <v>0</v>
      </c>
      <c r="X50" s="212">
        <v>0</v>
      </c>
      <c r="Y50" s="211">
        <f t="shared" si="14"/>
        <v>0</v>
      </c>
      <c r="Z50" s="212">
        <f>ROUND('2.переченьМРАД'!$AC$556,0)</f>
        <v>0</v>
      </c>
      <c r="AA50" s="212">
        <f>'2.переченьМРАД'!$AB$556</f>
        <v>0</v>
      </c>
      <c r="AB50" s="212">
        <v>0</v>
      </c>
      <c r="AC50" s="212">
        <v>0</v>
      </c>
      <c r="AD50" s="211">
        <f>E50+J50+O50+T50+Y50</f>
        <v>8159</v>
      </c>
      <c r="AE50" s="226">
        <f>F54-'[3]3.меропр.'!F44</f>
        <v>31017.000719999996</v>
      </c>
      <c r="AF50" s="226">
        <f>G54-'[3]3.меропр.'!G44</f>
        <v>649107.99927999999</v>
      </c>
      <c r="AG50" s="226">
        <f>H54-'[3]3.меропр.'!H44</f>
        <v>126793</v>
      </c>
      <c r="AH50" s="227">
        <f>I54-'[3]3.меропр.'!I44</f>
        <v>0</v>
      </c>
    </row>
    <row r="51" spans="1:34" s="223" customFormat="1" ht="115.9" customHeight="1" outlineLevel="1" x14ac:dyDescent="0.2">
      <c r="A51" s="209" t="s">
        <v>1062</v>
      </c>
      <c r="B51" s="209" t="s">
        <v>709</v>
      </c>
      <c r="C51" s="203" t="s">
        <v>101</v>
      </c>
      <c r="D51" s="209" t="s">
        <v>852</v>
      </c>
      <c r="E51" s="211">
        <f>F51+G51+H51+I51</f>
        <v>155462</v>
      </c>
      <c r="F51" s="2">
        <f>'2.переченьМРАД'!I558</f>
        <v>7462</v>
      </c>
      <c r="G51" s="2">
        <f>'2.переченьМРАД'!H558</f>
        <v>148000</v>
      </c>
      <c r="H51" s="2">
        <f>'2.переченьМРАД'!G558</f>
        <v>0</v>
      </c>
      <c r="I51" s="225">
        <v>0</v>
      </c>
      <c r="J51" s="211">
        <f t="shared" si="16"/>
        <v>212314</v>
      </c>
      <c r="K51" s="2">
        <f>'2.переченьМРАД'!N559</f>
        <v>12314</v>
      </c>
      <c r="L51" s="2">
        <f>'2.переченьМРАД'!M559</f>
        <v>200000</v>
      </c>
      <c r="M51" s="2">
        <f>'2.переченьМРАД'!L558</f>
        <v>0</v>
      </c>
      <c r="N51" s="225">
        <v>0</v>
      </c>
      <c r="O51" s="211">
        <f t="shared" si="12"/>
        <v>212314</v>
      </c>
      <c r="P51" s="2">
        <f>'2.переченьМРАД'!S558</f>
        <v>12314</v>
      </c>
      <c r="Q51" s="2">
        <f>'2.переченьМРАД'!R558</f>
        <v>200000</v>
      </c>
      <c r="R51" s="2">
        <f>'2.переченьМРАД'!Q558</f>
        <v>0</v>
      </c>
      <c r="S51" s="225">
        <v>0</v>
      </c>
      <c r="T51" s="211">
        <f t="shared" si="13"/>
        <v>0</v>
      </c>
      <c r="U51" s="212">
        <f>'2.переченьМРАД'!X558</f>
        <v>0</v>
      </c>
      <c r="V51" s="212">
        <f>'2.переченьМРАД'!W558</f>
        <v>0</v>
      </c>
      <c r="W51" s="212">
        <f>'2.переченьМРАД'!V558</f>
        <v>0</v>
      </c>
      <c r="X51" s="212">
        <v>0</v>
      </c>
      <c r="Y51" s="211">
        <f t="shared" si="14"/>
        <v>0</v>
      </c>
      <c r="Z51" s="212">
        <f>'2.переченьМРАД'!AC558</f>
        <v>0</v>
      </c>
      <c r="AA51" s="212">
        <f>'2.переченьМРАД'!AB558</f>
        <v>0</v>
      </c>
      <c r="AB51" s="212">
        <f>'2.переченьМРАД'!AA558</f>
        <v>0</v>
      </c>
      <c r="AC51" s="212">
        <v>0</v>
      </c>
      <c r="AD51" s="211">
        <f t="shared" si="15"/>
        <v>580090</v>
      </c>
      <c r="AE51" s="226"/>
      <c r="AF51" s="226"/>
      <c r="AG51" s="226"/>
      <c r="AH51" s="227"/>
    </row>
    <row r="52" spans="1:34" s="231" customFormat="1" ht="51" customHeight="1" outlineLevel="1" x14ac:dyDescent="0.25">
      <c r="A52" s="518" t="s">
        <v>947</v>
      </c>
      <c r="B52" s="518"/>
      <c r="C52" s="518"/>
      <c r="D52" s="228"/>
      <c r="E52" s="211">
        <f>F52+G52+H52+I52</f>
        <v>1584835</v>
      </c>
      <c r="F52" s="3">
        <f>F54-F53</f>
        <v>108934</v>
      </c>
      <c r="G52" s="3">
        <f>G54-G53</f>
        <v>1349108</v>
      </c>
      <c r="H52" s="3">
        <f>H54-H53</f>
        <v>126793</v>
      </c>
      <c r="I52" s="3">
        <f>I54-I44</f>
        <v>0</v>
      </c>
      <c r="J52" s="211">
        <f>K52+L52+M52+N52</f>
        <v>1550012</v>
      </c>
      <c r="K52" s="3">
        <f>K54-K53</f>
        <v>259151</v>
      </c>
      <c r="L52" s="3">
        <f>L54-L53</f>
        <v>1290861</v>
      </c>
      <c r="M52" s="3">
        <f>M54-M53</f>
        <v>0</v>
      </c>
      <c r="N52" s="3">
        <f>N54-N53</f>
        <v>0</v>
      </c>
      <c r="O52" s="3">
        <f t="shared" si="12"/>
        <v>2057659</v>
      </c>
      <c r="P52" s="3">
        <f>P54-P53</f>
        <v>297611</v>
      </c>
      <c r="Q52" s="3">
        <f>Q54-Q53</f>
        <v>1760048</v>
      </c>
      <c r="R52" s="3">
        <f>R54-R53</f>
        <v>0</v>
      </c>
      <c r="S52" s="3">
        <f>S54-S53</f>
        <v>0</v>
      </c>
      <c r="T52" s="211">
        <f t="shared" si="13"/>
        <v>770922</v>
      </c>
      <c r="U52" s="418">
        <f>U54-U53</f>
        <v>70922</v>
      </c>
      <c r="V52" s="211">
        <f>V54-V53</f>
        <v>700000</v>
      </c>
      <c r="W52" s="211">
        <f>W54-W53</f>
        <v>0</v>
      </c>
      <c r="X52" s="211">
        <f>X54-X53</f>
        <v>0</v>
      </c>
      <c r="Y52" s="211">
        <f t="shared" si="14"/>
        <v>778013</v>
      </c>
      <c r="Z52" s="211">
        <f>Z54-Z53</f>
        <v>78013</v>
      </c>
      <c r="AA52" s="211">
        <f>AA54-AA53</f>
        <v>700000</v>
      </c>
      <c r="AB52" s="211">
        <f>AB54-AB53</f>
        <v>0</v>
      </c>
      <c r="AC52" s="211">
        <f>AC54-AC53</f>
        <v>0</v>
      </c>
      <c r="AD52" s="211">
        <f>E52+J52+O52+T52+Y52</f>
        <v>6741441</v>
      </c>
      <c r="AE52" s="229"/>
      <c r="AF52" s="229"/>
      <c r="AG52" s="229"/>
      <c r="AH52" s="230"/>
    </row>
    <row r="53" spans="1:34" s="231" customFormat="1" ht="40.5" customHeight="1" outlineLevel="1" x14ac:dyDescent="0.25">
      <c r="A53" s="518" t="s">
        <v>948</v>
      </c>
      <c r="B53" s="518"/>
      <c r="C53" s="518"/>
      <c r="D53" s="228"/>
      <c r="E53" s="211">
        <f>F53+G53+H53+I53</f>
        <v>988</v>
      </c>
      <c r="F53" s="3">
        <f>F44</f>
        <v>988</v>
      </c>
      <c r="G53" s="3">
        <f>G44</f>
        <v>0</v>
      </c>
      <c r="H53" s="3">
        <f>H44</f>
        <v>0</v>
      </c>
      <c r="I53" s="3">
        <f>I44</f>
        <v>0</v>
      </c>
      <c r="J53" s="211">
        <f>K53+L53+M53+N53</f>
        <v>1584</v>
      </c>
      <c r="K53" s="3">
        <f>K44</f>
        <v>1584</v>
      </c>
      <c r="L53" s="3">
        <f>L44</f>
        <v>0</v>
      </c>
      <c r="M53" s="3">
        <f>M44</f>
        <v>0</v>
      </c>
      <c r="N53" s="232">
        <f>N44</f>
        <v>0</v>
      </c>
      <c r="O53" s="211">
        <f t="shared" si="12"/>
        <v>0</v>
      </c>
      <c r="P53" s="3">
        <f>P44</f>
        <v>0</v>
      </c>
      <c r="Q53" s="3">
        <f>Q44</f>
        <v>0</v>
      </c>
      <c r="R53" s="3">
        <f>R44</f>
        <v>0</v>
      </c>
      <c r="S53" s="232">
        <f>S44</f>
        <v>0</v>
      </c>
      <c r="T53" s="211">
        <f t="shared" si="13"/>
        <v>0</v>
      </c>
      <c r="U53" s="418">
        <f>U44</f>
        <v>0</v>
      </c>
      <c r="V53" s="211">
        <f>V44</f>
        <v>0</v>
      </c>
      <c r="W53" s="211">
        <f>W44</f>
        <v>0</v>
      </c>
      <c r="X53" s="211">
        <f>X44</f>
        <v>0</v>
      </c>
      <c r="Y53" s="211">
        <f>Z53+AA53+AB53+AC53</f>
        <v>0</v>
      </c>
      <c r="Z53" s="211">
        <f>Z44</f>
        <v>0</v>
      </c>
      <c r="AA53" s="211">
        <f>AA44</f>
        <v>0</v>
      </c>
      <c r="AB53" s="211">
        <f>AB44</f>
        <v>0</v>
      </c>
      <c r="AC53" s="211">
        <f>AC44</f>
        <v>0</v>
      </c>
      <c r="AD53" s="211">
        <f>E53+J53+O53+T53+Y53</f>
        <v>2572</v>
      </c>
      <c r="AE53" s="229"/>
      <c r="AF53" s="229"/>
      <c r="AG53" s="229"/>
      <c r="AH53" s="230"/>
    </row>
    <row r="54" spans="1:34" ht="42" customHeight="1" x14ac:dyDescent="0.2">
      <c r="A54" s="518" t="s">
        <v>946</v>
      </c>
      <c r="B54" s="518"/>
      <c r="C54" s="518"/>
      <c r="D54" s="220"/>
      <c r="E54" s="211">
        <f t="shared" ref="E54:AD54" si="17">SUM(E41:E51)-E48-E46</f>
        <v>1585823</v>
      </c>
      <c r="F54" s="211">
        <f>SUM(F41:F51)-F48-F46</f>
        <v>109922</v>
      </c>
      <c r="G54" s="211">
        <f>SUM(G41:G51)-G48-G46</f>
        <v>1349108</v>
      </c>
      <c r="H54" s="211">
        <f>SUM(H41:H51)-H48-H46</f>
        <v>126793</v>
      </c>
      <c r="I54" s="211">
        <f t="shared" si="17"/>
        <v>0</v>
      </c>
      <c r="J54" s="211">
        <f t="shared" si="17"/>
        <v>1551596</v>
      </c>
      <c r="K54" s="211">
        <f t="shared" si="17"/>
        <v>260735</v>
      </c>
      <c r="L54" s="211">
        <f t="shared" si="17"/>
        <v>1290861</v>
      </c>
      <c r="M54" s="211">
        <f t="shared" si="17"/>
        <v>0</v>
      </c>
      <c r="N54" s="211">
        <f t="shared" si="17"/>
        <v>0</v>
      </c>
      <c r="O54" s="211">
        <f t="shared" si="12"/>
        <v>2057659</v>
      </c>
      <c r="P54" s="211">
        <f t="shared" si="17"/>
        <v>297611</v>
      </c>
      <c r="Q54" s="211">
        <f t="shared" si="17"/>
        <v>1760048</v>
      </c>
      <c r="R54" s="211">
        <f t="shared" si="17"/>
        <v>0</v>
      </c>
      <c r="S54" s="211">
        <f t="shared" si="17"/>
        <v>0</v>
      </c>
      <c r="T54" s="211">
        <f t="shared" si="13"/>
        <v>770922</v>
      </c>
      <c r="U54" s="418">
        <f t="shared" si="17"/>
        <v>70922</v>
      </c>
      <c r="V54" s="211">
        <f t="shared" si="17"/>
        <v>700000</v>
      </c>
      <c r="W54" s="211">
        <f t="shared" si="17"/>
        <v>0</v>
      </c>
      <c r="X54" s="211">
        <f t="shared" si="17"/>
        <v>0</v>
      </c>
      <c r="Y54" s="211">
        <f t="shared" si="17"/>
        <v>778013</v>
      </c>
      <c r="Z54" s="211">
        <f t="shared" si="17"/>
        <v>78013</v>
      </c>
      <c r="AA54" s="211">
        <f t="shared" si="17"/>
        <v>700000</v>
      </c>
      <c r="AB54" s="211">
        <f t="shared" si="17"/>
        <v>0</v>
      </c>
      <c r="AC54" s="211">
        <f t="shared" si="17"/>
        <v>0</v>
      </c>
      <c r="AD54" s="211">
        <f t="shared" si="17"/>
        <v>6744013</v>
      </c>
      <c r="AE54" s="222">
        <f>F54+K54+P54+U54+Z54</f>
        <v>817203</v>
      </c>
      <c r="AF54" s="222">
        <f>G54+L54+Q54+V54+AA54</f>
        <v>5800017</v>
      </c>
      <c r="AG54" s="222">
        <f>H54+M54+R54+W54+AB54</f>
        <v>126793</v>
      </c>
      <c r="AH54" s="222">
        <f>I54+N54+S54+X54+AC54</f>
        <v>0</v>
      </c>
    </row>
    <row r="55" spans="1:34" ht="42" customHeight="1" x14ac:dyDescent="0.2">
      <c r="A55" s="207" t="s">
        <v>1077</v>
      </c>
      <c r="B55" s="508" t="s">
        <v>448</v>
      </c>
      <c r="C55" s="509"/>
      <c r="D55" s="509"/>
      <c r="E55" s="509"/>
      <c r="F55" s="509"/>
      <c r="G55" s="509"/>
      <c r="H55" s="509"/>
      <c r="I55" s="509"/>
      <c r="J55" s="509"/>
      <c r="K55" s="509"/>
      <c r="L55" s="509"/>
      <c r="M55" s="509"/>
      <c r="N55" s="509"/>
      <c r="O55" s="509"/>
      <c r="P55" s="509"/>
      <c r="Q55" s="509"/>
      <c r="R55" s="509"/>
      <c r="S55" s="509"/>
      <c r="T55" s="509"/>
      <c r="U55" s="509"/>
      <c r="V55" s="509"/>
      <c r="W55" s="509"/>
      <c r="X55" s="509"/>
      <c r="Y55" s="509"/>
      <c r="Z55" s="509"/>
      <c r="AA55" s="509"/>
      <c r="AB55" s="509"/>
      <c r="AC55" s="509"/>
      <c r="AD55" s="509"/>
      <c r="AE55" s="233"/>
      <c r="AF55" s="233"/>
      <c r="AG55" s="233"/>
      <c r="AH55" s="233"/>
    </row>
    <row r="56" spans="1:34" ht="37.9" customHeight="1" x14ac:dyDescent="0.2">
      <c r="A56" s="531" t="s">
        <v>1022</v>
      </c>
      <c r="B56" s="531"/>
      <c r="C56" s="531"/>
      <c r="D56" s="531"/>
      <c r="E56" s="531"/>
      <c r="F56" s="531"/>
      <c r="G56" s="531"/>
      <c r="H56" s="531"/>
      <c r="I56" s="531"/>
      <c r="J56" s="531"/>
      <c r="K56" s="531"/>
      <c r="L56" s="531"/>
      <c r="M56" s="531"/>
      <c r="N56" s="531"/>
      <c r="O56" s="531"/>
      <c r="P56" s="531"/>
      <c r="Q56" s="531"/>
      <c r="R56" s="531"/>
      <c r="S56" s="531"/>
      <c r="T56" s="531"/>
      <c r="U56" s="531"/>
      <c r="V56" s="531"/>
      <c r="W56" s="531"/>
      <c r="X56" s="531"/>
      <c r="Y56" s="531"/>
      <c r="Z56" s="531"/>
      <c r="AA56" s="531"/>
      <c r="AB56" s="531"/>
      <c r="AC56" s="531"/>
      <c r="AD56" s="531"/>
    </row>
    <row r="57" spans="1:34" ht="36" customHeight="1" x14ac:dyDescent="0.2">
      <c r="A57" s="514" t="s">
        <v>447</v>
      </c>
      <c r="B57" s="514"/>
      <c r="C57" s="514"/>
      <c r="D57" s="514"/>
      <c r="E57" s="514"/>
      <c r="F57" s="514"/>
      <c r="G57" s="514"/>
      <c r="H57" s="514"/>
      <c r="I57" s="514"/>
      <c r="J57" s="514"/>
      <c r="K57" s="514"/>
      <c r="L57" s="514"/>
      <c r="M57" s="514"/>
      <c r="N57" s="514"/>
      <c r="O57" s="514"/>
      <c r="P57" s="514"/>
      <c r="Q57" s="514"/>
      <c r="R57" s="514"/>
      <c r="S57" s="514"/>
      <c r="T57" s="514"/>
      <c r="U57" s="514"/>
      <c r="V57" s="514"/>
      <c r="W57" s="514"/>
      <c r="X57" s="514"/>
      <c r="Y57" s="514"/>
      <c r="Z57" s="514"/>
      <c r="AA57" s="514"/>
      <c r="AB57" s="514"/>
      <c r="AC57" s="514"/>
      <c r="AD57" s="514"/>
    </row>
    <row r="58" spans="1:34" ht="36.6" customHeight="1" outlineLevel="1" x14ac:dyDescent="0.2">
      <c r="A58" s="234" t="s">
        <v>81</v>
      </c>
      <c r="B58" s="506" t="s">
        <v>1078</v>
      </c>
      <c r="C58" s="507"/>
      <c r="D58" s="507"/>
      <c r="E58" s="507"/>
      <c r="F58" s="507"/>
      <c r="G58" s="507"/>
      <c r="H58" s="507"/>
      <c r="I58" s="507"/>
      <c r="J58" s="507"/>
      <c r="K58" s="507"/>
      <c r="L58" s="507"/>
      <c r="M58" s="507"/>
      <c r="N58" s="507"/>
      <c r="O58" s="507"/>
      <c r="P58" s="507"/>
      <c r="Q58" s="507"/>
      <c r="R58" s="507"/>
      <c r="S58" s="507"/>
      <c r="T58" s="507"/>
      <c r="U58" s="507"/>
      <c r="V58" s="507"/>
      <c r="W58" s="507"/>
      <c r="X58" s="507"/>
      <c r="Y58" s="507"/>
      <c r="Z58" s="507"/>
      <c r="AA58" s="507"/>
      <c r="AB58" s="507"/>
      <c r="AC58" s="507"/>
      <c r="AD58" s="507"/>
      <c r="AE58" s="235"/>
      <c r="AF58" s="235"/>
      <c r="AG58" s="235"/>
      <c r="AH58" s="235"/>
    </row>
    <row r="59" spans="1:34" ht="207.75" customHeight="1" outlineLevel="1" x14ac:dyDescent="0.2">
      <c r="A59" s="214" t="s">
        <v>1048</v>
      </c>
      <c r="B59" s="590" t="s">
        <v>1044</v>
      </c>
      <c r="C59" s="381" t="s">
        <v>96</v>
      </c>
      <c r="D59" s="342" t="s">
        <v>90</v>
      </c>
      <c r="E59" s="418">
        <f>F59+G59+H59+I59</f>
        <v>242392</v>
      </c>
      <c r="F59" s="419">
        <f>390702-125000-25030+1720</f>
        <v>242392</v>
      </c>
      <c r="G59" s="419">
        <v>0</v>
      </c>
      <c r="H59" s="419">
        <v>0</v>
      </c>
      <c r="I59" s="419">
        <v>0</v>
      </c>
      <c r="J59" s="418">
        <f>K59+L59+M59+N59</f>
        <v>221307</v>
      </c>
      <c r="K59" s="419">
        <v>221307</v>
      </c>
      <c r="L59" s="419">
        <v>0</v>
      </c>
      <c r="M59" s="419">
        <v>0</v>
      </c>
      <c r="N59" s="419">
        <v>0</v>
      </c>
      <c r="O59" s="418">
        <f t="shared" ref="O59:O65" si="18">SUM(P59:S59)</f>
        <v>227644</v>
      </c>
      <c r="P59" s="419">
        <f>424611+1857+3174-212314+10316</f>
        <v>227644</v>
      </c>
      <c r="Q59" s="419">
        <v>0</v>
      </c>
      <c r="R59" s="419">
        <v>0</v>
      </c>
      <c r="S59" s="419">
        <v>0</v>
      </c>
      <c r="T59" s="418">
        <f>SUM(U59:X59)</f>
        <v>468717</v>
      </c>
      <c r="U59" s="419">
        <f>426468+20169+22080</f>
        <v>468717</v>
      </c>
      <c r="V59" s="419">
        <v>0</v>
      </c>
      <c r="W59" s="419">
        <v>0</v>
      </c>
      <c r="X59" s="419">
        <v>0</v>
      </c>
      <c r="Y59" s="418">
        <f>SUM(Z59:AC59)</f>
        <v>446637</v>
      </c>
      <c r="Z59" s="419">
        <f>422583+24054</f>
        <v>446637</v>
      </c>
      <c r="AA59" s="419">
        <v>0</v>
      </c>
      <c r="AB59" s="419">
        <v>0</v>
      </c>
      <c r="AC59" s="419">
        <v>0</v>
      </c>
      <c r="AD59" s="418">
        <f t="shared" ref="AD59:AH60" si="19">E59+J59+O59+T59+Y59</f>
        <v>1606697</v>
      </c>
      <c r="AE59" s="222">
        <f t="shared" si="19"/>
        <v>1606697</v>
      </c>
      <c r="AF59" s="222">
        <f t="shared" si="19"/>
        <v>0</v>
      </c>
      <c r="AG59" s="222">
        <f t="shared" si="19"/>
        <v>0</v>
      </c>
      <c r="AH59" s="222">
        <f t="shared" si="19"/>
        <v>0</v>
      </c>
    </row>
    <row r="60" spans="1:34" ht="95.25" customHeight="1" outlineLevel="1" x14ac:dyDescent="0.2">
      <c r="A60" s="214" t="s">
        <v>1079</v>
      </c>
      <c r="B60" s="590" t="s">
        <v>395</v>
      </c>
      <c r="C60" s="381" t="s">
        <v>96</v>
      </c>
      <c r="D60" s="342" t="s">
        <v>90</v>
      </c>
      <c r="E60" s="418">
        <v>846</v>
      </c>
      <c r="F60" s="419">
        <v>846</v>
      </c>
      <c r="G60" s="419">
        <v>0</v>
      </c>
      <c r="H60" s="419">
        <v>0</v>
      </c>
      <c r="I60" s="419">
        <v>0</v>
      </c>
      <c r="J60" s="418">
        <f>K60+L60+M60+N60</f>
        <v>846</v>
      </c>
      <c r="K60" s="419">
        <v>846</v>
      </c>
      <c r="L60" s="419">
        <v>0</v>
      </c>
      <c r="M60" s="419">
        <v>0</v>
      </c>
      <c r="N60" s="419">
        <v>0</v>
      </c>
      <c r="O60" s="418">
        <f t="shared" si="18"/>
        <v>868</v>
      </c>
      <c r="P60" s="419">
        <f>846+22</f>
        <v>868</v>
      </c>
      <c r="Q60" s="419">
        <v>0</v>
      </c>
      <c r="R60" s="419">
        <v>0</v>
      </c>
      <c r="S60" s="419">
        <v>0</v>
      </c>
      <c r="T60" s="418">
        <f>SUM(U60:X60)</f>
        <v>964</v>
      </c>
      <c r="U60" s="419">
        <f>846+118</f>
        <v>964</v>
      </c>
      <c r="V60" s="419">
        <v>0</v>
      </c>
      <c r="W60" s="419">
        <v>0</v>
      </c>
      <c r="X60" s="419">
        <v>0</v>
      </c>
      <c r="Y60" s="418">
        <f>SUM(Z60:AC60)</f>
        <v>846</v>
      </c>
      <c r="Z60" s="419">
        <v>846</v>
      </c>
      <c r="AA60" s="419">
        <v>0</v>
      </c>
      <c r="AB60" s="419">
        <v>0</v>
      </c>
      <c r="AC60" s="419">
        <v>0</v>
      </c>
      <c r="AD60" s="418">
        <f t="shared" si="19"/>
        <v>4370</v>
      </c>
      <c r="AE60" s="222">
        <f t="shared" si="19"/>
        <v>4370</v>
      </c>
      <c r="AF60" s="222">
        <f t="shared" si="19"/>
        <v>0</v>
      </c>
      <c r="AG60" s="222">
        <f t="shared" si="19"/>
        <v>0</v>
      </c>
      <c r="AH60" s="222">
        <f t="shared" si="19"/>
        <v>0</v>
      </c>
    </row>
    <row r="61" spans="1:34" ht="36.6" customHeight="1" outlineLevel="1" x14ac:dyDescent="0.2">
      <c r="A61" s="234" t="s">
        <v>82</v>
      </c>
      <c r="B61" s="591" t="s">
        <v>1093</v>
      </c>
      <c r="C61" s="592"/>
      <c r="D61" s="592"/>
      <c r="E61" s="592"/>
      <c r="F61" s="592"/>
      <c r="G61" s="592"/>
      <c r="H61" s="592"/>
      <c r="I61" s="592"/>
      <c r="J61" s="592"/>
      <c r="K61" s="592"/>
      <c r="L61" s="592"/>
      <c r="M61" s="592"/>
      <c r="N61" s="592"/>
      <c r="O61" s="592"/>
      <c r="P61" s="592"/>
      <c r="Q61" s="592"/>
      <c r="R61" s="592"/>
      <c r="S61" s="592"/>
      <c r="T61" s="592"/>
      <c r="U61" s="592"/>
      <c r="V61" s="592"/>
      <c r="W61" s="592"/>
      <c r="X61" s="592"/>
      <c r="Y61" s="592"/>
      <c r="Z61" s="592"/>
      <c r="AA61" s="592"/>
      <c r="AB61" s="592"/>
      <c r="AC61" s="592"/>
      <c r="AD61" s="593"/>
      <c r="AE61" s="236"/>
      <c r="AF61" s="237"/>
      <c r="AG61" s="237"/>
      <c r="AH61" s="237"/>
    </row>
    <row r="62" spans="1:34" ht="96.6" customHeight="1" outlineLevel="1" x14ac:dyDescent="0.2">
      <c r="A62" s="214" t="s">
        <v>1049</v>
      </c>
      <c r="B62" s="590" t="s">
        <v>130</v>
      </c>
      <c r="C62" s="381" t="s">
        <v>96</v>
      </c>
      <c r="D62" s="342" t="s">
        <v>90</v>
      </c>
      <c r="E62" s="418">
        <f>F62+G62+H62+I62</f>
        <v>29931</v>
      </c>
      <c r="F62" s="419">
        <f>30000-69</f>
        <v>29931</v>
      </c>
      <c r="G62" s="419">
        <v>0</v>
      </c>
      <c r="H62" s="419">
        <v>0</v>
      </c>
      <c r="I62" s="419">
        <v>0</v>
      </c>
      <c r="J62" s="418">
        <f>K62+L62+M62+N62</f>
        <v>30000</v>
      </c>
      <c r="K62" s="419">
        <v>30000</v>
      </c>
      <c r="L62" s="419">
        <v>0</v>
      </c>
      <c r="M62" s="419">
        <v>0</v>
      </c>
      <c r="N62" s="419">
        <v>0</v>
      </c>
      <c r="O62" s="418">
        <f t="shared" si="18"/>
        <v>30000</v>
      </c>
      <c r="P62" s="419">
        <v>30000</v>
      </c>
      <c r="Q62" s="419">
        <v>0</v>
      </c>
      <c r="R62" s="419">
        <v>0</v>
      </c>
      <c r="S62" s="419">
        <v>0</v>
      </c>
      <c r="T62" s="418">
        <f>SUM(U62:X62)</f>
        <v>31200</v>
      </c>
      <c r="U62" s="419">
        <v>31200</v>
      </c>
      <c r="V62" s="419">
        <v>0</v>
      </c>
      <c r="W62" s="419">
        <v>0</v>
      </c>
      <c r="X62" s="419">
        <v>0</v>
      </c>
      <c r="Y62" s="418">
        <f>SUM(Z62:AC62)</f>
        <v>31200</v>
      </c>
      <c r="Z62" s="419">
        <v>31200</v>
      </c>
      <c r="AA62" s="419">
        <v>0</v>
      </c>
      <c r="AB62" s="419">
        <v>0</v>
      </c>
      <c r="AC62" s="419">
        <v>0</v>
      </c>
      <c r="AD62" s="418">
        <f>E62+J62+O62+T62+Y62</f>
        <v>152331</v>
      </c>
      <c r="AE62" s="222">
        <f>F62+K62+P62+U62+Z62</f>
        <v>152331</v>
      </c>
      <c r="AF62" s="222">
        <f>G62+L62+Q62+V62+AA62</f>
        <v>0</v>
      </c>
      <c r="AG62" s="222">
        <f>H62+M62+R62+W62+AB62</f>
        <v>0</v>
      </c>
      <c r="AH62" s="222">
        <f>I62+N62+S62+X62+AC62</f>
        <v>0</v>
      </c>
    </row>
    <row r="63" spans="1:34" ht="132.75" customHeight="1" outlineLevel="1" x14ac:dyDescent="0.2">
      <c r="A63" s="214" t="s">
        <v>1080</v>
      </c>
      <c r="B63" s="590" t="s">
        <v>937</v>
      </c>
      <c r="C63" s="381" t="s">
        <v>96</v>
      </c>
      <c r="D63" s="342" t="s">
        <v>90</v>
      </c>
      <c r="E63" s="418">
        <f>F63+G63+H63+I63</f>
        <v>8312</v>
      </c>
      <c r="F63" s="419">
        <v>8312</v>
      </c>
      <c r="G63" s="419">
        <v>0</v>
      </c>
      <c r="H63" s="419">
        <v>0</v>
      </c>
      <c r="I63" s="419">
        <v>0</v>
      </c>
      <c r="J63" s="418">
        <f>K63+L63+M63+N63</f>
        <v>8031</v>
      </c>
      <c r="K63" s="419">
        <f>831+7200</f>
        <v>8031</v>
      </c>
      <c r="L63" s="419">
        <v>0</v>
      </c>
      <c r="M63" s="419">
        <v>0</v>
      </c>
      <c r="N63" s="419">
        <v>0</v>
      </c>
      <c r="O63" s="418">
        <f t="shared" si="18"/>
        <v>1210</v>
      </c>
      <c r="P63" s="419">
        <f>1219-9</f>
        <v>1210</v>
      </c>
      <c r="Q63" s="419">
        <v>0</v>
      </c>
      <c r="R63" s="419">
        <v>0</v>
      </c>
      <c r="S63" s="419">
        <v>0</v>
      </c>
      <c r="T63" s="418">
        <f>SUM(U63:X63)</f>
        <v>2526</v>
      </c>
      <c r="U63" s="419">
        <v>2526</v>
      </c>
      <c r="V63" s="419">
        <v>0</v>
      </c>
      <c r="W63" s="419">
        <v>0</v>
      </c>
      <c r="X63" s="419">
        <v>0</v>
      </c>
      <c r="Y63" s="418">
        <f>SUM(Z63:AC63)</f>
        <v>7802</v>
      </c>
      <c r="Z63" s="419">
        <v>7802</v>
      </c>
      <c r="AA63" s="419">
        <v>0</v>
      </c>
      <c r="AB63" s="419">
        <v>0</v>
      </c>
      <c r="AC63" s="419">
        <v>0</v>
      </c>
      <c r="AD63" s="418">
        <f>E63+J63+O63+T63+Y63</f>
        <v>27881</v>
      </c>
      <c r="AE63" s="222"/>
      <c r="AF63" s="222"/>
      <c r="AG63" s="222"/>
      <c r="AH63" s="222"/>
    </row>
    <row r="64" spans="1:34" ht="240" customHeight="1" outlineLevel="1" x14ac:dyDescent="0.2">
      <c r="A64" s="214" t="s">
        <v>1081</v>
      </c>
      <c r="B64" s="220" t="s">
        <v>788</v>
      </c>
      <c r="C64" s="203" t="s">
        <v>96</v>
      </c>
      <c r="D64" s="209">
        <v>2021</v>
      </c>
      <c r="E64" s="211">
        <f>F64+G64+H64+I64</f>
        <v>111</v>
      </c>
      <c r="F64" s="212">
        <f>625-257-257</f>
        <v>111</v>
      </c>
      <c r="G64" s="212">
        <v>0</v>
      </c>
      <c r="H64" s="212">
        <v>0</v>
      </c>
      <c r="I64" s="212">
        <v>0</v>
      </c>
      <c r="J64" s="211">
        <f>K64+L64+M64+N64</f>
        <v>0</v>
      </c>
      <c r="K64" s="212">
        <v>0</v>
      </c>
      <c r="L64" s="212">
        <v>0</v>
      </c>
      <c r="M64" s="212">
        <v>0</v>
      </c>
      <c r="N64" s="212">
        <v>0</v>
      </c>
      <c r="O64" s="211">
        <f t="shared" si="18"/>
        <v>0</v>
      </c>
      <c r="P64" s="212">
        <v>0</v>
      </c>
      <c r="Q64" s="212">
        <v>0</v>
      </c>
      <c r="R64" s="212">
        <v>0</v>
      </c>
      <c r="S64" s="212">
        <v>0</v>
      </c>
      <c r="T64" s="211">
        <f>SUM(U64:X64)</f>
        <v>0</v>
      </c>
      <c r="U64" s="212">
        <v>0</v>
      </c>
      <c r="V64" s="212">
        <v>0</v>
      </c>
      <c r="W64" s="212">
        <v>0</v>
      </c>
      <c r="X64" s="212">
        <v>0</v>
      </c>
      <c r="Y64" s="211">
        <f>SUM(Z64:AC64)</f>
        <v>0</v>
      </c>
      <c r="Z64" s="212">
        <v>0</v>
      </c>
      <c r="AA64" s="212">
        <v>0</v>
      </c>
      <c r="AB64" s="212">
        <v>0</v>
      </c>
      <c r="AC64" s="212">
        <v>0</v>
      </c>
      <c r="AD64" s="211">
        <f>E64+J64+O64+T64+Y64</f>
        <v>111</v>
      </c>
      <c r="AE64" s="222"/>
      <c r="AF64" s="222"/>
      <c r="AG64" s="222"/>
      <c r="AH64" s="222"/>
    </row>
    <row r="65" spans="1:34" ht="112.15" customHeight="1" outlineLevel="1" x14ac:dyDescent="0.2">
      <c r="A65" s="214" t="s">
        <v>1082</v>
      </c>
      <c r="B65" s="220" t="s">
        <v>820</v>
      </c>
      <c r="C65" s="203" t="s">
        <v>96</v>
      </c>
      <c r="D65" s="209">
        <v>2021</v>
      </c>
      <c r="E65" s="211">
        <f>F65+G65+H65+I65</f>
        <v>269</v>
      </c>
      <c r="F65" s="212">
        <v>269</v>
      </c>
      <c r="G65" s="212">
        <v>0</v>
      </c>
      <c r="H65" s="212">
        <v>0</v>
      </c>
      <c r="I65" s="212">
        <v>0</v>
      </c>
      <c r="J65" s="211">
        <f>K65+L65+M65+N65</f>
        <v>0</v>
      </c>
      <c r="K65" s="212">
        <v>0</v>
      </c>
      <c r="L65" s="212">
        <v>0</v>
      </c>
      <c r="M65" s="212">
        <v>0</v>
      </c>
      <c r="N65" s="212">
        <v>0</v>
      </c>
      <c r="O65" s="211">
        <f t="shared" si="18"/>
        <v>0</v>
      </c>
      <c r="P65" s="212">
        <v>0</v>
      </c>
      <c r="Q65" s="212">
        <v>0</v>
      </c>
      <c r="R65" s="212">
        <v>0</v>
      </c>
      <c r="S65" s="212">
        <v>0</v>
      </c>
      <c r="T65" s="211">
        <f>SUM(U65:X65)</f>
        <v>0</v>
      </c>
      <c r="U65" s="212">
        <v>0</v>
      </c>
      <c r="V65" s="212">
        <v>0</v>
      </c>
      <c r="W65" s="212">
        <v>0</v>
      </c>
      <c r="X65" s="212">
        <v>0</v>
      </c>
      <c r="Y65" s="211">
        <f>SUM(Z65:AC65)</f>
        <v>0</v>
      </c>
      <c r="Z65" s="212">
        <v>0</v>
      </c>
      <c r="AA65" s="212">
        <v>0</v>
      </c>
      <c r="AB65" s="212">
        <v>0</v>
      </c>
      <c r="AC65" s="212">
        <v>0</v>
      </c>
      <c r="AD65" s="211">
        <f>E65+J65+O65+T65+Y65</f>
        <v>269</v>
      </c>
      <c r="AE65" s="222"/>
      <c r="AF65" s="222"/>
      <c r="AG65" s="222"/>
      <c r="AH65" s="222"/>
    </row>
    <row r="66" spans="1:34" ht="132" customHeight="1" outlineLevel="1" x14ac:dyDescent="0.2">
      <c r="A66" s="379" t="s">
        <v>1762</v>
      </c>
      <c r="B66" s="380" t="s">
        <v>1818</v>
      </c>
      <c r="C66" s="381" t="s">
        <v>96</v>
      </c>
      <c r="D66" s="342">
        <v>2023</v>
      </c>
      <c r="E66" s="329">
        <f>F66+G66+H66+I66</f>
        <v>0</v>
      </c>
      <c r="F66" s="328">
        <v>0</v>
      </c>
      <c r="G66" s="328">
        <v>0</v>
      </c>
      <c r="H66" s="328">
        <v>0</v>
      </c>
      <c r="I66" s="328">
        <v>0</v>
      </c>
      <c r="J66" s="329">
        <f>K66+L66+M66+N66</f>
        <v>0</v>
      </c>
      <c r="K66" s="328">
        <v>0</v>
      </c>
      <c r="L66" s="328">
        <v>0</v>
      </c>
      <c r="M66" s="328">
        <v>0</v>
      </c>
      <c r="N66" s="328">
        <v>0</v>
      </c>
      <c r="O66" s="374">
        <f>S66+R66+Q66+P66</f>
        <v>400</v>
      </c>
      <c r="P66" s="375">
        <v>400</v>
      </c>
      <c r="Q66" s="328">
        <v>0</v>
      </c>
      <c r="R66" s="328">
        <v>0</v>
      </c>
      <c r="S66" s="328">
        <v>0</v>
      </c>
      <c r="T66" s="329">
        <f>U66+V66+W66+X66</f>
        <v>0</v>
      </c>
      <c r="U66" s="328">
        <v>0</v>
      </c>
      <c r="V66" s="328">
        <v>0</v>
      </c>
      <c r="W66" s="328">
        <v>0</v>
      </c>
      <c r="X66" s="328">
        <v>0</v>
      </c>
      <c r="Y66" s="329">
        <f>Z66+AA66+AB66+AC66</f>
        <v>0</v>
      </c>
      <c r="Z66" s="328">
        <v>0</v>
      </c>
      <c r="AA66" s="328">
        <v>0</v>
      </c>
      <c r="AB66" s="328">
        <v>0</v>
      </c>
      <c r="AC66" s="328">
        <v>0</v>
      </c>
      <c r="AD66" s="329">
        <f>E66+J66+O66+T66+Y66</f>
        <v>400</v>
      </c>
      <c r="AE66" s="222"/>
      <c r="AF66" s="222"/>
      <c r="AG66" s="222"/>
      <c r="AH66" s="222"/>
    </row>
    <row r="67" spans="1:34" ht="39" customHeight="1" outlineLevel="1" x14ac:dyDescent="0.2">
      <c r="A67" s="521" t="s">
        <v>131</v>
      </c>
      <c r="B67" s="521"/>
      <c r="C67" s="521"/>
      <c r="D67" s="238"/>
      <c r="E67" s="211">
        <f t="shared" ref="E67:AD67" si="20">SUM(E59:E66)</f>
        <v>281861</v>
      </c>
      <c r="F67" s="211">
        <f t="shared" si="20"/>
        <v>281861</v>
      </c>
      <c r="G67" s="211">
        <f t="shared" si="20"/>
        <v>0</v>
      </c>
      <c r="H67" s="211">
        <f t="shared" si="20"/>
        <v>0</v>
      </c>
      <c r="I67" s="211">
        <f t="shared" si="20"/>
        <v>0</v>
      </c>
      <c r="J67" s="211">
        <f t="shared" si="20"/>
        <v>260184</v>
      </c>
      <c r="K67" s="211">
        <f t="shared" si="20"/>
        <v>260184</v>
      </c>
      <c r="L67" s="211">
        <f t="shared" si="20"/>
        <v>0</v>
      </c>
      <c r="M67" s="211">
        <f t="shared" si="20"/>
        <v>0</v>
      </c>
      <c r="N67" s="211">
        <f t="shared" si="20"/>
        <v>0</v>
      </c>
      <c r="O67" s="211">
        <f t="shared" si="20"/>
        <v>260122</v>
      </c>
      <c r="P67" s="211">
        <f>SUM(P59:P66)</f>
        <v>260122</v>
      </c>
      <c r="Q67" s="211">
        <f t="shared" si="20"/>
        <v>0</v>
      </c>
      <c r="R67" s="211">
        <f t="shared" si="20"/>
        <v>0</v>
      </c>
      <c r="S67" s="211">
        <f t="shared" si="20"/>
        <v>0</v>
      </c>
      <c r="T67" s="211">
        <f t="shared" si="20"/>
        <v>503407</v>
      </c>
      <c r="U67" s="211">
        <f t="shared" si="20"/>
        <v>503407</v>
      </c>
      <c r="V67" s="211">
        <f t="shared" si="20"/>
        <v>0</v>
      </c>
      <c r="W67" s="211">
        <f t="shared" si="20"/>
        <v>0</v>
      </c>
      <c r="X67" s="211">
        <f t="shared" si="20"/>
        <v>0</v>
      </c>
      <c r="Y67" s="211">
        <f t="shared" si="20"/>
        <v>486485</v>
      </c>
      <c r="Z67" s="211">
        <f t="shared" si="20"/>
        <v>486485</v>
      </c>
      <c r="AA67" s="211">
        <f t="shared" si="20"/>
        <v>0</v>
      </c>
      <c r="AB67" s="211">
        <f t="shared" si="20"/>
        <v>0</v>
      </c>
      <c r="AC67" s="211">
        <f t="shared" si="20"/>
        <v>0</v>
      </c>
      <c r="AD67" s="211">
        <f t="shared" si="20"/>
        <v>1792059</v>
      </c>
      <c r="AE67" s="222">
        <f>F67+K67+P67+U67+Z67</f>
        <v>1792059</v>
      </c>
      <c r="AF67" s="222">
        <f>G67+L67+Q67+V67+AA67</f>
        <v>0</v>
      </c>
      <c r="AG67" s="222">
        <f>H67+M67+R67+W67+AB67</f>
        <v>0</v>
      </c>
      <c r="AH67" s="222">
        <f>I67+N67+S67+X67+AC67</f>
        <v>0</v>
      </c>
    </row>
    <row r="68" spans="1:34" ht="39" customHeight="1" outlineLevel="1" x14ac:dyDescent="0.2">
      <c r="A68" s="207" t="s">
        <v>1083</v>
      </c>
      <c r="B68" s="508" t="s">
        <v>361</v>
      </c>
      <c r="C68" s="509"/>
      <c r="D68" s="509"/>
      <c r="E68" s="509"/>
      <c r="F68" s="509"/>
      <c r="G68" s="509"/>
      <c r="H68" s="509"/>
      <c r="I68" s="509"/>
      <c r="J68" s="509"/>
      <c r="K68" s="509"/>
      <c r="L68" s="509"/>
      <c r="M68" s="509"/>
      <c r="N68" s="509"/>
      <c r="O68" s="509"/>
      <c r="P68" s="509"/>
      <c r="Q68" s="509"/>
      <c r="R68" s="509"/>
      <c r="S68" s="509"/>
      <c r="T68" s="509"/>
      <c r="U68" s="509"/>
      <c r="V68" s="509"/>
      <c r="W68" s="509"/>
      <c r="X68" s="509"/>
      <c r="Y68" s="509"/>
      <c r="Z68" s="509"/>
      <c r="AA68" s="509"/>
      <c r="AB68" s="509"/>
      <c r="AC68" s="509"/>
      <c r="AD68" s="511"/>
      <c r="AE68" s="223"/>
      <c r="AF68" s="223"/>
      <c r="AG68" s="223"/>
      <c r="AH68" s="223"/>
    </row>
    <row r="69" spans="1:34" s="223" customFormat="1" ht="38.450000000000003" customHeight="1" outlineLevel="1" x14ac:dyDescent="0.2">
      <c r="A69" s="531" t="s">
        <v>412</v>
      </c>
      <c r="B69" s="531"/>
      <c r="C69" s="531"/>
      <c r="D69" s="531"/>
      <c r="E69" s="531"/>
      <c r="F69" s="531"/>
      <c r="G69" s="531"/>
      <c r="H69" s="531"/>
      <c r="I69" s="531"/>
      <c r="J69" s="531"/>
      <c r="K69" s="531"/>
      <c r="L69" s="531"/>
      <c r="M69" s="531"/>
      <c r="N69" s="531"/>
      <c r="O69" s="531"/>
      <c r="P69" s="531"/>
      <c r="Q69" s="531"/>
      <c r="R69" s="531"/>
      <c r="S69" s="531"/>
      <c r="T69" s="531"/>
      <c r="U69" s="531"/>
      <c r="V69" s="531"/>
      <c r="W69" s="531"/>
      <c r="X69" s="531"/>
      <c r="Y69" s="531"/>
      <c r="Z69" s="531"/>
      <c r="AA69" s="531"/>
      <c r="AB69" s="531"/>
      <c r="AC69" s="531"/>
      <c r="AD69" s="531"/>
      <c r="AE69" s="198"/>
      <c r="AF69" s="198"/>
      <c r="AG69" s="198"/>
      <c r="AH69" s="198"/>
    </row>
    <row r="70" spans="1:34" ht="34.15" customHeight="1" x14ac:dyDescent="0.2">
      <c r="A70" s="514" t="s">
        <v>93</v>
      </c>
      <c r="B70" s="514"/>
      <c r="C70" s="514"/>
      <c r="D70" s="514"/>
      <c r="E70" s="514"/>
      <c r="F70" s="514"/>
      <c r="G70" s="514"/>
      <c r="H70" s="514"/>
      <c r="I70" s="514"/>
      <c r="J70" s="514"/>
      <c r="K70" s="514"/>
      <c r="L70" s="514"/>
      <c r="M70" s="514"/>
      <c r="N70" s="514"/>
      <c r="O70" s="514"/>
      <c r="P70" s="514"/>
      <c r="Q70" s="514"/>
      <c r="R70" s="514"/>
      <c r="S70" s="514"/>
      <c r="T70" s="514"/>
      <c r="U70" s="514"/>
      <c r="V70" s="514"/>
      <c r="W70" s="514"/>
      <c r="X70" s="514"/>
      <c r="Y70" s="514"/>
      <c r="Z70" s="514"/>
      <c r="AA70" s="514"/>
      <c r="AB70" s="514"/>
      <c r="AC70" s="514"/>
      <c r="AD70" s="514"/>
      <c r="AE70" s="224"/>
      <c r="AF70" s="224"/>
      <c r="AG70" s="224"/>
      <c r="AH70" s="224"/>
    </row>
    <row r="71" spans="1:34" ht="42" customHeight="1" x14ac:dyDescent="0.2">
      <c r="A71" s="206" t="s">
        <v>73</v>
      </c>
      <c r="B71" s="506" t="s">
        <v>1084</v>
      </c>
      <c r="C71" s="507"/>
      <c r="D71" s="507"/>
      <c r="E71" s="507"/>
      <c r="F71" s="507"/>
      <c r="G71" s="507"/>
      <c r="H71" s="507"/>
      <c r="I71" s="507"/>
      <c r="J71" s="507"/>
      <c r="K71" s="507"/>
      <c r="L71" s="507"/>
      <c r="M71" s="507"/>
      <c r="N71" s="507"/>
      <c r="O71" s="507"/>
      <c r="P71" s="507"/>
      <c r="Q71" s="507"/>
      <c r="R71" s="507"/>
      <c r="S71" s="507"/>
      <c r="T71" s="507"/>
      <c r="U71" s="507"/>
      <c r="V71" s="507"/>
      <c r="W71" s="507"/>
      <c r="X71" s="507"/>
      <c r="Y71" s="507"/>
      <c r="Z71" s="507"/>
      <c r="AA71" s="507"/>
      <c r="AB71" s="507"/>
      <c r="AC71" s="507"/>
      <c r="AD71" s="510"/>
      <c r="AE71" s="224"/>
      <c r="AF71" s="224"/>
      <c r="AG71" s="224"/>
      <c r="AH71" s="224"/>
    </row>
    <row r="72" spans="1:34" ht="96" customHeight="1" x14ac:dyDescent="0.2">
      <c r="A72" s="214" t="s">
        <v>1050</v>
      </c>
      <c r="B72" s="209" t="s">
        <v>92</v>
      </c>
      <c r="C72" s="203" t="s">
        <v>91</v>
      </c>
      <c r="D72" s="209" t="s">
        <v>90</v>
      </c>
      <c r="E72" s="211">
        <f>F72+G72+H72+I72</f>
        <v>112</v>
      </c>
      <c r="F72" s="212">
        <v>0</v>
      </c>
      <c r="G72" s="212">
        <v>0</v>
      </c>
      <c r="H72" s="212">
        <v>0</v>
      </c>
      <c r="I72" s="212">
        <v>112</v>
      </c>
      <c r="J72" s="211">
        <f>K72+L72+M72+N72</f>
        <v>112</v>
      </c>
      <c r="K72" s="212">
        <v>0</v>
      </c>
      <c r="L72" s="212">
        <v>0</v>
      </c>
      <c r="M72" s="212">
        <v>0</v>
      </c>
      <c r="N72" s="212">
        <v>112</v>
      </c>
      <c r="O72" s="211">
        <f>SUM(P72:S72)</f>
        <v>112</v>
      </c>
      <c r="P72" s="212">
        <v>0</v>
      </c>
      <c r="Q72" s="212">
        <v>0</v>
      </c>
      <c r="R72" s="212">
        <v>0</v>
      </c>
      <c r="S72" s="212">
        <v>112</v>
      </c>
      <c r="T72" s="211">
        <f>SUM(U72:X72)</f>
        <v>112</v>
      </c>
      <c r="U72" s="212">
        <v>0</v>
      </c>
      <c r="V72" s="212">
        <v>0</v>
      </c>
      <c r="W72" s="212">
        <v>0</v>
      </c>
      <c r="X72" s="212">
        <v>112</v>
      </c>
      <c r="Y72" s="211">
        <f>SUM(Z72:AC72)</f>
        <v>112</v>
      </c>
      <c r="Z72" s="212">
        <v>0</v>
      </c>
      <c r="AA72" s="212">
        <v>0</v>
      </c>
      <c r="AB72" s="212">
        <v>0</v>
      </c>
      <c r="AC72" s="212">
        <v>112</v>
      </c>
      <c r="AD72" s="211">
        <f>E72+J72+O72+T72+Y72</f>
        <v>560</v>
      </c>
    </row>
    <row r="73" spans="1:34" ht="38.25" customHeight="1" x14ac:dyDescent="0.2">
      <c r="A73" s="207" t="s">
        <v>3</v>
      </c>
      <c r="B73" s="508" t="s">
        <v>1085</v>
      </c>
      <c r="C73" s="509"/>
      <c r="D73" s="509"/>
      <c r="E73" s="509"/>
      <c r="F73" s="509"/>
      <c r="G73" s="509"/>
      <c r="H73" s="509"/>
      <c r="I73" s="509"/>
      <c r="J73" s="509"/>
      <c r="K73" s="509"/>
      <c r="L73" s="509"/>
      <c r="M73" s="509"/>
      <c r="N73" s="509"/>
      <c r="O73" s="509"/>
      <c r="P73" s="509"/>
      <c r="Q73" s="509"/>
      <c r="R73" s="509"/>
      <c r="S73" s="509"/>
      <c r="T73" s="509"/>
      <c r="U73" s="509"/>
      <c r="V73" s="509"/>
      <c r="W73" s="509"/>
      <c r="X73" s="509"/>
      <c r="Y73" s="509"/>
      <c r="Z73" s="509"/>
      <c r="AA73" s="509"/>
      <c r="AB73" s="509"/>
      <c r="AC73" s="509"/>
      <c r="AD73" s="511"/>
    </row>
    <row r="74" spans="1:34" s="237" customFormat="1" ht="171" customHeight="1" x14ac:dyDescent="0.2">
      <c r="A74" s="214" t="s">
        <v>1051</v>
      </c>
      <c r="B74" s="239" t="s">
        <v>811</v>
      </c>
      <c r="C74" s="240" t="s">
        <v>91</v>
      </c>
      <c r="D74" s="241" t="s">
        <v>90</v>
      </c>
      <c r="E74" s="242">
        <f>F74+G74+H74+I74</f>
        <v>17888</v>
      </c>
      <c r="F74" s="243">
        <v>17888</v>
      </c>
      <c r="G74" s="243">
        <v>0</v>
      </c>
      <c r="H74" s="243">
        <v>0</v>
      </c>
      <c r="I74" s="243">
        <v>0</v>
      </c>
      <c r="J74" s="242">
        <f>K74+L74+M74+N74</f>
        <v>15100</v>
      </c>
      <c r="K74" s="243">
        <f>11647+3453</f>
        <v>15100</v>
      </c>
      <c r="L74" s="243">
        <v>0</v>
      </c>
      <c r="M74" s="243">
        <v>0</v>
      </c>
      <c r="N74" s="243">
        <v>0</v>
      </c>
      <c r="O74" s="348">
        <f>SUM(P74:S74)</f>
        <v>15105</v>
      </c>
      <c r="P74" s="349">
        <v>15105</v>
      </c>
      <c r="Q74" s="243">
        <v>0</v>
      </c>
      <c r="R74" s="243">
        <v>0</v>
      </c>
      <c r="S74" s="243">
        <v>0</v>
      </c>
      <c r="T74" s="242">
        <f>SUM(U74:X74)</f>
        <v>15105</v>
      </c>
      <c r="U74" s="243">
        <v>15105</v>
      </c>
      <c r="V74" s="243">
        <v>0</v>
      </c>
      <c r="W74" s="243">
        <v>0</v>
      </c>
      <c r="X74" s="243">
        <v>0</v>
      </c>
      <c r="Y74" s="242">
        <f>SUM(Z74:AC74)</f>
        <v>15105</v>
      </c>
      <c r="Z74" s="243">
        <v>15105</v>
      </c>
      <c r="AA74" s="243">
        <v>0</v>
      </c>
      <c r="AB74" s="243">
        <v>0</v>
      </c>
      <c r="AC74" s="243">
        <v>0</v>
      </c>
      <c r="AD74" s="242">
        <f>E74+J74+O74+T74+Y74</f>
        <v>78303</v>
      </c>
      <c r="AE74" s="198"/>
      <c r="AF74" s="198"/>
      <c r="AG74" s="198"/>
      <c r="AH74" s="198"/>
    </row>
    <row r="75" spans="1:34" s="237" customFormat="1" ht="399.75" customHeight="1" x14ac:dyDescent="0.2">
      <c r="A75" s="214" t="s">
        <v>1086</v>
      </c>
      <c r="B75" s="239" t="s">
        <v>810</v>
      </c>
      <c r="C75" s="240" t="s">
        <v>91</v>
      </c>
      <c r="D75" s="241" t="s">
        <v>852</v>
      </c>
      <c r="E75" s="242">
        <f>F75+G75+H75+I75</f>
        <v>29008</v>
      </c>
      <c r="F75" s="243">
        <v>290</v>
      </c>
      <c r="G75" s="243">
        <v>28718</v>
      </c>
      <c r="H75" s="243">
        <v>0</v>
      </c>
      <c r="I75" s="243">
        <v>0</v>
      </c>
      <c r="J75" s="244">
        <f>K75+L75+M75+N75</f>
        <v>68767</v>
      </c>
      <c r="K75" s="245">
        <f>435+253</f>
        <v>688</v>
      </c>
      <c r="L75" s="245">
        <f>43081+24998</f>
        <v>68079</v>
      </c>
      <c r="M75" s="243">
        <v>0</v>
      </c>
      <c r="N75" s="243">
        <v>0</v>
      </c>
      <c r="O75" s="242">
        <f>SUM(P75:S75)</f>
        <v>0</v>
      </c>
      <c r="P75" s="243">
        <v>0</v>
      </c>
      <c r="Q75" s="243">
        <v>0</v>
      </c>
      <c r="R75" s="243">
        <v>0</v>
      </c>
      <c r="S75" s="243">
        <v>0</v>
      </c>
      <c r="T75" s="242">
        <f>SUM(U75:X75)</f>
        <v>0</v>
      </c>
      <c r="U75" s="243">
        <v>0</v>
      </c>
      <c r="V75" s="243">
        <v>0</v>
      </c>
      <c r="W75" s="243">
        <v>0</v>
      </c>
      <c r="X75" s="243">
        <v>0</v>
      </c>
      <c r="Y75" s="242">
        <f>SUM(Z75:AC75)</f>
        <v>0</v>
      </c>
      <c r="Z75" s="243">
        <v>0</v>
      </c>
      <c r="AA75" s="243">
        <v>0</v>
      </c>
      <c r="AB75" s="243">
        <v>0</v>
      </c>
      <c r="AC75" s="243">
        <v>0</v>
      </c>
      <c r="AD75" s="242">
        <f>E75+J75+O75+T75+Y75</f>
        <v>97775</v>
      </c>
      <c r="AE75" s="198"/>
      <c r="AF75" s="198"/>
      <c r="AG75" s="198"/>
      <c r="AH75" s="198"/>
    </row>
    <row r="76" spans="1:34" s="237" customFormat="1" ht="86.45" customHeight="1" x14ac:dyDescent="0.2">
      <c r="A76" s="214" t="s">
        <v>1087</v>
      </c>
      <c r="B76" s="246" t="s">
        <v>703</v>
      </c>
      <c r="C76" s="203" t="s">
        <v>91</v>
      </c>
      <c r="D76" s="209"/>
      <c r="E76" s="211">
        <v>0</v>
      </c>
      <c r="F76" s="212">
        <v>0</v>
      </c>
      <c r="G76" s="212">
        <v>0</v>
      </c>
      <c r="H76" s="212">
        <v>0</v>
      </c>
      <c r="I76" s="212">
        <v>0</v>
      </c>
      <c r="J76" s="211">
        <v>0</v>
      </c>
      <c r="K76" s="212">
        <v>0</v>
      </c>
      <c r="L76" s="212">
        <v>0</v>
      </c>
      <c r="M76" s="212">
        <v>0</v>
      </c>
      <c r="N76" s="212">
        <v>0</v>
      </c>
      <c r="O76" s="211">
        <f>SUM(P76:S76)</f>
        <v>0</v>
      </c>
      <c r="P76" s="212">
        <v>0</v>
      </c>
      <c r="Q76" s="212">
        <v>0</v>
      </c>
      <c r="R76" s="212">
        <v>0</v>
      </c>
      <c r="S76" s="212">
        <v>0</v>
      </c>
      <c r="T76" s="211">
        <f>SUM(U76:X76)</f>
        <v>0</v>
      </c>
      <c r="U76" s="212">
        <v>0</v>
      </c>
      <c r="V76" s="212">
        <v>0</v>
      </c>
      <c r="W76" s="212">
        <v>0</v>
      </c>
      <c r="X76" s="212">
        <v>0</v>
      </c>
      <c r="Y76" s="211">
        <f>SUM(Z76:AC76)</f>
        <v>0</v>
      </c>
      <c r="Z76" s="212">
        <f>26509-100-26409</f>
        <v>0</v>
      </c>
      <c r="AA76" s="212">
        <v>0</v>
      </c>
      <c r="AB76" s="212">
        <v>0</v>
      </c>
      <c r="AC76" s="212">
        <v>0</v>
      </c>
      <c r="AD76" s="211">
        <f>E76+J76+O76+T76+Y76</f>
        <v>0</v>
      </c>
      <c r="AE76" s="198"/>
      <c r="AF76" s="198"/>
      <c r="AG76" s="198"/>
      <c r="AH76" s="198"/>
    </row>
    <row r="77" spans="1:34" s="237" customFormat="1" ht="136.9" customHeight="1" x14ac:dyDescent="0.2">
      <c r="A77" s="214" t="s">
        <v>1088</v>
      </c>
      <c r="B77" s="246" t="s">
        <v>411</v>
      </c>
      <c r="C77" s="209" t="s">
        <v>91</v>
      </c>
      <c r="D77" s="209" t="s">
        <v>90</v>
      </c>
      <c r="E77" s="211">
        <f>F77+G77+H77+I77</f>
        <v>214462</v>
      </c>
      <c r="F77" s="212">
        <f>214652+100-290</f>
        <v>214462</v>
      </c>
      <c r="G77" s="212">
        <v>0</v>
      </c>
      <c r="H77" s="212">
        <v>0</v>
      </c>
      <c r="I77" s="212">
        <v>0</v>
      </c>
      <c r="J77" s="211">
        <f>K77+L77+M77+N77</f>
        <v>258636</v>
      </c>
      <c r="K77" s="212">
        <f>214752+384</f>
        <v>215136</v>
      </c>
      <c r="L77" s="212">
        <v>43500</v>
      </c>
      <c r="M77" s="212">
        <v>0</v>
      </c>
      <c r="N77" s="212">
        <v>0</v>
      </c>
      <c r="O77" s="340">
        <f>SUM(P77:S77)</f>
        <v>299472</v>
      </c>
      <c r="P77" s="341">
        <f>214752+40676+544</f>
        <v>255972</v>
      </c>
      <c r="Q77" s="341">
        <v>43500</v>
      </c>
      <c r="R77" s="212">
        <v>0</v>
      </c>
      <c r="S77" s="212">
        <v>0</v>
      </c>
      <c r="T77" s="211">
        <f>SUM(U77:X77)</f>
        <v>309122</v>
      </c>
      <c r="U77" s="212">
        <f>214752+50870</f>
        <v>265622</v>
      </c>
      <c r="V77" s="212">
        <v>43500</v>
      </c>
      <c r="W77" s="212">
        <v>0</v>
      </c>
      <c r="X77" s="212">
        <v>0</v>
      </c>
      <c r="Y77" s="211">
        <f>SUM(Z77:AC77)</f>
        <v>309122</v>
      </c>
      <c r="Z77" s="212">
        <f>214652+100+50870</f>
        <v>265622</v>
      </c>
      <c r="AA77" s="212">
        <v>43500</v>
      </c>
      <c r="AB77" s="212">
        <v>0</v>
      </c>
      <c r="AC77" s="212">
        <v>0</v>
      </c>
      <c r="AD77" s="211">
        <f>E77+J77+O77+T77+Y77</f>
        <v>1390814</v>
      </c>
      <c r="AE77" s="198"/>
      <c r="AF77" s="198"/>
      <c r="AG77" s="198"/>
      <c r="AH77" s="198"/>
    </row>
    <row r="78" spans="1:34" s="248" customFormat="1" ht="39" customHeight="1" x14ac:dyDescent="0.2">
      <c r="A78" s="207" t="s">
        <v>74</v>
      </c>
      <c r="B78" s="509" t="s">
        <v>1089</v>
      </c>
      <c r="C78" s="509"/>
      <c r="D78" s="509"/>
      <c r="E78" s="509"/>
      <c r="F78" s="509"/>
      <c r="G78" s="509"/>
      <c r="H78" s="509"/>
      <c r="I78" s="509"/>
      <c r="J78" s="509"/>
      <c r="K78" s="509"/>
      <c r="L78" s="509"/>
      <c r="M78" s="509"/>
      <c r="N78" s="509"/>
      <c r="O78" s="509"/>
      <c r="P78" s="509"/>
      <c r="Q78" s="509"/>
      <c r="R78" s="509"/>
      <c r="S78" s="509"/>
      <c r="T78" s="509"/>
      <c r="U78" s="509"/>
      <c r="V78" s="509"/>
      <c r="W78" s="509"/>
      <c r="X78" s="509"/>
      <c r="Y78" s="509"/>
      <c r="Z78" s="509"/>
      <c r="AA78" s="509"/>
      <c r="AB78" s="509"/>
      <c r="AC78" s="509"/>
      <c r="AD78" s="511"/>
      <c r="AE78" s="247"/>
      <c r="AF78" s="247"/>
      <c r="AG78" s="247"/>
      <c r="AH78" s="247"/>
    </row>
    <row r="79" spans="1:34" s="237" customFormat="1" ht="44.45" customHeight="1" x14ac:dyDescent="0.2">
      <c r="A79" s="515" t="s">
        <v>1052</v>
      </c>
      <c r="B79" s="541" t="s">
        <v>1038</v>
      </c>
      <c r="C79" s="524" t="s">
        <v>91</v>
      </c>
      <c r="D79" s="522" t="s">
        <v>90</v>
      </c>
      <c r="E79" s="520">
        <f>F79+G79+H79+I79</f>
        <v>76067</v>
      </c>
      <c r="F79" s="519">
        <v>761</v>
      </c>
      <c r="G79" s="519">
        <f>75306</f>
        <v>75306</v>
      </c>
      <c r="H79" s="519">
        <v>0</v>
      </c>
      <c r="I79" s="519">
        <v>0</v>
      </c>
      <c r="J79" s="520">
        <f>K79+L79+M79+N79</f>
        <v>76067</v>
      </c>
      <c r="K79" s="519">
        <v>761</v>
      </c>
      <c r="L79" s="519">
        <v>75306</v>
      </c>
      <c r="M79" s="519">
        <v>0</v>
      </c>
      <c r="N79" s="519">
        <v>0</v>
      </c>
      <c r="O79" s="545">
        <f t="shared" ref="O79:O87" si="21">SUM(P79:S79)</f>
        <v>75512</v>
      </c>
      <c r="P79" s="535">
        <f>761-5</f>
        <v>756</v>
      </c>
      <c r="Q79" s="535">
        <v>74756</v>
      </c>
      <c r="R79" s="519">
        <v>0</v>
      </c>
      <c r="S79" s="519">
        <v>0</v>
      </c>
      <c r="T79" s="520">
        <f>SUM(U79:X79)</f>
        <v>75512</v>
      </c>
      <c r="U79" s="519">
        <f>761-5</f>
        <v>756</v>
      </c>
      <c r="V79" s="519">
        <v>74756</v>
      </c>
      <c r="W79" s="519">
        <v>0</v>
      </c>
      <c r="X79" s="519">
        <v>0</v>
      </c>
      <c r="Y79" s="520">
        <f>SUM(Z79:AC79)</f>
        <v>62927</v>
      </c>
      <c r="Z79" s="519">
        <v>630</v>
      </c>
      <c r="AA79" s="519">
        <v>62297</v>
      </c>
      <c r="AB79" s="519">
        <v>0</v>
      </c>
      <c r="AC79" s="519">
        <v>0</v>
      </c>
      <c r="AD79" s="520">
        <f>E79+J79+O79+T79+Y79</f>
        <v>366085</v>
      </c>
      <c r="AE79" s="198"/>
      <c r="AF79" s="198"/>
      <c r="AG79" s="198"/>
      <c r="AH79" s="198"/>
    </row>
    <row r="80" spans="1:34" s="237" customFormat="1" ht="285" customHeight="1" x14ac:dyDescent="0.2">
      <c r="A80" s="515"/>
      <c r="B80" s="541"/>
      <c r="C80" s="524"/>
      <c r="D80" s="522"/>
      <c r="E80" s="520"/>
      <c r="F80" s="519"/>
      <c r="G80" s="519"/>
      <c r="H80" s="519"/>
      <c r="I80" s="519"/>
      <c r="J80" s="520"/>
      <c r="K80" s="519"/>
      <c r="L80" s="519"/>
      <c r="M80" s="519"/>
      <c r="N80" s="519"/>
      <c r="O80" s="545">
        <f t="shared" si="21"/>
        <v>0</v>
      </c>
      <c r="P80" s="535"/>
      <c r="Q80" s="535"/>
      <c r="R80" s="519"/>
      <c r="S80" s="519"/>
      <c r="T80" s="520">
        <f>SUM(U80:X80)</f>
        <v>0</v>
      </c>
      <c r="U80" s="519"/>
      <c r="V80" s="519"/>
      <c r="W80" s="519"/>
      <c r="X80" s="519"/>
      <c r="Y80" s="520">
        <f>SUM(Z80:AC80)</f>
        <v>0</v>
      </c>
      <c r="Z80" s="519"/>
      <c r="AA80" s="519"/>
      <c r="AB80" s="519"/>
      <c r="AC80" s="519"/>
      <c r="AD80" s="520"/>
      <c r="AE80" s="222">
        <f>F79+K79+P79+U79+Z79</f>
        <v>3664</v>
      </c>
      <c r="AF80" s="222">
        <f>G80+L80+Q80+V79+AA79</f>
        <v>137053</v>
      </c>
      <c r="AG80" s="222">
        <f>H80+M80+R80+W80+AB80</f>
        <v>0</v>
      </c>
      <c r="AH80" s="222">
        <f>I80+N80+S80+X80+AC80</f>
        <v>0</v>
      </c>
    </row>
    <row r="81" spans="1:34" s="237" customFormat="1" ht="285" customHeight="1" x14ac:dyDescent="0.2">
      <c r="A81" s="214" t="s">
        <v>1612</v>
      </c>
      <c r="B81" s="246" t="s">
        <v>1613</v>
      </c>
      <c r="C81" s="203" t="s">
        <v>91</v>
      </c>
      <c r="D81" s="209" t="s">
        <v>421</v>
      </c>
      <c r="E81" s="211">
        <f>F81+G81+H81+I81</f>
        <v>0</v>
      </c>
      <c r="F81" s="212">
        <v>0</v>
      </c>
      <c r="G81" s="212">
        <v>0</v>
      </c>
      <c r="H81" s="212">
        <v>0</v>
      </c>
      <c r="I81" s="212">
        <v>0</v>
      </c>
      <c r="J81" s="211">
        <f>K81+L81+M81+N81</f>
        <v>143197</v>
      </c>
      <c r="K81" s="212">
        <v>0</v>
      </c>
      <c r="L81" s="212">
        <v>143197</v>
      </c>
      <c r="M81" s="212">
        <v>0</v>
      </c>
      <c r="N81" s="212">
        <v>0</v>
      </c>
      <c r="O81" s="340">
        <f t="shared" si="21"/>
        <v>28398</v>
      </c>
      <c r="P81" s="341">
        <v>28398</v>
      </c>
      <c r="Q81" s="212">
        <v>0</v>
      </c>
      <c r="R81" s="212">
        <v>0</v>
      </c>
      <c r="S81" s="212">
        <v>0</v>
      </c>
      <c r="T81" s="211">
        <f>SUM(U81:X81)</f>
        <v>48682</v>
      </c>
      <c r="U81" s="212">
        <v>48682</v>
      </c>
      <c r="V81" s="212">
        <v>0</v>
      </c>
      <c r="W81" s="212">
        <v>0</v>
      </c>
      <c r="X81" s="212">
        <v>0</v>
      </c>
      <c r="Y81" s="211">
        <f>SUM(Z81:AC81)</f>
        <v>48682</v>
      </c>
      <c r="Z81" s="212">
        <v>48682</v>
      </c>
      <c r="AA81" s="212">
        <v>0</v>
      </c>
      <c r="AB81" s="212">
        <v>0</v>
      </c>
      <c r="AC81" s="212">
        <v>0</v>
      </c>
      <c r="AD81" s="211">
        <f>J81+O81+T81+Y81</f>
        <v>268959</v>
      </c>
      <c r="AE81" s="222"/>
      <c r="AF81" s="222"/>
      <c r="AG81" s="222"/>
      <c r="AH81" s="222"/>
    </row>
    <row r="82" spans="1:34" s="351" customFormat="1" ht="38.25" customHeight="1" x14ac:dyDescent="0.2">
      <c r="A82" s="376" t="s">
        <v>1755</v>
      </c>
      <c r="B82" s="542" t="s">
        <v>1761</v>
      </c>
      <c r="C82" s="543"/>
      <c r="D82" s="543"/>
      <c r="E82" s="543"/>
      <c r="F82" s="543"/>
      <c r="G82" s="543"/>
      <c r="H82" s="543"/>
      <c r="I82" s="543"/>
      <c r="J82" s="543"/>
      <c r="K82" s="543"/>
      <c r="L82" s="543"/>
      <c r="M82" s="543"/>
      <c r="N82" s="543"/>
      <c r="O82" s="543"/>
      <c r="P82" s="543"/>
      <c r="Q82" s="543"/>
      <c r="R82" s="543"/>
      <c r="S82" s="543"/>
      <c r="T82" s="543"/>
      <c r="U82" s="543"/>
      <c r="V82" s="543"/>
      <c r="W82" s="543"/>
      <c r="X82" s="543"/>
      <c r="Y82" s="543"/>
      <c r="Z82" s="543"/>
      <c r="AA82" s="543"/>
      <c r="AB82" s="543"/>
      <c r="AC82" s="543"/>
      <c r="AD82" s="544"/>
      <c r="AE82" s="350"/>
      <c r="AF82" s="350"/>
      <c r="AG82" s="350"/>
      <c r="AH82" s="350"/>
    </row>
    <row r="83" spans="1:34" s="237" customFormat="1" ht="310.5" customHeight="1" x14ac:dyDescent="0.2">
      <c r="A83" s="377" t="s">
        <v>1756</v>
      </c>
      <c r="B83" s="378" t="s">
        <v>1757</v>
      </c>
      <c r="C83" s="342" t="s">
        <v>91</v>
      </c>
      <c r="D83" s="342" t="s">
        <v>1754</v>
      </c>
      <c r="E83" s="374">
        <f>SUM(F83:I83)</f>
        <v>0</v>
      </c>
      <c r="F83" s="375">
        <v>0</v>
      </c>
      <c r="G83" s="375">
        <v>0</v>
      </c>
      <c r="H83" s="375">
        <v>0</v>
      </c>
      <c r="I83" s="375">
        <v>0</v>
      </c>
      <c r="J83" s="374">
        <f>SUM(K83:N83)</f>
        <v>0</v>
      </c>
      <c r="K83" s="375">
        <v>0</v>
      </c>
      <c r="L83" s="375">
        <v>0</v>
      </c>
      <c r="M83" s="375">
        <v>0</v>
      </c>
      <c r="N83" s="375">
        <v>0</v>
      </c>
      <c r="O83" s="374">
        <f>SUM(P83:S83)</f>
        <v>3854</v>
      </c>
      <c r="P83" s="375">
        <v>3854</v>
      </c>
      <c r="Q83" s="375">
        <v>0</v>
      </c>
      <c r="R83" s="375">
        <v>0</v>
      </c>
      <c r="S83" s="375">
        <v>0</v>
      </c>
      <c r="T83" s="374">
        <f>SUM(U83:X83)</f>
        <v>3854</v>
      </c>
      <c r="U83" s="375">
        <v>3854</v>
      </c>
      <c r="V83" s="375">
        <v>0</v>
      </c>
      <c r="W83" s="375">
        <v>0</v>
      </c>
      <c r="X83" s="375">
        <v>0</v>
      </c>
      <c r="Y83" s="374">
        <f>SUM(Z83:AC83)</f>
        <v>3854</v>
      </c>
      <c r="Z83" s="375">
        <v>3854</v>
      </c>
      <c r="AA83" s="375">
        <v>0</v>
      </c>
      <c r="AB83" s="375">
        <v>0</v>
      </c>
      <c r="AC83" s="375">
        <v>0</v>
      </c>
      <c r="AD83" s="374">
        <f>E83+J83+O83+T83+Y83</f>
        <v>11562</v>
      </c>
      <c r="AE83" s="222"/>
      <c r="AF83" s="222"/>
      <c r="AG83" s="222"/>
      <c r="AH83" s="222"/>
    </row>
    <row r="84" spans="1:34" s="194" customFormat="1" ht="42" customHeight="1" x14ac:dyDescent="0.25">
      <c r="A84" s="521" t="s">
        <v>89</v>
      </c>
      <c r="B84" s="521"/>
      <c r="C84" s="521"/>
      <c r="D84" s="249"/>
      <c r="E84" s="211">
        <f>SUM(F84:I84)</f>
        <v>337537</v>
      </c>
      <c r="F84" s="211">
        <f>SUM(F72:F83)</f>
        <v>233401</v>
      </c>
      <c r="G84" s="211">
        <f>SUM(G72:G83)</f>
        <v>104024</v>
      </c>
      <c r="H84" s="211">
        <f>SUM(H72:H80)</f>
        <v>0</v>
      </c>
      <c r="I84" s="211">
        <f>SUM(I72:I81)</f>
        <v>112</v>
      </c>
      <c r="J84" s="211">
        <f>SUM(K84:N84)</f>
        <v>561879</v>
      </c>
      <c r="K84" s="211">
        <f>SUM(K72:K83)</f>
        <v>231685</v>
      </c>
      <c r="L84" s="211">
        <f>SUM(L72:L83)</f>
        <v>330082</v>
      </c>
      <c r="M84" s="211">
        <f>SUM(M72:M80)</f>
        <v>0</v>
      </c>
      <c r="N84" s="211">
        <f>SUM(N72:N80)</f>
        <v>112</v>
      </c>
      <c r="O84" s="211">
        <f>SUM(P84:S84)</f>
        <v>422453</v>
      </c>
      <c r="P84" s="338">
        <f>SUM(P72:P83)</f>
        <v>304085</v>
      </c>
      <c r="Q84" s="211">
        <f>SUM(Q72:Q83)</f>
        <v>118256</v>
      </c>
      <c r="R84" s="211">
        <f>SUM(R72:R81)</f>
        <v>0</v>
      </c>
      <c r="S84" s="211">
        <f>SUM(S72:S81)</f>
        <v>112</v>
      </c>
      <c r="T84" s="211">
        <f>SUM(U84:X84)</f>
        <v>452387</v>
      </c>
      <c r="U84" s="211">
        <f>SUM(U72:U83)</f>
        <v>334019</v>
      </c>
      <c r="V84" s="211">
        <f>SUM(V72:V83)</f>
        <v>118256</v>
      </c>
      <c r="W84" s="211">
        <f>SUM(W72:W81)</f>
        <v>0</v>
      </c>
      <c r="X84" s="211">
        <f>SUM(X72:X81)</f>
        <v>112</v>
      </c>
      <c r="Y84" s="211">
        <f>SUM(Z84:AC84)</f>
        <v>439802</v>
      </c>
      <c r="Z84" s="211">
        <f>SUM(Z72:Z83)</f>
        <v>333893</v>
      </c>
      <c r="AA84" s="211">
        <f>SUM(AA72:AA83)</f>
        <v>105797</v>
      </c>
      <c r="AB84" s="211">
        <f>SUM(AB72:AB81)</f>
        <v>0</v>
      </c>
      <c r="AC84" s="211">
        <f>SUM(AC72:AC81)</f>
        <v>112</v>
      </c>
      <c r="AD84" s="211">
        <f>SUM(AD72:AD83)</f>
        <v>2214058</v>
      </c>
      <c r="AE84" s="222">
        <f>F84+K84+P84+U84+Z84</f>
        <v>1437083</v>
      </c>
      <c r="AF84" s="222">
        <f>G84+L84+Q84+V84+AA84</f>
        <v>776415</v>
      </c>
      <c r="AG84" s="222">
        <f>H84+M84+R84+W84+AB84</f>
        <v>0</v>
      </c>
      <c r="AH84" s="222">
        <f>I84+N84+S84+X84+AC84</f>
        <v>560</v>
      </c>
    </row>
    <row r="85" spans="1:34" s="194" customFormat="1" ht="42" customHeight="1" x14ac:dyDescent="0.25">
      <c r="A85" s="518" t="s">
        <v>949</v>
      </c>
      <c r="B85" s="518"/>
      <c r="C85" s="518"/>
      <c r="D85" s="249"/>
      <c r="E85" s="211">
        <f>E87-E86</f>
        <v>2377245</v>
      </c>
      <c r="F85" s="211">
        <f t="shared" ref="F85:AC85" si="22">F87-F86</f>
        <v>797208</v>
      </c>
      <c r="G85" s="211">
        <f t="shared" si="22"/>
        <v>1453132</v>
      </c>
      <c r="H85" s="211">
        <f t="shared" si="22"/>
        <v>126793</v>
      </c>
      <c r="I85" s="211">
        <f t="shared" si="22"/>
        <v>112</v>
      </c>
      <c r="J85" s="211">
        <f>J87-J86</f>
        <v>2475929</v>
      </c>
      <c r="K85" s="211">
        <f>K87-K86</f>
        <v>854874</v>
      </c>
      <c r="L85" s="211">
        <f t="shared" si="22"/>
        <v>1620943</v>
      </c>
      <c r="M85" s="211">
        <f t="shared" si="22"/>
        <v>0</v>
      </c>
      <c r="N85" s="211">
        <f t="shared" si="22"/>
        <v>112</v>
      </c>
      <c r="O85" s="211">
        <f t="shared" si="21"/>
        <v>2867074</v>
      </c>
      <c r="P85" s="211">
        <f t="shared" si="22"/>
        <v>988658</v>
      </c>
      <c r="Q85" s="211">
        <f t="shared" si="22"/>
        <v>1878304</v>
      </c>
      <c r="R85" s="211">
        <f t="shared" si="22"/>
        <v>0</v>
      </c>
      <c r="S85" s="211">
        <f t="shared" si="22"/>
        <v>112</v>
      </c>
      <c r="T85" s="211">
        <f>SUM(U85:X85)</f>
        <v>1822679</v>
      </c>
      <c r="U85" s="211">
        <f t="shared" si="22"/>
        <v>1004311</v>
      </c>
      <c r="V85" s="211">
        <f t="shared" si="22"/>
        <v>818256</v>
      </c>
      <c r="W85" s="211">
        <f t="shared" si="22"/>
        <v>0</v>
      </c>
      <c r="X85" s="211">
        <f t="shared" si="22"/>
        <v>112</v>
      </c>
      <c r="Y85" s="211">
        <f>SUM(Z85:AC85)</f>
        <v>1805291</v>
      </c>
      <c r="Z85" s="211">
        <f t="shared" si="22"/>
        <v>999382</v>
      </c>
      <c r="AA85" s="211">
        <f>AA87-AA86</f>
        <v>805797</v>
      </c>
      <c r="AB85" s="211">
        <f t="shared" si="22"/>
        <v>0</v>
      </c>
      <c r="AC85" s="211">
        <f t="shared" si="22"/>
        <v>112</v>
      </c>
      <c r="AD85" s="211">
        <f>E85+J85+O85+T85+Y85</f>
        <v>11348218</v>
      </c>
      <c r="AE85" s="222"/>
      <c r="AF85" s="222"/>
      <c r="AG85" s="222"/>
      <c r="AH85" s="222"/>
    </row>
    <row r="86" spans="1:34" s="194" customFormat="1" ht="35.25" customHeight="1" x14ac:dyDescent="0.25">
      <c r="A86" s="521" t="s">
        <v>948</v>
      </c>
      <c r="B86" s="521"/>
      <c r="C86" s="521"/>
      <c r="D86" s="249"/>
      <c r="E86" s="211">
        <f>F86+G86+H86+I86</f>
        <v>988</v>
      </c>
      <c r="F86" s="211">
        <f>F44</f>
        <v>988</v>
      </c>
      <c r="G86" s="211">
        <f>G44</f>
        <v>0</v>
      </c>
      <c r="H86" s="211">
        <f>H44</f>
        <v>0</v>
      </c>
      <c r="I86" s="211">
        <f>I44</f>
        <v>0</v>
      </c>
      <c r="J86" s="211">
        <f>K86+L86+M86+N86</f>
        <v>1584</v>
      </c>
      <c r="K86" s="211">
        <f>K44</f>
        <v>1584</v>
      </c>
      <c r="L86" s="211">
        <f>L44</f>
        <v>0</v>
      </c>
      <c r="M86" s="211">
        <f>M44</f>
        <v>0</v>
      </c>
      <c r="N86" s="211">
        <f>N44</f>
        <v>0</v>
      </c>
      <c r="O86" s="211">
        <f t="shared" si="21"/>
        <v>0</v>
      </c>
      <c r="P86" s="211">
        <f>P44</f>
        <v>0</v>
      </c>
      <c r="Q86" s="211">
        <f>Q44</f>
        <v>0</v>
      </c>
      <c r="R86" s="211">
        <f>R44</f>
        <v>0</v>
      </c>
      <c r="S86" s="211">
        <f>S44</f>
        <v>0</v>
      </c>
      <c r="T86" s="211">
        <f>SUM(U86:X86)</f>
        <v>0</v>
      </c>
      <c r="U86" s="211">
        <f>U44</f>
        <v>0</v>
      </c>
      <c r="V86" s="211">
        <f>V44</f>
        <v>0</v>
      </c>
      <c r="W86" s="211">
        <f>W44</f>
        <v>0</v>
      </c>
      <c r="X86" s="211">
        <f>X44</f>
        <v>0</v>
      </c>
      <c r="Y86" s="211">
        <f>SUM(Z86:AC86)</f>
        <v>0</v>
      </c>
      <c r="Z86" s="211">
        <f>Z44</f>
        <v>0</v>
      </c>
      <c r="AA86" s="211">
        <f>AA44</f>
        <v>0</v>
      </c>
      <c r="AB86" s="211">
        <f>AB44</f>
        <v>0</v>
      </c>
      <c r="AC86" s="211">
        <f>AC44</f>
        <v>0</v>
      </c>
      <c r="AD86" s="211">
        <f>E86+J86+O86+T86+Y86</f>
        <v>2572</v>
      </c>
      <c r="AE86" s="222"/>
      <c r="AF86" s="222"/>
      <c r="AG86" s="222"/>
      <c r="AH86" s="222"/>
    </row>
    <row r="87" spans="1:34" s="250" customFormat="1" ht="42" customHeight="1" x14ac:dyDescent="0.25">
      <c r="A87" s="518" t="s">
        <v>950</v>
      </c>
      <c r="B87" s="518"/>
      <c r="C87" s="518"/>
      <c r="D87" s="238"/>
      <c r="E87" s="211">
        <f t="shared" ref="E87:N87" si="23">E36+E84+E54+E67</f>
        <v>2378233</v>
      </c>
      <c r="F87" s="211">
        <f t="shared" si="23"/>
        <v>798196</v>
      </c>
      <c r="G87" s="211">
        <f t="shared" si="23"/>
        <v>1453132</v>
      </c>
      <c r="H87" s="211">
        <f t="shared" si="23"/>
        <v>126793</v>
      </c>
      <c r="I87" s="211">
        <f t="shared" si="23"/>
        <v>112</v>
      </c>
      <c r="J87" s="211">
        <f t="shared" si="23"/>
        <v>2477513</v>
      </c>
      <c r="K87" s="211">
        <f t="shared" si="23"/>
        <v>856458</v>
      </c>
      <c r="L87" s="211">
        <f t="shared" si="23"/>
        <v>1620943</v>
      </c>
      <c r="M87" s="211">
        <f t="shared" si="23"/>
        <v>0</v>
      </c>
      <c r="N87" s="211">
        <f t="shared" si="23"/>
        <v>112</v>
      </c>
      <c r="O87" s="211">
        <f t="shared" si="21"/>
        <v>2867074</v>
      </c>
      <c r="P87" s="211">
        <f>P36+P84+P54+P67</f>
        <v>988658</v>
      </c>
      <c r="Q87" s="211">
        <f>Q36+Q84+Q54+Q67</f>
        <v>1878304</v>
      </c>
      <c r="R87" s="211">
        <f>R36+R84+R54+R67</f>
        <v>0</v>
      </c>
      <c r="S87" s="211">
        <f>S36+S84+S54+S67</f>
        <v>112</v>
      </c>
      <c r="T87" s="211">
        <f>SUM(U87:X87)</f>
        <v>1822679</v>
      </c>
      <c r="U87" s="211">
        <f>U36+U84+U54+U67</f>
        <v>1004311</v>
      </c>
      <c r="V87" s="211">
        <f>V36+V84+V54+V67</f>
        <v>818256</v>
      </c>
      <c r="W87" s="211">
        <f>W36+W84+W54+W67</f>
        <v>0</v>
      </c>
      <c r="X87" s="211">
        <f>X36+X84+X54+X67</f>
        <v>112</v>
      </c>
      <c r="Y87" s="211">
        <f>SUM(Z87:AC87)</f>
        <v>1805291</v>
      </c>
      <c r="Z87" s="211">
        <f t="shared" ref="Z87:AH87" si="24">Z36+Z84+Z54+Z67</f>
        <v>999382</v>
      </c>
      <c r="AA87" s="211">
        <f t="shared" si="24"/>
        <v>805797</v>
      </c>
      <c r="AB87" s="211">
        <f t="shared" si="24"/>
        <v>0</v>
      </c>
      <c r="AC87" s="211">
        <f t="shared" si="24"/>
        <v>112</v>
      </c>
      <c r="AD87" s="211">
        <f t="shared" si="24"/>
        <v>11350790</v>
      </c>
      <c r="AE87" s="222">
        <f t="shared" si="24"/>
        <v>4647005</v>
      </c>
      <c r="AF87" s="222">
        <f t="shared" si="24"/>
        <v>6576432</v>
      </c>
      <c r="AG87" s="222">
        <f t="shared" si="24"/>
        <v>126793</v>
      </c>
      <c r="AH87" s="222">
        <f t="shared" si="24"/>
        <v>560</v>
      </c>
    </row>
    <row r="88" spans="1:34" ht="42" customHeight="1" x14ac:dyDescent="0.2">
      <c r="E88" s="252"/>
      <c r="M88" s="253"/>
      <c r="N88" s="253"/>
      <c r="O88" s="254"/>
      <c r="P88" s="253"/>
      <c r="Q88" s="253"/>
    </row>
    <row r="89" spans="1:34" ht="42" customHeight="1" x14ac:dyDescent="0.2">
      <c r="C89" s="540" t="s">
        <v>805</v>
      </c>
      <c r="E89" s="255">
        <v>172475</v>
      </c>
      <c r="F89" s="211">
        <v>172475</v>
      </c>
      <c r="G89" s="211">
        <v>0</v>
      </c>
      <c r="H89" s="211">
        <v>0</v>
      </c>
      <c r="I89" s="211">
        <v>0</v>
      </c>
      <c r="J89" s="211">
        <v>98858</v>
      </c>
      <c r="K89" s="211">
        <v>98858</v>
      </c>
      <c r="L89" s="211">
        <v>0</v>
      </c>
      <c r="M89" s="211">
        <v>0</v>
      </c>
      <c r="N89" s="211">
        <v>0</v>
      </c>
      <c r="O89" s="211">
        <v>98858</v>
      </c>
      <c r="P89" s="211">
        <v>98858</v>
      </c>
      <c r="Q89" s="211">
        <v>0</v>
      </c>
      <c r="R89" s="211">
        <v>0</v>
      </c>
      <c r="S89" s="211">
        <v>0</v>
      </c>
      <c r="T89" s="211">
        <v>68359</v>
      </c>
      <c r="U89" s="211">
        <v>68359</v>
      </c>
      <c r="V89" s="211">
        <v>0</v>
      </c>
      <c r="W89" s="211">
        <v>0</v>
      </c>
      <c r="X89" s="211">
        <v>0</v>
      </c>
      <c r="Y89" s="211">
        <v>68359</v>
      </c>
      <c r="Z89" s="211">
        <v>68359</v>
      </c>
      <c r="AA89" s="211">
        <v>0</v>
      </c>
      <c r="AB89" s="211">
        <v>0</v>
      </c>
      <c r="AC89" s="211">
        <v>0</v>
      </c>
      <c r="AD89" s="211">
        <v>506909</v>
      </c>
      <c r="AE89" s="256">
        <f t="shared" ref="AE89:AE96" si="25">F89+K89+P89+U89+Z89</f>
        <v>506909</v>
      </c>
      <c r="AF89" s="256">
        <f t="shared" ref="AF89:AF96" si="26">G89+L89+Q89+V89+AA89</f>
        <v>0</v>
      </c>
      <c r="AG89" s="256">
        <f t="shared" ref="AG89:AG96" si="27">H89+M89+R89+W89+AB89</f>
        <v>0</v>
      </c>
      <c r="AH89" s="257">
        <f t="shared" ref="AH89:AH96" si="28">I89+N89+S89+X89+AC89</f>
        <v>0</v>
      </c>
    </row>
    <row r="90" spans="1:34" ht="42" customHeight="1" x14ac:dyDescent="0.2">
      <c r="C90" s="540"/>
      <c r="E90" s="211">
        <f t="shared" ref="E90:AD90" si="29">E36-E89</f>
        <v>537</v>
      </c>
      <c r="F90" s="211">
        <f t="shared" si="29"/>
        <v>537</v>
      </c>
      <c r="G90" s="211">
        <f t="shared" si="29"/>
        <v>0</v>
      </c>
      <c r="H90" s="211">
        <f t="shared" si="29"/>
        <v>0</v>
      </c>
      <c r="I90" s="211">
        <f t="shared" si="29"/>
        <v>0</v>
      </c>
      <c r="J90" s="211">
        <f t="shared" si="29"/>
        <v>4996</v>
      </c>
      <c r="K90" s="211">
        <f t="shared" si="29"/>
        <v>4996</v>
      </c>
      <c r="L90" s="211">
        <f t="shared" si="29"/>
        <v>0</v>
      </c>
      <c r="M90" s="211">
        <f t="shared" si="29"/>
        <v>0</v>
      </c>
      <c r="N90" s="211">
        <f t="shared" si="29"/>
        <v>0</v>
      </c>
      <c r="O90" s="211">
        <f t="shared" si="29"/>
        <v>27982</v>
      </c>
      <c r="P90" s="211">
        <f t="shared" si="29"/>
        <v>27982</v>
      </c>
      <c r="Q90" s="211">
        <f t="shared" si="29"/>
        <v>0</v>
      </c>
      <c r="R90" s="211">
        <f t="shared" si="29"/>
        <v>0</v>
      </c>
      <c r="S90" s="211">
        <f t="shared" si="29"/>
        <v>0</v>
      </c>
      <c r="T90" s="211">
        <f t="shared" si="29"/>
        <v>27604</v>
      </c>
      <c r="U90" s="211">
        <f t="shared" si="29"/>
        <v>27604</v>
      </c>
      <c r="V90" s="211">
        <f t="shared" si="29"/>
        <v>0</v>
      </c>
      <c r="W90" s="211">
        <f t="shared" si="29"/>
        <v>0</v>
      </c>
      <c r="X90" s="211">
        <f t="shared" si="29"/>
        <v>0</v>
      </c>
      <c r="Y90" s="211">
        <f t="shared" si="29"/>
        <v>32632</v>
      </c>
      <c r="Z90" s="211">
        <f t="shared" si="29"/>
        <v>32632</v>
      </c>
      <c r="AA90" s="211">
        <f t="shared" si="29"/>
        <v>0</v>
      </c>
      <c r="AB90" s="211">
        <f t="shared" si="29"/>
        <v>0</v>
      </c>
      <c r="AC90" s="211">
        <f t="shared" si="29"/>
        <v>0</v>
      </c>
      <c r="AD90" s="211">
        <f t="shared" si="29"/>
        <v>93751</v>
      </c>
      <c r="AE90" s="256">
        <f t="shared" si="25"/>
        <v>93751</v>
      </c>
      <c r="AF90" s="256">
        <f t="shared" si="26"/>
        <v>0</v>
      </c>
      <c r="AG90" s="256">
        <f t="shared" si="27"/>
        <v>0</v>
      </c>
      <c r="AH90" s="257">
        <f t="shared" si="28"/>
        <v>0</v>
      </c>
    </row>
    <row r="91" spans="1:34" ht="42" customHeight="1" x14ac:dyDescent="0.2">
      <c r="C91" s="540" t="s">
        <v>806</v>
      </c>
      <c r="E91" s="211">
        <v>1479778</v>
      </c>
      <c r="F91" s="211">
        <v>103538</v>
      </c>
      <c r="G91" s="211">
        <v>1249447</v>
      </c>
      <c r="H91" s="211">
        <v>126793</v>
      </c>
      <c r="I91" s="211">
        <v>0</v>
      </c>
      <c r="J91" s="211">
        <v>886241</v>
      </c>
      <c r="K91" s="211">
        <v>133580</v>
      </c>
      <c r="L91" s="211">
        <v>714418</v>
      </c>
      <c r="M91" s="211">
        <v>38243</v>
      </c>
      <c r="N91" s="211">
        <v>0</v>
      </c>
      <c r="O91" s="211">
        <v>832699</v>
      </c>
      <c r="P91" s="211">
        <v>132699</v>
      </c>
      <c r="Q91" s="211">
        <v>700000</v>
      </c>
      <c r="R91" s="211">
        <v>0</v>
      </c>
      <c r="S91" s="211">
        <v>0</v>
      </c>
      <c r="T91" s="211">
        <v>3082707</v>
      </c>
      <c r="U91" s="211">
        <v>345627</v>
      </c>
      <c r="V91" s="211">
        <v>2737080</v>
      </c>
      <c r="W91" s="211">
        <v>0</v>
      </c>
      <c r="X91" s="211">
        <v>0</v>
      </c>
      <c r="Y91" s="211">
        <v>2507975</v>
      </c>
      <c r="Z91" s="211">
        <v>188906</v>
      </c>
      <c r="AA91" s="211">
        <v>2319069</v>
      </c>
      <c r="AB91" s="211">
        <v>0</v>
      </c>
      <c r="AC91" s="211">
        <v>0</v>
      </c>
      <c r="AD91" s="211">
        <v>8789400</v>
      </c>
      <c r="AE91" s="256">
        <f t="shared" si="25"/>
        <v>904350</v>
      </c>
      <c r="AF91" s="256">
        <f t="shared" si="26"/>
        <v>7720014</v>
      </c>
      <c r="AG91" s="256">
        <f t="shared" si="27"/>
        <v>165036</v>
      </c>
      <c r="AH91" s="257">
        <f t="shared" si="28"/>
        <v>0</v>
      </c>
    </row>
    <row r="92" spans="1:34" ht="42" customHeight="1" x14ac:dyDescent="0.2">
      <c r="C92" s="540"/>
      <c r="E92" s="211">
        <f t="shared" ref="E92:AD92" si="30">E54-E91</f>
        <v>106045</v>
      </c>
      <c r="F92" s="211">
        <f t="shared" si="30"/>
        <v>6384</v>
      </c>
      <c r="G92" s="211">
        <f t="shared" si="30"/>
        <v>99661</v>
      </c>
      <c r="H92" s="211">
        <f t="shared" si="30"/>
        <v>0</v>
      </c>
      <c r="I92" s="211">
        <f t="shared" si="30"/>
        <v>0</v>
      </c>
      <c r="J92" s="211">
        <f t="shared" si="30"/>
        <v>665355</v>
      </c>
      <c r="K92" s="211">
        <f t="shared" si="30"/>
        <v>127155</v>
      </c>
      <c r="L92" s="211">
        <f t="shared" si="30"/>
        <v>576443</v>
      </c>
      <c r="M92" s="211">
        <f t="shared" si="30"/>
        <v>-38243</v>
      </c>
      <c r="N92" s="211">
        <f t="shared" si="30"/>
        <v>0</v>
      </c>
      <c r="O92" s="211">
        <f t="shared" si="30"/>
        <v>1224960</v>
      </c>
      <c r="P92" s="211">
        <f t="shared" si="30"/>
        <v>164912</v>
      </c>
      <c r="Q92" s="211">
        <f t="shared" si="30"/>
        <v>1060048</v>
      </c>
      <c r="R92" s="211">
        <f t="shared" si="30"/>
        <v>0</v>
      </c>
      <c r="S92" s="211">
        <f t="shared" si="30"/>
        <v>0</v>
      </c>
      <c r="T92" s="211">
        <f t="shared" si="30"/>
        <v>-2311785</v>
      </c>
      <c r="U92" s="211">
        <f t="shared" si="30"/>
        <v>-274705</v>
      </c>
      <c r="V92" s="211">
        <f t="shared" si="30"/>
        <v>-2037080</v>
      </c>
      <c r="W92" s="211">
        <f t="shared" si="30"/>
        <v>0</v>
      </c>
      <c r="X92" s="211">
        <f t="shared" si="30"/>
        <v>0</v>
      </c>
      <c r="Y92" s="211">
        <f t="shared" si="30"/>
        <v>-1729962</v>
      </c>
      <c r="Z92" s="211">
        <f t="shared" si="30"/>
        <v>-110893</v>
      </c>
      <c r="AA92" s="211">
        <f t="shared" si="30"/>
        <v>-1619069</v>
      </c>
      <c r="AB92" s="211">
        <f t="shared" si="30"/>
        <v>0</v>
      </c>
      <c r="AC92" s="211">
        <f t="shared" si="30"/>
        <v>0</v>
      </c>
      <c r="AD92" s="211">
        <f t="shared" si="30"/>
        <v>-2045387</v>
      </c>
      <c r="AE92" s="256">
        <f t="shared" si="25"/>
        <v>-87147</v>
      </c>
      <c r="AF92" s="256">
        <f t="shared" si="26"/>
        <v>-1919997</v>
      </c>
      <c r="AG92" s="256">
        <f t="shared" si="27"/>
        <v>-38243</v>
      </c>
      <c r="AH92" s="257">
        <f t="shared" si="28"/>
        <v>0</v>
      </c>
    </row>
    <row r="93" spans="1:34" ht="42" customHeight="1" x14ac:dyDescent="0.2">
      <c r="C93" s="258" t="s">
        <v>807</v>
      </c>
      <c r="E93" s="211">
        <v>305611</v>
      </c>
      <c r="F93" s="211">
        <v>305611</v>
      </c>
      <c r="G93" s="211">
        <v>0</v>
      </c>
      <c r="H93" s="211">
        <v>0</v>
      </c>
      <c r="I93" s="211">
        <v>0</v>
      </c>
      <c r="J93" s="211">
        <v>421548</v>
      </c>
      <c r="K93" s="211">
        <v>421548</v>
      </c>
      <c r="L93" s="211">
        <v>0</v>
      </c>
      <c r="M93" s="211">
        <v>0</v>
      </c>
      <c r="N93" s="211">
        <v>0</v>
      </c>
      <c r="O93" s="211">
        <v>421548</v>
      </c>
      <c r="P93" s="211">
        <v>421548</v>
      </c>
      <c r="Q93" s="211">
        <v>0</v>
      </c>
      <c r="R93" s="211">
        <v>0</v>
      </c>
      <c r="S93" s="211">
        <v>0</v>
      </c>
      <c r="T93" s="211">
        <v>438410</v>
      </c>
      <c r="U93" s="211">
        <v>438410</v>
      </c>
      <c r="V93" s="211">
        <v>0</v>
      </c>
      <c r="W93" s="211">
        <v>0</v>
      </c>
      <c r="X93" s="211">
        <v>0</v>
      </c>
      <c r="Y93" s="211">
        <v>455946</v>
      </c>
      <c r="Z93" s="211">
        <v>455946</v>
      </c>
      <c r="AA93" s="211">
        <v>0</v>
      </c>
      <c r="AB93" s="211">
        <v>0</v>
      </c>
      <c r="AC93" s="211">
        <v>0</v>
      </c>
      <c r="AD93" s="211">
        <v>2043063</v>
      </c>
      <c r="AE93" s="256">
        <f t="shared" si="25"/>
        <v>2043063</v>
      </c>
      <c r="AF93" s="256">
        <f t="shared" si="26"/>
        <v>0</v>
      </c>
      <c r="AG93" s="256">
        <f t="shared" si="27"/>
        <v>0</v>
      </c>
      <c r="AH93" s="257">
        <f t="shared" si="28"/>
        <v>0</v>
      </c>
    </row>
    <row r="94" spans="1:34" ht="42" customHeight="1" x14ac:dyDescent="0.2">
      <c r="C94" s="258"/>
      <c r="E94" s="211">
        <f t="shared" ref="E94:AD94" si="31">E67-E93</f>
        <v>-23750</v>
      </c>
      <c r="F94" s="211">
        <f t="shared" si="31"/>
        <v>-23750</v>
      </c>
      <c r="G94" s="211">
        <f t="shared" si="31"/>
        <v>0</v>
      </c>
      <c r="H94" s="211">
        <f t="shared" si="31"/>
        <v>0</v>
      </c>
      <c r="I94" s="211">
        <f t="shared" si="31"/>
        <v>0</v>
      </c>
      <c r="J94" s="211">
        <f t="shared" si="31"/>
        <v>-161364</v>
      </c>
      <c r="K94" s="211">
        <f t="shared" si="31"/>
        <v>-161364</v>
      </c>
      <c r="L94" s="211">
        <f t="shared" si="31"/>
        <v>0</v>
      </c>
      <c r="M94" s="211">
        <f t="shared" si="31"/>
        <v>0</v>
      </c>
      <c r="N94" s="211">
        <f t="shared" si="31"/>
        <v>0</v>
      </c>
      <c r="O94" s="211">
        <f t="shared" si="31"/>
        <v>-161426</v>
      </c>
      <c r="P94" s="211">
        <f t="shared" si="31"/>
        <v>-161426</v>
      </c>
      <c r="Q94" s="211">
        <f t="shared" si="31"/>
        <v>0</v>
      </c>
      <c r="R94" s="211">
        <f t="shared" si="31"/>
        <v>0</v>
      </c>
      <c r="S94" s="211">
        <f t="shared" si="31"/>
        <v>0</v>
      </c>
      <c r="T94" s="211">
        <f t="shared" si="31"/>
        <v>64997</v>
      </c>
      <c r="U94" s="211">
        <f t="shared" si="31"/>
        <v>64997</v>
      </c>
      <c r="V94" s="211">
        <f t="shared" si="31"/>
        <v>0</v>
      </c>
      <c r="W94" s="211">
        <f t="shared" si="31"/>
        <v>0</v>
      </c>
      <c r="X94" s="211">
        <f t="shared" si="31"/>
        <v>0</v>
      </c>
      <c r="Y94" s="211">
        <f t="shared" si="31"/>
        <v>30539</v>
      </c>
      <c r="Z94" s="211">
        <f t="shared" si="31"/>
        <v>30539</v>
      </c>
      <c r="AA94" s="211">
        <f t="shared" si="31"/>
        <v>0</v>
      </c>
      <c r="AB94" s="211">
        <f t="shared" si="31"/>
        <v>0</v>
      </c>
      <c r="AC94" s="211">
        <f t="shared" si="31"/>
        <v>0</v>
      </c>
      <c r="AD94" s="211">
        <f t="shared" si="31"/>
        <v>-251004</v>
      </c>
      <c r="AE94" s="256">
        <f t="shared" si="25"/>
        <v>-251004</v>
      </c>
      <c r="AF94" s="256">
        <f t="shared" si="26"/>
        <v>0</v>
      </c>
      <c r="AG94" s="256">
        <f t="shared" si="27"/>
        <v>0</v>
      </c>
      <c r="AH94" s="257">
        <f t="shared" si="28"/>
        <v>0</v>
      </c>
    </row>
    <row r="95" spans="1:34" ht="42" customHeight="1" x14ac:dyDescent="0.2">
      <c r="C95" s="258" t="s">
        <v>808</v>
      </c>
      <c r="E95" s="211">
        <v>316674</v>
      </c>
      <c r="F95" s="211">
        <v>241256</v>
      </c>
      <c r="G95" s="211">
        <v>75306</v>
      </c>
      <c r="H95" s="211">
        <v>0</v>
      </c>
      <c r="I95" s="211">
        <v>112</v>
      </c>
      <c r="J95" s="211">
        <v>317340</v>
      </c>
      <c r="K95" s="211">
        <v>241922</v>
      </c>
      <c r="L95" s="211">
        <v>75306</v>
      </c>
      <c r="M95" s="211">
        <v>0</v>
      </c>
      <c r="N95" s="211">
        <v>112</v>
      </c>
      <c r="O95" s="211">
        <v>317340</v>
      </c>
      <c r="P95" s="211">
        <v>241922</v>
      </c>
      <c r="Q95" s="211">
        <v>75306</v>
      </c>
      <c r="R95" s="211">
        <v>0</v>
      </c>
      <c r="S95" s="211">
        <v>112</v>
      </c>
      <c r="T95" s="211">
        <v>316784</v>
      </c>
      <c r="U95" s="211">
        <v>241916</v>
      </c>
      <c r="V95" s="211">
        <v>74756</v>
      </c>
      <c r="W95" s="211">
        <v>0</v>
      </c>
      <c r="X95" s="211">
        <v>112</v>
      </c>
      <c r="Y95" s="211">
        <v>304259</v>
      </c>
      <c r="Z95" s="211">
        <v>241791</v>
      </c>
      <c r="AA95" s="211">
        <v>62356</v>
      </c>
      <c r="AB95" s="211">
        <v>0</v>
      </c>
      <c r="AC95" s="211">
        <v>112</v>
      </c>
      <c r="AD95" s="211">
        <v>1572397</v>
      </c>
      <c r="AE95" s="256">
        <f t="shared" si="25"/>
        <v>1208807</v>
      </c>
      <c r="AF95" s="256">
        <f t="shared" si="26"/>
        <v>363030</v>
      </c>
      <c r="AG95" s="256">
        <f t="shared" si="27"/>
        <v>0</v>
      </c>
      <c r="AH95" s="257">
        <f t="shared" si="28"/>
        <v>560</v>
      </c>
    </row>
    <row r="96" spans="1:34" ht="42" customHeight="1" x14ac:dyDescent="0.2">
      <c r="E96" s="211">
        <f>E84-E95</f>
        <v>20863</v>
      </c>
      <c r="F96" s="211">
        <f t="shared" ref="F96:AD96" si="32">F84-F95</f>
        <v>-7855</v>
      </c>
      <c r="G96" s="211">
        <f t="shared" si="32"/>
        <v>28718</v>
      </c>
      <c r="H96" s="211">
        <f t="shared" si="32"/>
        <v>0</v>
      </c>
      <c r="I96" s="211">
        <f t="shared" si="32"/>
        <v>0</v>
      </c>
      <c r="J96" s="211">
        <f t="shared" si="32"/>
        <v>244539</v>
      </c>
      <c r="K96" s="211">
        <f t="shared" si="32"/>
        <v>-10237</v>
      </c>
      <c r="L96" s="211">
        <f t="shared" si="32"/>
        <v>254776</v>
      </c>
      <c r="M96" s="211">
        <f t="shared" si="32"/>
        <v>0</v>
      </c>
      <c r="N96" s="211">
        <f t="shared" si="32"/>
        <v>0</v>
      </c>
      <c r="O96" s="211">
        <f t="shared" si="32"/>
        <v>105113</v>
      </c>
      <c r="P96" s="211">
        <f t="shared" si="32"/>
        <v>62163</v>
      </c>
      <c r="Q96" s="211">
        <f t="shared" si="32"/>
        <v>42950</v>
      </c>
      <c r="R96" s="211">
        <f t="shared" si="32"/>
        <v>0</v>
      </c>
      <c r="S96" s="211">
        <f t="shared" si="32"/>
        <v>0</v>
      </c>
      <c r="T96" s="211">
        <f t="shared" si="32"/>
        <v>135603</v>
      </c>
      <c r="U96" s="211">
        <f t="shared" si="32"/>
        <v>92103</v>
      </c>
      <c r="V96" s="211">
        <f t="shared" si="32"/>
        <v>43500</v>
      </c>
      <c r="W96" s="211">
        <f t="shared" si="32"/>
        <v>0</v>
      </c>
      <c r="X96" s="211">
        <f t="shared" si="32"/>
        <v>0</v>
      </c>
      <c r="Y96" s="211">
        <f t="shared" si="32"/>
        <v>135543</v>
      </c>
      <c r="Z96" s="211">
        <f t="shared" si="32"/>
        <v>92102</v>
      </c>
      <c r="AA96" s="211">
        <f t="shared" si="32"/>
        <v>43441</v>
      </c>
      <c r="AB96" s="211">
        <f t="shared" si="32"/>
        <v>0</v>
      </c>
      <c r="AC96" s="211">
        <f t="shared" si="32"/>
        <v>0</v>
      </c>
      <c r="AD96" s="211">
        <f t="shared" si="32"/>
        <v>641661</v>
      </c>
      <c r="AE96" s="256">
        <f t="shared" si="25"/>
        <v>228276</v>
      </c>
      <c r="AF96" s="256">
        <f t="shared" si="26"/>
        <v>413385</v>
      </c>
      <c r="AG96" s="256">
        <f t="shared" si="27"/>
        <v>0</v>
      </c>
      <c r="AH96" s="257">
        <f t="shared" si="28"/>
        <v>0</v>
      </c>
    </row>
    <row r="97" spans="5:34" ht="42" customHeight="1" x14ac:dyDescent="0.2">
      <c r="E97" s="256">
        <v>2274538</v>
      </c>
      <c r="F97" s="256">
        <v>822880</v>
      </c>
      <c r="G97" s="256">
        <v>1324753</v>
      </c>
      <c r="H97" s="256">
        <v>126793</v>
      </c>
      <c r="I97" s="256">
        <v>112</v>
      </c>
      <c r="J97" s="256">
        <v>1723987</v>
      </c>
      <c r="K97" s="256">
        <v>895908</v>
      </c>
      <c r="L97" s="256">
        <v>789724</v>
      </c>
      <c r="M97" s="256">
        <v>38243</v>
      </c>
      <c r="N97" s="256">
        <v>112</v>
      </c>
      <c r="O97" s="256">
        <v>1670445</v>
      </c>
      <c r="P97" s="256">
        <v>895027</v>
      </c>
      <c r="Q97" s="256">
        <v>775306</v>
      </c>
      <c r="R97" s="256">
        <v>0</v>
      </c>
      <c r="S97" s="256">
        <v>112</v>
      </c>
      <c r="T97" s="256">
        <v>3906260</v>
      </c>
      <c r="U97" s="256">
        <v>1094312</v>
      </c>
      <c r="V97" s="256">
        <v>2811836</v>
      </c>
      <c r="W97" s="256">
        <v>0</v>
      </c>
      <c r="X97" s="256">
        <v>112</v>
      </c>
      <c r="Y97" s="256">
        <v>3336539</v>
      </c>
      <c r="Z97" s="256">
        <v>955002</v>
      </c>
      <c r="AA97" s="256">
        <v>2381425</v>
      </c>
      <c r="AB97" s="256">
        <v>0</v>
      </c>
      <c r="AC97" s="256">
        <v>112</v>
      </c>
      <c r="AD97" s="256">
        <v>12911769</v>
      </c>
      <c r="AE97" s="256">
        <f>F97+K97+P97+U97+Z97</f>
        <v>4663129</v>
      </c>
      <c r="AF97" s="256">
        <f>G97+L97+Q97+V97+AA97</f>
        <v>8083044</v>
      </c>
      <c r="AG97" s="256">
        <f>H97+M97+R97+W97+AB97</f>
        <v>165036</v>
      </c>
      <c r="AH97" s="257">
        <f>I97+N97+S97+X97+AC97</f>
        <v>560</v>
      </c>
    </row>
    <row r="98" spans="5:34" ht="42" customHeight="1" x14ac:dyDescent="0.2">
      <c r="E98" s="256">
        <f>E87-E97</f>
        <v>103695</v>
      </c>
      <c r="F98" s="256">
        <f t="shared" ref="F98:AD98" si="33">F87-F97</f>
        <v>-24684</v>
      </c>
      <c r="G98" s="256">
        <f t="shared" si="33"/>
        <v>128379</v>
      </c>
      <c r="H98" s="256">
        <f t="shared" si="33"/>
        <v>0</v>
      </c>
      <c r="I98" s="256">
        <f t="shared" si="33"/>
        <v>0</v>
      </c>
      <c r="J98" s="256">
        <f t="shared" si="33"/>
        <v>753526</v>
      </c>
      <c r="K98" s="256">
        <f t="shared" si="33"/>
        <v>-39450</v>
      </c>
      <c r="L98" s="256">
        <f t="shared" si="33"/>
        <v>831219</v>
      </c>
      <c r="M98" s="256">
        <f t="shared" si="33"/>
        <v>-38243</v>
      </c>
      <c r="N98" s="256">
        <f t="shared" si="33"/>
        <v>0</v>
      </c>
      <c r="O98" s="256">
        <f t="shared" si="33"/>
        <v>1196629</v>
      </c>
      <c r="P98" s="256">
        <f t="shared" si="33"/>
        <v>93631</v>
      </c>
      <c r="Q98" s="256">
        <f t="shared" si="33"/>
        <v>1102998</v>
      </c>
      <c r="R98" s="256">
        <f t="shared" si="33"/>
        <v>0</v>
      </c>
      <c r="S98" s="256">
        <f t="shared" si="33"/>
        <v>0</v>
      </c>
      <c r="T98" s="256">
        <f t="shared" si="33"/>
        <v>-2083581</v>
      </c>
      <c r="U98" s="256">
        <f t="shared" si="33"/>
        <v>-90001</v>
      </c>
      <c r="V98" s="256">
        <f t="shared" si="33"/>
        <v>-1993580</v>
      </c>
      <c r="W98" s="256">
        <f t="shared" si="33"/>
        <v>0</v>
      </c>
      <c r="X98" s="256">
        <f t="shared" si="33"/>
        <v>0</v>
      </c>
      <c r="Y98" s="256">
        <f t="shared" si="33"/>
        <v>-1531248</v>
      </c>
      <c r="Z98" s="256">
        <f t="shared" si="33"/>
        <v>44380</v>
      </c>
      <c r="AA98" s="256">
        <f t="shared" si="33"/>
        <v>-1575628</v>
      </c>
      <c r="AB98" s="256">
        <f t="shared" si="33"/>
        <v>0</v>
      </c>
      <c r="AC98" s="256">
        <f t="shared" si="33"/>
        <v>0</v>
      </c>
      <c r="AD98" s="256">
        <f t="shared" si="33"/>
        <v>-1560979</v>
      </c>
      <c r="AE98" s="256">
        <f>AE87-AE97</f>
        <v>-16124</v>
      </c>
      <c r="AF98" s="256">
        <f>AF87-AF97</f>
        <v>-1506612</v>
      </c>
      <c r="AG98" s="256">
        <f>AG87-AG97</f>
        <v>-38243</v>
      </c>
      <c r="AH98" s="256">
        <f>AH87-AH97</f>
        <v>0</v>
      </c>
    </row>
  </sheetData>
  <mergeCells count="85">
    <mergeCell ref="C91:C92"/>
    <mergeCell ref="A79:A80"/>
    <mergeCell ref="A87:C87"/>
    <mergeCell ref="A85:C85"/>
    <mergeCell ref="A86:C86"/>
    <mergeCell ref="C79:C80"/>
    <mergeCell ref="B79:B80"/>
    <mergeCell ref="C89:C90"/>
    <mergeCell ref="A84:C84"/>
    <mergeCell ref="B82:AD82"/>
    <mergeCell ref="N79:N80"/>
    <mergeCell ref="O79:O80"/>
    <mergeCell ref="U79:U80"/>
    <mergeCell ref="V79:V80"/>
    <mergeCell ref="Y79:Y80"/>
    <mergeCell ref="X79:X80"/>
    <mergeCell ref="E5:I5"/>
    <mergeCell ref="J5:N5"/>
    <mergeCell ref="T5:X5"/>
    <mergeCell ref="A36:C36"/>
    <mergeCell ref="A54:C54"/>
    <mergeCell ref="A38:AD38"/>
    <mergeCell ref="A39:AD39"/>
    <mergeCell ref="B9:AD9"/>
    <mergeCell ref="AA2:AD2"/>
    <mergeCell ref="P79:P80"/>
    <mergeCell ref="Q79:Q80"/>
    <mergeCell ref="R79:R80"/>
    <mergeCell ref="S79:S80"/>
    <mergeCell ref="O5:S5"/>
    <mergeCell ref="Y5:AC5"/>
    <mergeCell ref="AA79:AA80"/>
    <mergeCell ref="Z79:Z80"/>
    <mergeCell ref="A8:AD8"/>
    <mergeCell ref="A70:AD70"/>
    <mergeCell ref="A69:AD69"/>
    <mergeCell ref="A10:AD10"/>
    <mergeCell ref="A11:AD11"/>
    <mergeCell ref="J79:J80"/>
    <mergeCell ref="K79:K80"/>
    <mergeCell ref="AA1:AD1"/>
    <mergeCell ref="AC79:AC80"/>
    <mergeCell ref="AD79:AD80"/>
    <mergeCell ref="AB79:AB80"/>
    <mergeCell ref="A45:A46"/>
    <mergeCell ref="C45:C46"/>
    <mergeCell ref="A47:A48"/>
    <mergeCell ref="C47:C48"/>
    <mergeCell ref="A4:A6"/>
    <mergeCell ref="B4:B6"/>
    <mergeCell ref="C4:C6"/>
    <mergeCell ref="D4:D6"/>
    <mergeCell ref="E4:AC4"/>
    <mergeCell ref="AD4:AD6"/>
    <mergeCell ref="A56:AD56"/>
    <mergeCell ref="B3:AD3"/>
    <mergeCell ref="W79:W80"/>
    <mergeCell ref="T79:T80"/>
    <mergeCell ref="A67:C67"/>
    <mergeCell ref="B68:AD68"/>
    <mergeCell ref="B71:AD71"/>
    <mergeCell ref="B73:AD73"/>
    <mergeCell ref="B78:AD78"/>
    <mergeCell ref="E79:E80"/>
    <mergeCell ref="F79:F80"/>
    <mergeCell ref="M79:M80"/>
    <mergeCell ref="I79:I80"/>
    <mergeCell ref="G79:G80"/>
    <mergeCell ref="H79:H80"/>
    <mergeCell ref="D79:D80"/>
    <mergeCell ref="L79:L80"/>
    <mergeCell ref="B58:AD58"/>
    <mergeCell ref="B55:AD55"/>
    <mergeCell ref="B61:AD61"/>
    <mergeCell ref="B12:AD12"/>
    <mergeCell ref="B40:AD40"/>
    <mergeCell ref="B37:AD37"/>
    <mergeCell ref="B21:AD21"/>
    <mergeCell ref="B34:AD34"/>
    <mergeCell ref="B43:B44"/>
    <mergeCell ref="A57:AD57"/>
    <mergeCell ref="A43:A44"/>
    <mergeCell ref="C43:C44"/>
    <mergeCell ref="A53:C53"/>
    <mergeCell ref="A52:C52"/>
  </mergeCells>
  <phoneticPr fontId="1" type="noConversion"/>
  <printOptions horizontalCentered="1"/>
  <pageMargins left="7.874015748031496E-2" right="7.874015748031496E-2" top="0.62992125984251968" bottom="0.39370078740157483" header="0.19685039370078741" footer="0.15748031496062992"/>
  <pageSetup paperSize="8" scale="39" fitToHeight="0" orientation="landscape" r:id="rId1"/>
  <headerFooter alignWithMargins="0"/>
  <rowBreaks count="7" manualBreakCount="7">
    <brk id="19" max="29" man="1"/>
    <brk id="30" max="29" man="1"/>
    <brk id="42" max="29" man="1"/>
    <brk id="49" max="29" man="1"/>
    <brk id="62" max="29" man="1"/>
    <brk id="74" max="16383" man="1"/>
    <brk id="80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25"/>
  <sheetViews>
    <sheetView view="pageBreakPreview" topLeftCell="A22" zoomScale="110" zoomScaleSheetLayoutView="110" workbookViewId="0">
      <selection activeCell="C99" sqref="C99"/>
    </sheetView>
  </sheetViews>
  <sheetFormatPr defaultRowHeight="12.75" x14ac:dyDescent="0.2"/>
  <cols>
    <col min="1" max="1" width="6.140625" style="198" customWidth="1"/>
    <col min="2" max="2" width="34.140625" style="198" customWidth="1"/>
    <col min="3" max="3" width="58.28515625" style="198" customWidth="1"/>
    <col min="4" max="4" width="8.85546875" style="198"/>
    <col min="5" max="5" width="9.140625" style="198" customWidth="1"/>
    <col min="6" max="7" width="8.28515625" style="198" customWidth="1"/>
    <col min="8" max="9" width="10.140625" style="198" customWidth="1"/>
    <col min="10" max="10" width="10.5703125" style="198" customWidth="1"/>
    <col min="11" max="16" width="9.140625" style="198"/>
    <col min="17" max="17" width="14.140625" style="198" customWidth="1"/>
    <col min="18" max="16384" width="9.140625" style="198"/>
  </cols>
  <sheetData>
    <row r="1" spans="1:14" ht="58.5" customHeight="1" x14ac:dyDescent="0.2">
      <c r="G1" s="566" t="s">
        <v>1831</v>
      </c>
      <c r="H1" s="566"/>
      <c r="I1" s="566"/>
      <c r="J1" s="566"/>
    </row>
    <row r="2" spans="1:14" ht="75.75" customHeight="1" x14ac:dyDescent="0.2">
      <c r="G2" s="574" t="s">
        <v>1047</v>
      </c>
      <c r="H2" s="574"/>
      <c r="I2" s="574"/>
      <c r="J2" s="574"/>
    </row>
    <row r="3" spans="1:14" ht="0.75" hidden="1" customHeight="1" x14ac:dyDescent="0.2">
      <c r="A3" s="201"/>
      <c r="B3" s="259"/>
      <c r="C3" s="260"/>
      <c r="D3" s="261"/>
      <c r="E3" s="262"/>
      <c r="F3" s="262"/>
      <c r="G3" s="262"/>
      <c r="H3" s="262"/>
      <c r="I3" s="262"/>
      <c r="J3" s="262"/>
    </row>
    <row r="4" spans="1:14" ht="31.5" customHeight="1" x14ac:dyDescent="0.2">
      <c r="A4" s="572" t="s">
        <v>686</v>
      </c>
      <c r="B4" s="573"/>
      <c r="C4" s="573"/>
      <c r="D4" s="573"/>
      <c r="E4" s="573"/>
      <c r="F4" s="572"/>
      <c r="G4" s="572"/>
      <c r="H4" s="572"/>
      <c r="I4" s="572"/>
      <c r="J4" s="572"/>
    </row>
    <row r="5" spans="1:14" ht="9.75" customHeight="1" x14ac:dyDescent="0.2">
      <c r="A5" s="525" t="s">
        <v>123</v>
      </c>
      <c r="B5" s="567" t="s">
        <v>366</v>
      </c>
      <c r="C5" s="524" t="s">
        <v>367</v>
      </c>
      <c r="D5" s="524" t="s">
        <v>368</v>
      </c>
      <c r="E5" s="570" t="s">
        <v>369</v>
      </c>
      <c r="F5" s="524" t="s">
        <v>370</v>
      </c>
      <c r="G5" s="524"/>
      <c r="H5" s="569"/>
      <c r="I5" s="569"/>
      <c r="J5" s="569"/>
    </row>
    <row r="6" spans="1:14" ht="7.5" customHeight="1" x14ac:dyDescent="0.2">
      <c r="A6" s="525"/>
      <c r="B6" s="568"/>
      <c r="C6" s="524"/>
      <c r="D6" s="569"/>
      <c r="E6" s="571"/>
      <c r="F6" s="569"/>
      <c r="G6" s="569"/>
      <c r="H6" s="569"/>
      <c r="I6" s="569"/>
      <c r="J6" s="569"/>
    </row>
    <row r="7" spans="1:14" ht="9" customHeight="1" x14ac:dyDescent="0.2">
      <c r="A7" s="525"/>
      <c r="B7" s="568"/>
      <c r="C7" s="524"/>
      <c r="D7" s="569"/>
      <c r="E7" s="571"/>
      <c r="F7" s="525">
        <v>2021</v>
      </c>
      <c r="G7" s="525">
        <v>2022</v>
      </c>
      <c r="H7" s="525">
        <v>2023</v>
      </c>
      <c r="I7" s="525">
        <v>2024</v>
      </c>
      <c r="J7" s="525">
        <v>2025</v>
      </c>
    </row>
    <row r="8" spans="1:14" ht="12" customHeight="1" x14ac:dyDescent="0.2">
      <c r="A8" s="525"/>
      <c r="B8" s="568"/>
      <c r="C8" s="524"/>
      <c r="D8" s="569"/>
      <c r="E8" s="571"/>
      <c r="F8" s="525"/>
      <c r="G8" s="525"/>
      <c r="H8" s="525"/>
      <c r="I8" s="525"/>
      <c r="J8" s="525"/>
    </row>
    <row r="9" spans="1:14" x14ac:dyDescent="0.2">
      <c r="A9" s="263">
        <v>1</v>
      </c>
      <c r="B9" s="263">
        <v>2</v>
      </c>
      <c r="C9" s="263">
        <v>3</v>
      </c>
      <c r="D9" s="263">
        <v>4</v>
      </c>
      <c r="E9" s="263">
        <v>5</v>
      </c>
      <c r="F9" s="263">
        <v>6</v>
      </c>
      <c r="G9" s="263">
        <v>7</v>
      </c>
      <c r="H9" s="263">
        <v>8</v>
      </c>
      <c r="I9" s="263">
        <v>9</v>
      </c>
      <c r="J9" s="263">
        <v>10</v>
      </c>
    </row>
    <row r="10" spans="1:14" ht="15.75" customHeight="1" x14ac:dyDescent="0.2">
      <c r="A10" s="575" t="s">
        <v>133</v>
      </c>
      <c r="B10" s="575"/>
      <c r="C10" s="575"/>
      <c r="D10" s="575"/>
      <c r="E10" s="575"/>
      <c r="F10" s="575"/>
      <c r="G10" s="575"/>
      <c r="H10" s="575"/>
      <c r="I10" s="575"/>
      <c r="J10" s="575"/>
    </row>
    <row r="11" spans="1:14" ht="27.75" customHeight="1" x14ac:dyDescent="0.2">
      <c r="A11" s="264" t="s">
        <v>1055</v>
      </c>
      <c r="B11" s="550" t="s">
        <v>108</v>
      </c>
      <c r="C11" s="551"/>
      <c r="D11" s="551"/>
      <c r="E11" s="551"/>
      <c r="F11" s="551"/>
      <c r="G11" s="551"/>
      <c r="H11" s="551"/>
      <c r="I11" s="551"/>
      <c r="J11" s="552"/>
    </row>
    <row r="12" spans="1:14" ht="17.45" customHeight="1" x14ac:dyDescent="0.2">
      <c r="A12" s="576" t="s">
        <v>126</v>
      </c>
      <c r="B12" s="576"/>
      <c r="C12" s="576"/>
      <c r="D12" s="576"/>
      <c r="E12" s="576"/>
      <c r="F12" s="576"/>
      <c r="G12" s="576"/>
      <c r="H12" s="576"/>
      <c r="I12" s="576"/>
      <c r="J12" s="576"/>
    </row>
    <row r="13" spans="1:14" ht="25.15" customHeight="1" x14ac:dyDescent="0.2">
      <c r="A13" s="575" t="s">
        <v>371</v>
      </c>
      <c r="B13" s="575"/>
      <c r="C13" s="575"/>
      <c r="D13" s="575"/>
      <c r="E13" s="575"/>
      <c r="F13" s="575"/>
      <c r="G13" s="575"/>
      <c r="H13" s="575"/>
      <c r="I13" s="575"/>
      <c r="J13" s="575"/>
    </row>
    <row r="14" spans="1:14" ht="27.75" customHeight="1" x14ac:dyDescent="0.2">
      <c r="A14" s="265" t="s">
        <v>1</v>
      </c>
      <c r="B14" s="550" t="s">
        <v>1054</v>
      </c>
      <c r="C14" s="551"/>
      <c r="D14" s="551"/>
      <c r="E14" s="551"/>
      <c r="F14" s="551"/>
      <c r="G14" s="551"/>
      <c r="H14" s="551"/>
      <c r="I14" s="551"/>
      <c r="J14" s="552"/>
    </row>
    <row r="15" spans="1:14" ht="39" customHeight="1" x14ac:dyDescent="0.2">
      <c r="A15" s="266" t="s">
        <v>8</v>
      </c>
      <c r="B15" s="267" t="s">
        <v>397</v>
      </c>
      <c r="C15" s="268" t="s">
        <v>398</v>
      </c>
      <c r="D15" s="269" t="s">
        <v>372</v>
      </c>
      <c r="E15" s="270">
        <v>3</v>
      </c>
      <c r="F15" s="270">
        <f>5+1</f>
        <v>6</v>
      </c>
      <c r="G15" s="271">
        <v>3</v>
      </c>
      <c r="H15" s="271">
        <f>2-1</f>
        <v>1</v>
      </c>
      <c r="I15" s="271">
        <f>2-1</f>
        <v>1</v>
      </c>
      <c r="J15" s="270">
        <f>0+1</f>
        <v>1</v>
      </c>
      <c r="K15" s="272" t="s">
        <v>496</v>
      </c>
    </row>
    <row r="16" spans="1:14" ht="40.5" customHeight="1" x14ac:dyDescent="0.2">
      <c r="A16" s="263" t="s">
        <v>25</v>
      </c>
      <c r="B16" s="273" t="s">
        <v>840</v>
      </c>
      <c r="C16" s="274" t="s">
        <v>1024</v>
      </c>
      <c r="D16" s="275" t="s">
        <v>372</v>
      </c>
      <c r="E16" s="276" t="s">
        <v>373</v>
      </c>
      <c r="F16" s="276">
        <v>1</v>
      </c>
      <c r="G16" s="276">
        <v>1</v>
      </c>
      <c r="H16" s="276" t="s">
        <v>373</v>
      </c>
      <c r="I16" s="277" t="s">
        <v>373</v>
      </c>
      <c r="J16" s="277" t="s">
        <v>373</v>
      </c>
      <c r="K16" s="278" t="s">
        <v>373</v>
      </c>
      <c r="L16" s="279" t="s">
        <v>373</v>
      </c>
      <c r="M16" s="280" t="s">
        <v>373</v>
      </c>
      <c r="N16" s="281" t="s">
        <v>373</v>
      </c>
    </row>
    <row r="17" spans="1:10" ht="14.25" customHeight="1" x14ac:dyDescent="0.2">
      <c r="A17" s="525" t="s">
        <v>36</v>
      </c>
      <c r="B17" s="577" t="s">
        <v>374</v>
      </c>
      <c r="C17" s="274" t="s">
        <v>375</v>
      </c>
      <c r="D17" s="282" t="s">
        <v>372</v>
      </c>
      <c r="E17" s="276">
        <v>9</v>
      </c>
      <c r="F17" s="276">
        <v>11</v>
      </c>
      <c r="G17" s="276">
        <v>11</v>
      </c>
      <c r="H17" s="355">
        <f>11-6+9+12+4</f>
        <v>30</v>
      </c>
      <c r="I17" s="355">
        <f>12-1</f>
        <v>11</v>
      </c>
      <c r="J17" s="276">
        <f>0+12</f>
        <v>12</v>
      </c>
    </row>
    <row r="18" spans="1:10" ht="29.45" customHeight="1" x14ac:dyDescent="0.2">
      <c r="A18" s="548"/>
      <c r="B18" s="578"/>
      <c r="C18" s="274" t="s">
        <v>1025</v>
      </c>
      <c r="D18" s="283" t="s">
        <v>372</v>
      </c>
      <c r="E18" s="284" t="s">
        <v>373</v>
      </c>
      <c r="F18" s="284" t="s">
        <v>373</v>
      </c>
      <c r="G18" s="284" t="s">
        <v>373</v>
      </c>
      <c r="H18" s="366" t="s">
        <v>373</v>
      </c>
      <c r="I18" s="366" t="s">
        <v>373</v>
      </c>
      <c r="J18" s="284" t="s">
        <v>373</v>
      </c>
    </row>
    <row r="19" spans="1:10" ht="27" customHeight="1" x14ac:dyDescent="0.2">
      <c r="A19" s="285" t="s">
        <v>1063</v>
      </c>
      <c r="B19" s="286" t="s">
        <v>702</v>
      </c>
      <c r="C19" s="274" t="s">
        <v>1026</v>
      </c>
      <c r="D19" s="287" t="s">
        <v>372</v>
      </c>
      <c r="E19" s="276">
        <v>2</v>
      </c>
      <c r="F19" s="276">
        <v>3</v>
      </c>
      <c r="G19" s="276">
        <v>10</v>
      </c>
      <c r="H19" s="355">
        <f>0+1+2</f>
        <v>3</v>
      </c>
      <c r="I19" s="355">
        <f>0+5</f>
        <v>5</v>
      </c>
      <c r="J19" s="276">
        <f>0+2</f>
        <v>2</v>
      </c>
    </row>
    <row r="20" spans="1:10" ht="27.6" customHeight="1" x14ac:dyDescent="0.2">
      <c r="A20" s="288"/>
      <c r="B20" s="289"/>
      <c r="C20" s="268" t="s">
        <v>376</v>
      </c>
      <c r="D20" s="290" t="s">
        <v>372</v>
      </c>
      <c r="E20" s="270">
        <v>1</v>
      </c>
      <c r="F20" s="291" t="s">
        <v>373</v>
      </c>
      <c r="G20" s="291" t="s">
        <v>373</v>
      </c>
      <c r="H20" s="367" t="s">
        <v>373</v>
      </c>
      <c r="I20" s="367" t="s">
        <v>373</v>
      </c>
      <c r="J20" s="291" t="s">
        <v>373</v>
      </c>
    </row>
    <row r="21" spans="1:10" ht="21" customHeight="1" x14ac:dyDescent="0.2">
      <c r="A21" s="263" t="s">
        <v>1064</v>
      </c>
      <c r="B21" s="286" t="s">
        <v>103</v>
      </c>
      <c r="C21" s="274" t="s">
        <v>377</v>
      </c>
      <c r="D21" s="287" t="s">
        <v>372</v>
      </c>
      <c r="E21" s="276">
        <v>5</v>
      </c>
      <c r="F21" s="276">
        <v>12</v>
      </c>
      <c r="G21" s="292">
        <v>3</v>
      </c>
      <c r="H21" s="368">
        <f>10-9+1+3+1</f>
        <v>6</v>
      </c>
      <c r="I21" s="355" t="s">
        <v>373</v>
      </c>
      <c r="J21" s="277" t="s">
        <v>373</v>
      </c>
    </row>
    <row r="22" spans="1:10" ht="42.75" customHeight="1" x14ac:dyDescent="0.2">
      <c r="A22" s="263" t="s">
        <v>1065</v>
      </c>
      <c r="B22" s="286" t="s">
        <v>705</v>
      </c>
      <c r="C22" s="274" t="s">
        <v>1040</v>
      </c>
      <c r="D22" s="293" t="s">
        <v>372</v>
      </c>
      <c r="E22" s="294" t="s">
        <v>373</v>
      </c>
      <c r="F22" s="295">
        <v>2</v>
      </c>
      <c r="G22" s="295">
        <f>1+1</f>
        <v>2</v>
      </c>
      <c r="H22" s="369">
        <f>2+1+2-1+2</f>
        <v>6</v>
      </c>
      <c r="I22" s="369">
        <f>0+2-1+1</f>
        <v>2</v>
      </c>
      <c r="J22" s="295">
        <f>0+4</f>
        <v>4</v>
      </c>
    </row>
    <row r="23" spans="1:10" ht="39" customHeight="1" x14ac:dyDescent="0.2">
      <c r="A23" s="263" t="s">
        <v>1066</v>
      </c>
      <c r="B23" s="286" t="s">
        <v>851</v>
      </c>
      <c r="C23" s="274" t="s">
        <v>956</v>
      </c>
      <c r="D23" s="293" t="s">
        <v>372</v>
      </c>
      <c r="E23" s="294" t="s">
        <v>373</v>
      </c>
      <c r="F23" s="295" t="s">
        <v>373</v>
      </c>
      <c r="G23" s="295" t="s">
        <v>373</v>
      </c>
      <c r="H23" s="370">
        <f>0+1</f>
        <v>1</v>
      </c>
      <c r="I23" s="371" t="s">
        <v>373</v>
      </c>
      <c r="J23" s="294" t="s">
        <v>373</v>
      </c>
    </row>
    <row r="24" spans="1:10" ht="28.5" customHeight="1" x14ac:dyDescent="0.2">
      <c r="A24" s="548" t="s">
        <v>1745</v>
      </c>
      <c r="B24" s="546" t="s">
        <v>1752</v>
      </c>
      <c r="C24" s="274" t="s">
        <v>1748</v>
      </c>
      <c r="D24" s="293" t="s">
        <v>372</v>
      </c>
      <c r="E24" s="294" t="s">
        <v>373</v>
      </c>
      <c r="F24" s="295" t="s">
        <v>373</v>
      </c>
      <c r="G24" s="295" t="s">
        <v>373</v>
      </c>
      <c r="H24" s="295">
        <v>1</v>
      </c>
      <c r="I24" s="294" t="s">
        <v>373</v>
      </c>
      <c r="J24" s="294" t="s">
        <v>373</v>
      </c>
    </row>
    <row r="25" spans="1:10" ht="22.5" customHeight="1" x14ac:dyDescent="0.2">
      <c r="A25" s="549"/>
      <c r="B25" s="547"/>
      <c r="C25" s="274" t="s">
        <v>1746</v>
      </c>
      <c r="D25" s="293" t="s">
        <v>372</v>
      </c>
      <c r="E25" s="294" t="s">
        <v>373</v>
      </c>
      <c r="F25" s="295" t="s">
        <v>373</v>
      </c>
      <c r="G25" s="295" t="s">
        <v>373</v>
      </c>
      <c r="H25" s="295">
        <v>6</v>
      </c>
      <c r="I25" s="294" t="s">
        <v>373</v>
      </c>
      <c r="J25" s="294" t="s">
        <v>373</v>
      </c>
    </row>
    <row r="26" spans="1:10" ht="36" customHeight="1" x14ac:dyDescent="0.2">
      <c r="A26" s="265" t="s">
        <v>10</v>
      </c>
      <c r="B26" s="550" t="s">
        <v>1090</v>
      </c>
      <c r="C26" s="551"/>
      <c r="D26" s="551"/>
      <c r="E26" s="551"/>
      <c r="F26" s="551"/>
      <c r="G26" s="551"/>
      <c r="H26" s="551"/>
      <c r="I26" s="551"/>
      <c r="J26" s="552"/>
    </row>
    <row r="27" spans="1:10" ht="19.149999999999999" customHeight="1" x14ac:dyDescent="0.2">
      <c r="A27" s="524" t="s">
        <v>11</v>
      </c>
      <c r="B27" s="553" t="s">
        <v>594</v>
      </c>
      <c r="C27" s="274" t="s">
        <v>572</v>
      </c>
      <c r="D27" s="287" t="s">
        <v>378</v>
      </c>
      <c r="E27" s="296">
        <v>6.79</v>
      </c>
      <c r="F27" s="296">
        <v>6.39</v>
      </c>
      <c r="G27" s="296">
        <v>0.38200000000000001</v>
      </c>
      <c r="H27" s="372">
        <f>0.561-0.2+0.378</f>
        <v>0.7390000000000001</v>
      </c>
      <c r="I27" s="296" t="s">
        <v>373</v>
      </c>
      <c r="J27" s="296" t="s">
        <v>373</v>
      </c>
    </row>
    <row r="28" spans="1:10" ht="15" customHeight="1" x14ac:dyDescent="0.2">
      <c r="A28" s="524"/>
      <c r="B28" s="553"/>
      <c r="C28" s="274" t="s">
        <v>379</v>
      </c>
      <c r="D28" s="287" t="s">
        <v>372</v>
      </c>
      <c r="E28" s="276">
        <v>41</v>
      </c>
      <c r="F28" s="276">
        <v>50</v>
      </c>
      <c r="G28" s="276">
        <v>12</v>
      </c>
      <c r="H28" s="355">
        <f>12+7+13+5+28</f>
        <v>65</v>
      </c>
      <c r="I28" s="276">
        <f>18-16+2</f>
        <v>4</v>
      </c>
      <c r="J28" s="276">
        <f>26-24+2-3</f>
        <v>1</v>
      </c>
    </row>
    <row r="29" spans="1:10" ht="19.899999999999999" customHeight="1" x14ac:dyDescent="0.2">
      <c r="A29" s="524"/>
      <c r="B29" s="553"/>
      <c r="C29" s="274" t="s">
        <v>681</v>
      </c>
      <c r="D29" s="287" t="s">
        <v>372</v>
      </c>
      <c r="E29" s="276">
        <v>460</v>
      </c>
      <c r="F29" s="276">
        <v>483</v>
      </c>
      <c r="G29" s="276">
        <v>590</v>
      </c>
      <c r="H29" s="355">
        <f>590-429+28+14+14</f>
        <v>217</v>
      </c>
      <c r="I29" s="276">
        <f>130-110+11</f>
        <v>31</v>
      </c>
      <c r="J29" s="276">
        <f>130-110-5+13</f>
        <v>28</v>
      </c>
    </row>
    <row r="30" spans="1:10" ht="28.9" customHeight="1" x14ac:dyDescent="0.2">
      <c r="A30" s="525" t="s">
        <v>12</v>
      </c>
      <c r="B30" s="579" t="s">
        <v>380</v>
      </c>
      <c r="C30" s="274" t="s">
        <v>1027</v>
      </c>
      <c r="D30" s="287" t="s">
        <v>372</v>
      </c>
      <c r="E30" s="277" t="s">
        <v>373</v>
      </c>
      <c r="F30" s="276" t="s">
        <v>373</v>
      </c>
      <c r="G30" s="276" t="s">
        <v>373</v>
      </c>
      <c r="H30" s="355">
        <f>7-1-5-1</f>
        <v>0</v>
      </c>
      <c r="I30" s="276">
        <f>7+22</f>
        <v>29</v>
      </c>
      <c r="J30" s="276">
        <f>0+1</f>
        <v>1</v>
      </c>
    </row>
    <row r="31" spans="1:10" ht="31.9" customHeight="1" x14ac:dyDescent="0.2">
      <c r="A31" s="525"/>
      <c r="B31" s="579"/>
      <c r="C31" s="274" t="s">
        <v>1025</v>
      </c>
      <c r="D31" s="287" t="s">
        <v>372</v>
      </c>
      <c r="E31" s="276">
        <v>1</v>
      </c>
      <c r="F31" s="277" t="s">
        <v>373</v>
      </c>
      <c r="G31" s="277" t="s">
        <v>373</v>
      </c>
      <c r="H31" s="277" t="s">
        <v>373</v>
      </c>
      <c r="I31" s="277" t="s">
        <v>373</v>
      </c>
      <c r="J31" s="277" t="s">
        <v>373</v>
      </c>
    </row>
    <row r="32" spans="1:10" ht="41.45" customHeight="1" x14ac:dyDescent="0.2">
      <c r="A32" s="263" t="s">
        <v>27</v>
      </c>
      <c r="B32" s="286" t="s">
        <v>590</v>
      </c>
      <c r="C32" s="274" t="s">
        <v>682</v>
      </c>
      <c r="D32" s="287" t="s">
        <v>372</v>
      </c>
      <c r="E32" s="276">
        <v>4</v>
      </c>
      <c r="F32" s="276">
        <v>2</v>
      </c>
      <c r="G32" s="276">
        <f>1+1</f>
        <v>2</v>
      </c>
      <c r="H32" s="276">
        <v>1</v>
      </c>
      <c r="I32" s="276" t="s">
        <v>373</v>
      </c>
      <c r="J32" s="277" t="s">
        <v>373</v>
      </c>
    </row>
    <row r="33" spans="1:30" ht="39.75" customHeight="1" x14ac:dyDescent="0.2">
      <c r="A33" s="263" t="s">
        <v>1068</v>
      </c>
      <c r="B33" s="286" t="s">
        <v>599</v>
      </c>
      <c r="C33" s="274" t="s">
        <v>1028</v>
      </c>
      <c r="D33" s="287" t="s">
        <v>372</v>
      </c>
      <c r="E33" s="277" t="s">
        <v>373</v>
      </c>
      <c r="F33" s="277" t="s">
        <v>373</v>
      </c>
      <c r="G33" s="276">
        <v>3</v>
      </c>
      <c r="H33" s="276">
        <f>5</f>
        <v>5</v>
      </c>
      <c r="I33" s="276">
        <f>0+4</f>
        <v>4</v>
      </c>
      <c r="J33" s="276" t="s">
        <v>373</v>
      </c>
    </row>
    <row r="34" spans="1:30" ht="29.45" customHeight="1" x14ac:dyDescent="0.2">
      <c r="A34" s="263" t="s">
        <v>1069</v>
      </c>
      <c r="B34" s="286" t="s">
        <v>591</v>
      </c>
      <c r="C34" s="274" t="s">
        <v>592</v>
      </c>
      <c r="D34" s="287" t="s">
        <v>372</v>
      </c>
      <c r="E34" s="277" t="s">
        <v>373</v>
      </c>
      <c r="F34" s="276">
        <v>1</v>
      </c>
      <c r="G34" s="276">
        <f>5-3</f>
        <v>2</v>
      </c>
      <c r="H34" s="355">
        <v>1</v>
      </c>
      <c r="I34" s="276" t="s">
        <v>373</v>
      </c>
      <c r="J34" s="277" t="s">
        <v>373</v>
      </c>
      <c r="K34" s="272" t="s">
        <v>422</v>
      </c>
    </row>
    <row r="35" spans="1:30" ht="33" customHeight="1" x14ac:dyDescent="0.2">
      <c r="A35" s="263" t="s">
        <v>1070</v>
      </c>
      <c r="B35" s="286" t="s">
        <v>596</v>
      </c>
      <c r="C35" s="274" t="s">
        <v>598</v>
      </c>
      <c r="D35" s="287" t="s">
        <v>372</v>
      </c>
      <c r="E35" s="277" t="s">
        <v>373</v>
      </c>
      <c r="F35" s="276">
        <v>734</v>
      </c>
      <c r="G35" s="292">
        <f>534+28+604+42</f>
        <v>1208</v>
      </c>
      <c r="H35" s="355">
        <f>534+629</f>
        <v>1163</v>
      </c>
      <c r="I35" s="276">
        <f>534+1455</f>
        <v>1989</v>
      </c>
      <c r="J35" s="276">
        <f>1943+46</f>
        <v>1989</v>
      </c>
      <c r="K35" s="272"/>
    </row>
    <row r="36" spans="1:30" ht="24.6" customHeight="1" x14ac:dyDescent="0.2">
      <c r="A36" s="263" t="s">
        <v>1071</v>
      </c>
      <c r="B36" s="286" t="s">
        <v>100</v>
      </c>
      <c r="C36" s="274" t="s">
        <v>381</v>
      </c>
      <c r="D36" s="287" t="s">
        <v>382</v>
      </c>
      <c r="E36" s="276">
        <v>2</v>
      </c>
      <c r="F36" s="277" t="s">
        <v>373</v>
      </c>
      <c r="G36" s="297" t="s">
        <v>373</v>
      </c>
      <c r="H36" s="373" t="s">
        <v>373</v>
      </c>
      <c r="I36" s="277" t="s">
        <v>373</v>
      </c>
      <c r="J36" s="276" t="s">
        <v>373</v>
      </c>
      <c r="K36" s="298" t="s">
        <v>497</v>
      </c>
    </row>
    <row r="37" spans="1:30" ht="42.6" customHeight="1" x14ac:dyDescent="0.2">
      <c r="A37" s="263" t="s">
        <v>1072</v>
      </c>
      <c r="B37" s="286" t="s">
        <v>383</v>
      </c>
      <c r="C37" s="274" t="s">
        <v>384</v>
      </c>
      <c r="D37" s="287" t="s">
        <v>372</v>
      </c>
      <c r="E37" s="276">
        <v>61</v>
      </c>
      <c r="F37" s="276">
        <v>41</v>
      </c>
      <c r="G37" s="292">
        <f>43-21</f>
        <v>22</v>
      </c>
      <c r="H37" s="355">
        <f>47-25</f>
        <v>22</v>
      </c>
      <c r="I37" s="276">
        <f>47-25</f>
        <v>22</v>
      </c>
      <c r="J37" s="276">
        <f>43-21</f>
        <v>22</v>
      </c>
    </row>
    <row r="38" spans="1:30" ht="42.6" customHeight="1" x14ac:dyDescent="0.2">
      <c r="A38" s="263" t="s">
        <v>1073</v>
      </c>
      <c r="B38" s="299" t="s">
        <v>1042</v>
      </c>
      <c r="C38" s="274" t="s">
        <v>957</v>
      </c>
      <c r="D38" s="287" t="s">
        <v>372</v>
      </c>
      <c r="E38" s="276" t="s">
        <v>373</v>
      </c>
      <c r="F38" s="276" t="s">
        <v>373</v>
      </c>
      <c r="G38" s="292">
        <f>5-1</f>
        <v>4</v>
      </c>
      <c r="H38" s="355">
        <f>0+2-1+1+1</f>
        <v>3</v>
      </c>
      <c r="I38" s="276">
        <f>0+1</f>
        <v>1</v>
      </c>
      <c r="J38" s="276" t="s">
        <v>373</v>
      </c>
    </row>
    <row r="39" spans="1:30" ht="42.6" customHeight="1" x14ac:dyDescent="0.2">
      <c r="A39" s="300" t="s">
        <v>1074</v>
      </c>
      <c r="B39" s="286" t="s">
        <v>981</v>
      </c>
      <c r="C39" s="274" t="s">
        <v>1029</v>
      </c>
      <c r="D39" s="287" t="s">
        <v>372</v>
      </c>
      <c r="E39" s="276" t="s">
        <v>373</v>
      </c>
      <c r="F39" s="276" t="s">
        <v>373</v>
      </c>
      <c r="G39" s="301">
        <v>1</v>
      </c>
      <c r="H39" s="355">
        <f>0+1</f>
        <v>1</v>
      </c>
      <c r="I39" s="276" t="s">
        <v>373</v>
      </c>
      <c r="J39" s="276" t="s">
        <v>373</v>
      </c>
    </row>
    <row r="40" spans="1:30" ht="45.75" customHeight="1" x14ac:dyDescent="0.2">
      <c r="A40" s="302" t="s">
        <v>1075</v>
      </c>
      <c r="B40" s="303" t="s">
        <v>982</v>
      </c>
      <c r="C40" s="274" t="s">
        <v>997</v>
      </c>
      <c r="D40" s="287" t="s">
        <v>372</v>
      </c>
      <c r="E40" s="276" t="s">
        <v>373</v>
      </c>
      <c r="F40" s="276" t="s">
        <v>373</v>
      </c>
      <c r="G40" s="301">
        <v>9</v>
      </c>
      <c r="H40" s="355" t="s">
        <v>373</v>
      </c>
      <c r="I40" s="276" t="s">
        <v>373</v>
      </c>
      <c r="J40" s="276" t="s">
        <v>373</v>
      </c>
    </row>
    <row r="41" spans="1:30" ht="17.25" customHeight="1" x14ac:dyDescent="0.2">
      <c r="A41" s="548" t="s">
        <v>1076</v>
      </c>
      <c r="B41" s="580" t="s">
        <v>998</v>
      </c>
      <c r="C41" s="274" t="s">
        <v>572</v>
      </c>
      <c r="D41" s="287" t="s">
        <v>378</v>
      </c>
      <c r="E41" s="276" t="s">
        <v>373</v>
      </c>
      <c r="F41" s="276" t="s">
        <v>373</v>
      </c>
      <c r="G41" s="277">
        <v>0.04</v>
      </c>
      <c r="H41" s="355" t="s">
        <v>373</v>
      </c>
      <c r="I41" s="276" t="s">
        <v>373</v>
      </c>
      <c r="J41" s="276" t="s">
        <v>373</v>
      </c>
    </row>
    <row r="42" spans="1:30" ht="17.25" customHeight="1" x14ac:dyDescent="0.2">
      <c r="A42" s="557"/>
      <c r="B42" s="581"/>
      <c r="C42" s="274" t="s">
        <v>379</v>
      </c>
      <c r="D42" s="287" t="s">
        <v>372</v>
      </c>
      <c r="E42" s="276" t="s">
        <v>373</v>
      </c>
      <c r="F42" s="276" t="s">
        <v>373</v>
      </c>
      <c r="G42" s="276">
        <v>8</v>
      </c>
      <c r="H42" s="355">
        <f>3</f>
        <v>3</v>
      </c>
      <c r="I42" s="276" t="s">
        <v>373</v>
      </c>
      <c r="J42" s="276" t="s">
        <v>373</v>
      </c>
    </row>
    <row r="43" spans="1:30" ht="17.25" customHeight="1" x14ac:dyDescent="0.2">
      <c r="A43" s="549"/>
      <c r="B43" s="582"/>
      <c r="C43" s="274" t="s">
        <v>597</v>
      </c>
      <c r="D43" s="287" t="s">
        <v>372</v>
      </c>
      <c r="E43" s="276" t="s">
        <v>373</v>
      </c>
      <c r="F43" s="276" t="s">
        <v>373</v>
      </c>
      <c r="G43" s="276">
        <v>162</v>
      </c>
      <c r="H43" s="355">
        <f>77</f>
        <v>77</v>
      </c>
      <c r="I43" s="276" t="s">
        <v>373</v>
      </c>
      <c r="J43" s="276" t="s">
        <v>373</v>
      </c>
    </row>
    <row r="44" spans="1:30" ht="30.6" customHeight="1" x14ac:dyDescent="0.2">
      <c r="A44" s="265" t="s">
        <v>26</v>
      </c>
      <c r="B44" s="550" t="s">
        <v>1091</v>
      </c>
      <c r="C44" s="551"/>
      <c r="D44" s="551"/>
      <c r="E44" s="551"/>
      <c r="F44" s="551"/>
      <c r="G44" s="551"/>
      <c r="H44" s="551"/>
      <c r="I44" s="551"/>
      <c r="J44" s="552"/>
    </row>
    <row r="45" spans="1:30" ht="24" customHeight="1" x14ac:dyDescent="0.2">
      <c r="A45" s="263" t="s">
        <v>409</v>
      </c>
      <c r="B45" s="286" t="s">
        <v>95</v>
      </c>
      <c r="C45" s="274" t="s">
        <v>385</v>
      </c>
      <c r="D45" s="304" t="s">
        <v>386</v>
      </c>
      <c r="E45" s="305">
        <v>98.9</v>
      </c>
      <c r="F45" s="305">
        <v>99.5</v>
      </c>
      <c r="G45" s="305">
        <v>99.5</v>
      </c>
      <c r="H45" s="305">
        <v>99.5</v>
      </c>
      <c r="I45" s="305">
        <v>99.5</v>
      </c>
      <c r="J45" s="305">
        <v>99.5</v>
      </c>
    </row>
    <row r="46" spans="1:30" ht="45.6" customHeight="1" x14ac:dyDescent="0.2">
      <c r="A46" s="265" t="s">
        <v>1057</v>
      </c>
      <c r="B46" s="550" t="s">
        <v>452</v>
      </c>
      <c r="C46" s="551"/>
      <c r="D46" s="551"/>
      <c r="E46" s="551"/>
      <c r="F46" s="551"/>
      <c r="G46" s="551"/>
      <c r="H46" s="551"/>
      <c r="I46" s="551"/>
      <c r="J46" s="552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</row>
    <row r="47" spans="1:30" ht="33.6" customHeight="1" x14ac:dyDescent="0.2">
      <c r="A47" s="558" t="s">
        <v>561</v>
      </c>
      <c r="B47" s="558"/>
      <c r="C47" s="558"/>
      <c r="D47" s="558"/>
      <c r="E47" s="558"/>
      <c r="F47" s="558"/>
      <c r="G47" s="558"/>
      <c r="H47" s="558"/>
      <c r="I47" s="558"/>
      <c r="J47" s="558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</row>
    <row r="48" spans="1:30" ht="44.45" customHeight="1" x14ac:dyDescent="0.2">
      <c r="A48" s="559" t="s">
        <v>451</v>
      </c>
      <c r="B48" s="559"/>
      <c r="C48" s="559"/>
      <c r="D48" s="559"/>
      <c r="E48" s="559"/>
      <c r="F48" s="559"/>
      <c r="G48" s="559"/>
      <c r="H48" s="559"/>
      <c r="I48" s="559"/>
      <c r="J48" s="559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</row>
    <row r="49" spans="1:30" ht="43.9" customHeight="1" x14ac:dyDescent="0.2">
      <c r="A49" s="265" t="s">
        <v>2</v>
      </c>
      <c r="B49" s="550" t="s">
        <v>1092</v>
      </c>
      <c r="C49" s="551"/>
      <c r="D49" s="551"/>
      <c r="E49" s="551"/>
      <c r="F49" s="551"/>
      <c r="G49" s="551"/>
      <c r="H49" s="551"/>
      <c r="I49" s="551"/>
      <c r="J49" s="552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</row>
    <row r="50" spans="1:30" ht="31.9" customHeight="1" x14ac:dyDescent="0.2">
      <c r="A50" s="525" t="s">
        <v>9</v>
      </c>
      <c r="B50" s="560" t="s">
        <v>689</v>
      </c>
      <c r="C50" s="286" t="s">
        <v>500</v>
      </c>
      <c r="D50" s="287" t="s">
        <v>389</v>
      </c>
      <c r="E50" s="308">
        <v>0.1</v>
      </c>
      <c r="F50" s="287">
        <v>3.06</v>
      </c>
      <c r="G50" s="309">
        <f>1.31-1.1-0.2</f>
        <v>9.9999999999999534E-3</v>
      </c>
      <c r="H50" s="403">
        <f>0+1.69-1.48</f>
        <v>0.20999999999999996</v>
      </c>
      <c r="I50" s="403">
        <f>0+4.2+4.03</f>
        <v>8.23</v>
      </c>
      <c r="J50" s="309" t="s">
        <v>373</v>
      </c>
      <c r="K50" s="310">
        <v>3.2</v>
      </c>
    </row>
    <row r="51" spans="1:30" ht="31.9" customHeight="1" x14ac:dyDescent="0.2">
      <c r="A51" s="525"/>
      <c r="B51" s="560"/>
      <c r="C51" s="405" t="s">
        <v>1823</v>
      </c>
      <c r="D51" s="287" t="s">
        <v>372</v>
      </c>
      <c r="E51" s="308" t="s">
        <v>373</v>
      </c>
      <c r="F51" s="287" t="s">
        <v>373</v>
      </c>
      <c r="G51" s="309" t="s">
        <v>373</v>
      </c>
      <c r="H51" s="309" t="s">
        <v>373</v>
      </c>
      <c r="I51" s="404">
        <v>1</v>
      </c>
      <c r="J51" s="309" t="s">
        <v>373</v>
      </c>
      <c r="K51" s="310"/>
    </row>
    <row r="52" spans="1:30" ht="45.6" customHeight="1" x14ac:dyDescent="0.2">
      <c r="A52" s="525"/>
      <c r="B52" s="560"/>
      <c r="C52" s="286" t="s">
        <v>822</v>
      </c>
      <c r="D52" s="287" t="s">
        <v>372</v>
      </c>
      <c r="E52" s="311" t="s">
        <v>373</v>
      </c>
      <c r="F52" s="287">
        <v>4</v>
      </c>
      <c r="G52" s="287" t="s">
        <v>373</v>
      </c>
      <c r="H52" s="287" t="s">
        <v>373</v>
      </c>
      <c r="I52" s="287" t="s">
        <v>373</v>
      </c>
      <c r="J52" s="287" t="s">
        <v>373</v>
      </c>
      <c r="K52" s="310"/>
    </row>
    <row r="53" spans="1:30" ht="30" customHeight="1" x14ac:dyDescent="0.2">
      <c r="A53" s="548" t="s">
        <v>77</v>
      </c>
      <c r="B53" s="554" t="s">
        <v>128</v>
      </c>
      <c r="C53" s="286" t="s">
        <v>501</v>
      </c>
      <c r="D53" s="287" t="s">
        <v>389</v>
      </c>
      <c r="E53" s="311" t="s">
        <v>373</v>
      </c>
      <c r="F53" s="287">
        <v>1</v>
      </c>
      <c r="G53" s="287" t="s">
        <v>373</v>
      </c>
      <c r="H53" s="386">
        <v>1.96</v>
      </c>
      <c r="I53" s="287" t="s">
        <v>373</v>
      </c>
      <c r="J53" s="309" t="s">
        <v>373</v>
      </c>
      <c r="K53" s="310">
        <v>0.69</v>
      </c>
    </row>
    <row r="54" spans="1:30" ht="43.5" customHeight="1" x14ac:dyDescent="0.2">
      <c r="A54" s="557"/>
      <c r="B54" s="555"/>
      <c r="C54" s="286" t="s">
        <v>819</v>
      </c>
      <c r="D54" s="287" t="s">
        <v>372</v>
      </c>
      <c r="E54" s="311" t="s">
        <v>373</v>
      </c>
      <c r="F54" s="287">
        <v>1</v>
      </c>
      <c r="G54" s="311" t="s">
        <v>373</v>
      </c>
      <c r="H54" s="385">
        <v>1</v>
      </c>
      <c r="I54" s="287" t="s">
        <v>373</v>
      </c>
      <c r="J54" s="287" t="s">
        <v>373</v>
      </c>
      <c r="K54" s="312"/>
    </row>
    <row r="55" spans="1:30" ht="45" customHeight="1" x14ac:dyDescent="0.2">
      <c r="A55" s="548" t="s">
        <v>408</v>
      </c>
      <c r="B55" s="554" t="s">
        <v>964</v>
      </c>
      <c r="C55" s="273" t="s">
        <v>502</v>
      </c>
      <c r="D55" s="287" t="s">
        <v>372</v>
      </c>
      <c r="E55" s="311" t="s">
        <v>373</v>
      </c>
      <c r="F55" s="287">
        <v>6</v>
      </c>
      <c r="G55" s="287">
        <f>7-5</f>
        <v>2</v>
      </c>
      <c r="H55" s="385">
        <f>0+2-1-1</f>
        <v>0</v>
      </c>
      <c r="I55" s="287" t="s">
        <v>373</v>
      </c>
      <c r="J55" s="287" t="s">
        <v>373</v>
      </c>
      <c r="K55" s="313">
        <v>1</v>
      </c>
    </row>
    <row r="56" spans="1:30" ht="45" customHeight="1" x14ac:dyDescent="0.2">
      <c r="A56" s="557"/>
      <c r="B56" s="555"/>
      <c r="C56" s="273" t="s">
        <v>503</v>
      </c>
      <c r="D56" s="287" t="s">
        <v>372</v>
      </c>
      <c r="E56" s="311" t="s">
        <v>373</v>
      </c>
      <c r="F56" s="287">
        <v>3</v>
      </c>
      <c r="G56" s="287">
        <v>2</v>
      </c>
      <c r="H56" s="385">
        <f>0+2+2-2</f>
        <v>2</v>
      </c>
      <c r="I56" s="287">
        <f>3-2</f>
        <v>1</v>
      </c>
      <c r="J56" s="287" t="s">
        <v>373</v>
      </c>
      <c r="K56" s="313">
        <v>1</v>
      </c>
    </row>
    <row r="57" spans="1:30" ht="30.75" customHeight="1" x14ac:dyDescent="0.2">
      <c r="A57" s="557"/>
      <c r="B57" s="555"/>
      <c r="C57" s="273" t="s">
        <v>943</v>
      </c>
      <c r="D57" s="287" t="s">
        <v>372</v>
      </c>
      <c r="E57" s="311" t="s">
        <v>373</v>
      </c>
      <c r="F57" s="311">
        <v>1</v>
      </c>
      <c r="G57" s="311" t="s">
        <v>373</v>
      </c>
      <c r="H57" s="311" t="s">
        <v>373</v>
      </c>
      <c r="I57" s="311" t="s">
        <v>373</v>
      </c>
      <c r="J57" s="311" t="s">
        <v>373</v>
      </c>
      <c r="K57" s="313">
        <v>7</v>
      </c>
    </row>
    <row r="58" spans="1:30" ht="43.15" customHeight="1" x14ac:dyDescent="0.2">
      <c r="A58" s="557"/>
      <c r="B58" s="555"/>
      <c r="C58" s="273" t="s">
        <v>449</v>
      </c>
      <c r="D58" s="287" t="s">
        <v>372</v>
      </c>
      <c r="E58" s="287">
        <v>1</v>
      </c>
      <c r="F58" s="287">
        <v>2</v>
      </c>
      <c r="G58" s="287">
        <v>1</v>
      </c>
      <c r="H58" s="287">
        <v>1</v>
      </c>
      <c r="I58" s="287">
        <f>1+1</f>
        <v>2</v>
      </c>
      <c r="J58" s="287" t="s">
        <v>373</v>
      </c>
      <c r="K58" s="313"/>
    </row>
    <row r="59" spans="1:30" ht="43.15" customHeight="1" x14ac:dyDescent="0.2">
      <c r="A59" s="557"/>
      <c r="B59" s="555"/>
      <c r="C59" s="273" t="s">
        <v>450</v>
      </c>
      <c r="D59" s="287" t="s">
        <v>372</v>
      </c>
      <c r="E59" s="311" t="s">
        <v>373</v>
      </c>
      <c r="F59" s="311" t="s">
        <v>373</v>
      </c>
      <c r="G59" s="311" t="s">
        <v>373</v>
      </c>
      <c r="H59" s="287" t="s">
        <v>373</v>
      </c>
      <c r="I59" s="385">
        <f>35-34</f>
        <v>1</v>
      </c>
      <c r="J59" s="287" t="s">
        <v>373</v>
      </c>
      <c r="K59" s="313">
        <v>40</v>
      </c>
      <c r="M59" s="198" t="s">
        <v>415</v>
      </c>
    </row>
    <row r="60" spans="1:30" ht="46.15" customHeight="1" x14ac:dyDescent="0.2">
      <c r="A60" s="557"/>
      <c r="B60" s="555"/>
      <c r="C60" s="273" t="s">
        <v>499</v>
      </c>
      <c r="D60" s="287" t="s">
        <v>389</v>
      </c>
      <c r="E60" s="287">
        <v>33.46</v>
      </c>
      <c r="F60" s="311" t="s">
        <v>373</v>
      </c>
      <c r="G60" s="309" t="s">
        <v>373</v>
      </c>
      <c r="H60" s="309" t="s">
        <v>373</v>
      </c>
      <c r="I60" s="314" t="s">
        <v>373</v>
      </c>
      <c r="J60" s="314" t="s">
        <v>373</v>
      </c>
      <c r="K60" s="313"/>
    </row>
    <row r="61" spans="1:30" ht="42.6" customHeight="1" x14ac:dyDescent="0.2">
      <c r="A61" s="557"/>
      <c r="B61" s="555"/>
      <c r="C61" s="273" t="s">
        <v>388</v>
      </c>
      <c r="D61" s="287" t="s">
        <v>690</v>
      </c>
      <c r="E61" s="311" t="s">
        <v>373</v>
      </c>
      <c r="F61" s="311" t="s">
        <v>373</v>
      </c>
      <c r="G61" s="287" t="s">
        <v>373</v>
      </c>
      <c r="H61" s="287" t="s">
        <v>373</v>
      </c>
      <c r="I61" s="287" t="s">
        <v>373</v>
      </c>
      <c r="J61" s="287" t="s">
        <v>373</v>
      </c>
      <c r="K61" s="313"/>
    </row>
    <row r="62" spans="1:30" ht="42.6" customHeight="1" x14ac:dyDescent="0.2">
      <c r="A62" s="549"/>
      <c r="B62" s="556"/>
      <c r="C62" s="286" t="s">
        <v>994</v>
      </c>
      <c r="D62" s="287" t="s">
        <v>372</v>
      </c>
      <c r="E62" s="311" t="s">
        <v>373</v>
      </c>
      <c r="F62" s="287" t="s">
        <v>373</v>
      </c>
      <c r="G62" s="311">
        <v>1</v>
      </c>
      <c r="H62" s="287" t="s">
        <v>373</v>
      </c>
      <c r="I62" s="287" t="s">
        <v>373</v>
      </c>
      <c r="J62" s="287" t="s">
        <v>373</v>
      </c>
      <c r="K62" s="313"/>
    </row>
    <row r="63" spans="1:30" ht="71.25" customHeight="1" x14ac:dyDescent="0.2">
      <c r="A63" s="548" t="s">
        <v>1058</v>
      </c>
      <c r="B63" s="554" t="s">
        <v>791</v>
      </c>
      <c r="C63" s="286" t="s">
        <v>1036</v>
      </c>
      <c r="D63" s="287" t="s">
        <v>391</v>
      </c>
      <c r="E63" s="311" t="s">
        <v>373</v>
      </c>
      <c r="F63" s="287" t="s">
        <v>848</v>
      </c>
      <c r="G63" s="287" t="s">
        <v>1614</v>
      </c>
      <c r="H63" s="287" t="s">
        <v>1688</v>
      </c>
      <c r="I63" s="287" t="s">
        <v>373</v>
      </c>
      <c r="J63" s="287" t="s">
        <v>373</v>
      </c>
      <c r="K63" s="315">
        <v>109.38</v>
      </c>
      <c r="L63" s="198" t="s">
        <v>410</v>
      </c>
    </row>
    <row r="64" spans="1:30" ht="30.75" customHeight="1" x14ac:dyDescent="0.2">
      <c r="A64" s="557"/>
      <c r="B64" s="555"/>
      <c r="C64" s="286" t="s">
        <v>794</v>
      </c>
      <c r="D64" s="287" t="s">
        <v>372</v>
      </c>
      <c r="E64" s="311" t="s">
        <v>373</v>
      </c>
      <c r="F64" s="287">
        <v>1</v>
      </c>
      <c r="G64" s="287">
        <v>1</v>
      </c>
      <c r="H64" s="287">
        <v>1</v>
      </c>
      <c r="I64" s="287" t="s">
        <v>373</v>
      </c>
      <c r="J64" s="287" t="s">
        <v>373</v>
      </c>
      <c r="K64" s="315"/>
    </row>
    <row r="65" spans="1:11" ht="51" x14ac:dyDescent="0.2">
      <c r="A65" s="557"/>
      <c r="B65" s="583"/>
      <c r="C65" s="286" t="s">
        <v>809</v>
      </c>
      <c r="D65" s="287" t="s">
        <v>372</v>
      </c>
      <c r="E65" s="311" t="s">
        <v>373</v>
      </c>
      <c r="F65" s="287">
        <v>1</v>
      </c>
      <c r="G65" s="287" t="s">
        <v>373</v>
      </c>
      <c r="H65" s="287" t="s">
        <v>373</v>
      </c>
      <c r="I65" s="287" t="s">
        <v>373</v>
      </c>
      <c r="J65" s="287" t="s">
        <v>373</v>
      </c>
      <c r="K65" s="315"/>
    </row>
    <row r="66" spans="1:11" ht="54.75" customHeight="1" x14ac:dyDescent="0.2">
      <c r="A66" s="557"/>
      <c r="B66" s="583"/>
      <c r="C66" s="286" t="s">
        <v>954</v>
      </c>
      <c r="D66" s="287" t="s">
        <v>372</v>
      </c>
      <c r="E66" s="287" t="s">
        <v>373</v>
      </c>
      <c r="F66" s="314" t="s">
        <v>373</v>
      </c>
      <c r="G66" s="287" t="s">
        <v>373</v>
      </c>
      <c r="H66" s="287" t="s">
        <v>373</v>
      </c>
      <c r="I66" s="287" t="s">
        <v>373</v>
      </c>
      <c r="J66" s="287" t="s">
        <v>373</v>
      </c>
      <c r="K66" s="316"/>
    </row>
    <row r="67" spans="1:11" ht="25.5" x14ac:dyDescent="0.2">
      <c r="A67" s="557"/>
      <c r="B67" s="583"/>
      <c r="C67" s="286" t="s">
        <v>1750</v>
      </c>
      <c r="D67" s="287" t="s">
        <v>372</v>
      </c>
      <c r="E67" s="287" t="s">
        <v>373</v>
      </c>
      <c r="F67" s="314" t="s">
        <v>373</v>
      </c>
      <c r="G67" s="287">
        <f>1</f>
        <v>1</v>
      </c>
      <c r="H67" s="287" t="s">
        <v>373</v>
      </c>
      <c r="I67" s="287" t="s">
        <v>373</v>
      </c>
      <c r="J67" s="287" t="s">
        <v>373</v>
      </c>
      <c r="K67" s="316"/>
    </row>
    <row r="68" spans="1:11" ht="42" customHeight="1" x14ac:dyDescent="0.2">
      <c r="A68" s="557"/>
      <c r="B68" s="583"/>
      <c r="C68" s="286" t="s">
        <v>978</v>
      </c>
      <c r="D68" s="287" t="s">
        <v>372</v>
      </c>
      <c r="E68" s="287" t="s">
        <v>373</v>
      </c>
      <c r="F68" s="287" t="s">
        <v>373</v>
      </c>
      <c r="G68" s="287">
        <v>1</v>
      </c>
      <c r="H68" s="287" t="s">
        <v>373</v>
      </c>
      <c r="I68" s="287" t="s">
        <v>373</v>
      </c>
      <c r="J68" s="287" t="s">
        <v>373</v>
      </c>
      <c r="K68" s="316"/>
    </row>
    <row r="69" spans="1:11" ht="42" customHeight="1" x14ac:dyDescent="0.2">
      <c r="A69" s="549"/>
      <c r="B69" s="517"/>
      <c r="C69" s="286" t="s">
        <v>1751</v>
      </c>
      <c r="D69" s="287" t="s">
        <v>372</v>
      </c>
      <c r="E69" s="287" t="s">
        <v>373</v>
      </c>
      <c r="F69" s="287" t="s">
        <v>373</v>
      </c>
      <c r="G69" s="287" t="s">
        <v>373</v>
      </c>
      <c r="H69" s="287">
        <v>1</v>
      </c>
      <c r="I69" s="287" t="s">
        <v>373</v>
      </c>
      <c r="J69" s="287" t="s">
        <v>373</v>
      </c>
      <c r="K69" s="316"/>
    </row>
    <row r="70" spans="1:11" ht="56.45" customHeight="1" x14ac:dyDescent="0.2">
      <c r="A70" s="584" t="s">
        <v>1059</v>
      </c>
      <c r="B70" s="554" t="s">
        <v>129</v>
      </c>
      <c r="C70" s="286" t="s">
        <v>1037</v>
      </c>
      <c r="D70" s="287" t="s">
        <v>390</v>
      </c>
      <c r="E70" s="287">
        <v>257.52999999999997</v>
      </c>
      <c r="F70" s="309" t="s">
        <v>969</v>
      </c>
      <c r="G70" s="287" t="s">
        <v>1659</v>
      </c>
      <c r="H70" s="385" t="s">
        <v>1809</v>
      </c>
      <c r="I70" s="287" t="s">
        <v>1653</v>
      </c>
      <c r="J70" s="287" t="s">
        <v>1652</v>
      </c>
      <c r="K70" s="316" t="s">
        <v>392</v>
      </c>
    </row>
    <row r="71" spans="1:11" ht="19.149999999999999" customHeight="1" x14ac:dyDescent="0.2">
      <c r="A71" s="585"/>
      <c r="B71" s="555"/>
      <c r="C71" s="286" t="s">
        <v>677</v>
      </c>
      <c r="D71" s="287" t="s">
        <v>372</v>
      </c>
      <c r="E71" s="287" t="s">
        <v>373</v>
      </c>
      <c r="F71" s="314">
        <v>1</v>
      </c>
      <c r="G71" s="287" t="s">
        <v>373</v>
      </c>
      <c r="H71" s="287" t="s">
        <v>373</v>
      </c>
      <c r="I71" s="287" t="s">
        <v>373</v>
      </c>
      <c r="J71" s="287" t="s">
        <v>373</v>
      </c>
      <c r="K71" s="316"/>
    </row>
    <row r="72" spans="1:11" ht="93" customHeight="1" x14ac:dyDescent="0.2">
      <c r="A72" s="585"/>
      <c r="B72" s="555"/>
      <c r="C72" s="286" t="s">
        <v>1030</v>
      </c>
      <c r="D72" s="287" t="s">
        <v>372</v>
      </c>
      <c r="E72" s="287" t="s">
        <v>373</v>
      </c>
      <c r="F72" s="314">
        <v>13</v>
      </c>
      <c r="G72" s="287" t="s">
        <v>373</v>
      </c>
      <c r="H72" s="287" t="s">
        <v>373</v>
      </c>
      <c r="I72" s="287" t="s">
        <v>373</v>
      </c>
      <c r="J72" s="287" t="s">
        <v>373</v>
      </c>
      <c r="K72" s="316"/>
    </row>
    <row r="73" spans="1:11" ht="17.45" customHeight="1" x14ac:dyDescent="0.2">
      <c r="A73" s="585"/>
      <c r="B73" s="555"/>
      <c r="C73" s="286" t="s">
        <v>375</v>
      </c>
      <c r="D73" s="287" t="s">
        <v>372</v>
      </c>
      <c r="E73" s="287" t="s">
        <v>373</v>
      </c>
      <c r="F73" s="314">
        <v>20</v>
      </c>
      <c r="G73" s="287" t="s">
        <v>373</v>
      </c>
      <c r="H73" s="287" t="s">
        <v>373</v>
      </c>
      <c r="I73" s="287" t="s">
        <v>373</v>
      </c>
      <c r="J73" s="287" t="s">
        <v>373</v>
      </c>
      <c r="K73" s="316"/>
    </row>
    <row r="74" spans="1:11" ht="25.5" x14ac:dyDescent="0.2">
      <c r="A74" s="585"/>
      <c r="B74" s="555"/>
      <c r="C74" s="286" t="s">
        <v>1026</v>
      </c>
      <c r="D74" s="287" t="s">
        <v>372</v>
      </c>
      <c r="E74" s="287" t="s">
        <v>373</v>
      </c>
      <c r="F74" s="314">
        <v>2</v>
      </c>
      <c r="G74" s="287" t="s">
        <v>373</v>
      </c>
      <c r="H74" s="287" t="s">
        <v>373</v>
      </c>
      <c r="I74" s="287" t="s">
        <v>373</v>
      </c>
      <c r="J74" s="287" t="s">
        <v>373</v>
      </c>
      <c r="K74" s="316"/>
    </row>
    <row r="75" spans="1:11" ht="17.45" customHeight="1" x14ac:dyDescent="0.2">
      <c r="A75" s="585"/>
      <c r="B75" s="555"/>
      <c r="C75" s="286" t="s">
        <v>377</v>
      </c>
      <c r="D75" s="287" t="s">
        <v>372</v>
      </c>
      <c r="E75" s="287" t="s">
        <v>373</v>
      </c>
      <c r="F75" s="314">
        <v>9</v>
      </c>
      <c r="G75" s="287" t="s">
        <v>373</v>
      </c>
      <c r="H75" s="287" t="s">
        <v>373</v>
      </c>
      <c r="I75" s="287" t="s">
        <v>373</v>
      </c>
      <c r="J75" s="287" t="s">
        <v>373</v>
      </c>
      <c r="K75" s="316"/>
    </row>
    <row r="76" spans="1:11" ht="51" x14ac:dyDescent="0.2">
      <c r="A76" s="585"/>
      <c r="B76" s="555"/>
      <c r="C76" s="286" t="s">
        <v>1031</v>
      </c>
      <c r="D76" s="287" t="s">
        <v>372</v>
      </c>
      <c r="E76" s="287" t="s">
        <v>373</v>
      </c>
      <c r="F76" s="314">
        <v>3</v>
      </c>
      <c r="G76" s="287" t="s">
        <v>373</v>
      </c>
      <c r="H76" s="287" t="s">
        <v>373</v>
      </c>
      <c r="I76" s="287" t="s">
        <v>373</v>
      </c>
      <c r="J76" s="287" t="s">
        <v>373</v>
      </c>
      <c r="K76" s="316"/>
    </row>
    <row r="77" spans="1:11" ht="20.45" customHeight="1" x14ac:dyDescent="0.2">
      <c r="A77" s="585"/>
      <c r="B77" s="555"/>
      <c r="C77" s="286" t="s">
        <v>572</v>
      </c>
      <c r="D77" s="287" t="s">
        <v>683</v>
      </c>
      <c r="E77" s="287" t="s">
        <v>373</v>
      </c>
      <c r="F77" s="309">
        <v>2.9</v>
      </c>
      <c r="G77" s="287" t="s">
        <v>373</v>
      </c>
      <c r="H77" s="287" t="s">
        <v>373</v>
      </c>
      <c r="I77" s="287" t="s">
        <v>373</v>
      </c>
      <c r="J77" s="287" t="s">
        <v>373</v>
      </c>
      <c r="K77" s="316"/>
    </row>
    <row r="78" spans="1:11" ht="16.899999999999999" customHeight="1" x14ac:dyDescent="0.2">
      <c r="A78" s="557"/>
      <c r="B78" s="583"/>
      <c r="C78" s="286" t="s">
        <v>1032</v>
      </c>
      <c r="D78" s="287" t="s">
        <v>372</v>
      </c>
      <c r="E78" s="287" t="s">
        <v>373</v>
      </c>
      <c r="F78" s="314">
        <v>20</v>
      </c>
      <c r="G78" s="287" t="s">
        <v>373</v>
      </c>
      <c r="H78" s="287" t="s">
        <v>373</v>
      </c>
      <c r="I78" s="287" t="s">
        <v>373</v>
      </c>
      <c r="J78" s="287" t="s">
        <v>373</v>
      </c>
      <c r="K78" s="316"/>
    </row>
    <row r="79" spans="1:11" ht="15.75" customHeight="1" x14ac:dyDescent="0.2">
      <c r="A79" s="557"/>
      <c r="B79" s="583"/>
      <c r="C79" s="286" t="s">
        <v>681</v>
      </c>
      <c r="D79" s="287" t="s">
        <v>372</v>
      </c>
      <c r="E79" s="287" t="s">
        <v>373</v>
      </c>
      <c r="F79" s="314">
        <v>42</v>
      </c>
      <c r="G79" s="287" t="s">
        <v>373</v>
      </c>
      <c r="H79" s="287" t="s">
        <v>373</v>
      </c>
      <c r="I79" s="287" t="s">
        <v>373</v>
      </c>
      <c r="J79" s="287" t="s">
        <v>373</v>
      </c>
      <c r="K79" s="316"/>
    </row>
    <row r="80" spans="1:11" ht="28.9" customHeight="1" x14ac:dyDescent="0.2">
      <c r="A80" s="557"/>
      <c r="B80" s="583"/>
      <c r="C80" s="286" t="s">
        <v>1027</v>
      </c>
      <c r="D80" s="287" t="s">
        <v>372</v>
      </c>
      <c r="E80" s="287" t="s">
        <v>373</v>
      </c>
      <c r="F80" s="314">
        <v>2</v>
      </c>
      <c r="G80" s="287" t="s">
        <v>373</v>
      </c>
      <c r="H80" s="287" t="s">
        <v>373</v>
      </c>
      <c r="I80" s="287" t="s">
        <v>373</v>
      </c>
      <c r="J80" s="287" t="s">
        <v>373</v>
      </c>
      <c r="K80" s="316"/>
    </row>
    <row r="81" spans="1:30" ht="30.75" customHeight="1" x14ac:dyDescent="0.2">
      <c r="A81" s="557"/>
      <c r="B81" s="583"/>
      <c r="C81" s="286" t="s">
        <v>682</v>
      </c>
      <c r="D81" s="287" t="s">
        <v>372</v>
      </c>
      <c r="E81" s="287" t="s">
        <v>373</v>
      </c>
      <c r="F81" s="314">
        <v>1</v>
      </c>
      <c r="G81" s="287" t="s">
        <v>373</v>
      </c>
      <c r="H81" s="287" t="s">
        <v>373</v>
      </c>
      <c r="I81" s="287" t="s">
        <v>373</v>
      </c>
      <c r="J81" s="287" t="s">
        <v>373</v>
      </c>
      <c r="K81" s="316"/>
    </row>
    <row r="82" spans="1:30" ht="54.75" customHeight="1" x14ac:dyDescent="0.2">
      <c r="A82" s="557"/>
      <c r="B82" s="583"/>
      <c r="C82" s="286" t="s">
        <v>1033</v>
      </c>
      <c r="D82" s="287" t="s">
        <v>372</v>
      </c>
      <c r="E82" s="287" t="s">
        <v>373</v>
      </c>
      <c r="F82" s="314">
        <v>15</v>
      </c>
      <c r="G82" s="287">
        <v>14</v>
      </c>
      <c r="H82" s="287">
        <f>18-9</f>
        <v>9</v>
      </c>
      <c r="I82" s="287">
        <f>18-9</f>
        <v>9</v>
      </c>
      <c r="J82" s="287">
        <f>0+9</f>
        <v>9</v>
      </c>
      <c r="K82" s="316"/>
    </row>
    <row r="83" spans="1:30" ht="25.5" x14ac:dyDescent="0.2">
      <c r="A83" s="557"/>
      <c r="B83" s="583"/>
      <c r="C83" s="286" t="s">
        <v>793</v>
      </c>
      <c r="D83" s="287" t="s">
        <v>372</v>
      </c>
      <c r="E83" s="287" t="s">
        <v>373</v>
      </c>
      <c r="F83" s="314">
        <v>1</v>
      </c>
      <c r="G83" s="287" t="s">
        <v>373</v>
      </c>
      <c r="H83" s="287" t="s">
        <v>373</v>
      </c>
      <c r="I83" s="287" t="s">
        <v>373</v>
      </c>
      <c r="J83" s="287" t="s">
        <v>373</v>
      </c>
      <c r="K83" s="316"/>
    </row>
    <row r="84" spans="1:30" ht="30" customHeight="1" x14ac:dyDescent="0.2">
      <c r="A84" s="557"/>
      <c r="B84" s="583"/>
      <c r="C84" s="286" t="s">
        <v>944</v>
      </c>
      <c r="D84" s="287" t="s">
        <v>389</v>
      </c>
      <c r="E84" s="287" t="s">
        <v>373</v>
      </c>
      <c r="F84" s="309">
        <v>12.17</v>
      </c>
      <c r="G84" s="287">
        <v>24.06</v>
      </c>
      <c r="H84" s="287">
        <f>0+10.7+15.2</f>
        <v>25.9</v>
      </c>
      <c r="I84" s="287" t="s">
        <v>373</v>
      </c>
      <c r="J84" s="287" t="s">
        <v>373</v>
      </c>
      <c r="K84" s="316"/>
    </row>
    <row r="85" spans="1:30" ht="25.5" x14ac:dyDescent="0.2">
      <c r="A85" s="557"/>
      <c r="B85" s="583"/>
      <c r="C85" s="286" t="s">
        <v>959</v>
      </c>
      <c r="D85" s="287" t="s">
        <v>372</v>
      </c>
      <c r="E85" s="287" t="s">
        <v>373</v>
      </c>
      <c r="F85" s="287" t="s">
        <v>373</v>
      </c>
      <c r="G85" s="287" t="s">
        <v>373</v>
      </c>
      <c r="H85" s="287">
        <v>1</v>
      </c>
      <c r="I85" s="287" t="s">
        <v>373</v>
      </c>
      <c r="J85" s="287" t="s">
        <v>373</v>
      </c>
      <c r="K85" s="316"/>
    </row>
    <row r="86" spans="1:30" ht="42" customHeight="1" x14ac:dyDescent="0.2">
      <c r="A86" s="557"/>
      <c r="B86" s="583"/>
      <c r="C86" s="286" t="s">
        <v>388</v>
      </c>
      <c r="D86" s="287" t="s">
        <v>372</v>
      </c>
      <c r="E86" s="287" t="s">
        <v>373</v>
      </c>
      <c r="F86" s="287" t="s">
        <v>373</v>
      </c>
      <c r="G86" s="287">
        <v>11</v>
      </c>
      <c r="H86" s="287">
        <v>3</v>
      </c>
      <c r="I86" s="287" t="s">
        <v>373</v>
      </c>
      <c r="J86" s="287" t="s">
        <v>373</v>
      </c>
      <c r="K86" s="316"/>
    </row>
    <row r="87" spans="1:30" ht="42" customHeight="1" x14ac:dyDescent="0.2">
      <c r="A87" s="557"/>
      <c r="B87" s="583"/>
      <c r="C87" s="286" t="s">
        <v>978</v>
      </c>
      <c r="D87" s="287" t="s">
        <v>372</v>
      </c>
      <c r="E87" s="287" t="s">
        <v>373</v>
      </c>
      <c r="F87" s="287" t="s">
        <v>373</v>
      </c>
      <c r="G87" s="317" t="s">
        <v>373</v>
      </c>
      <c r="H87" s="287" t="s">
        <v>373</v>
      </c>
      <c r="I87" s="287" t="s">
        <v>373</v>
      </c>
      <c r="J87" s="287" t="s">
        <v>373</v>
      </c>
      <c r="K87" s="316"/>
    </row>
    <row r="88" spans="1:30" ht="43.5" customHeight="1" x14ac:dyDescent="0.2">
      <c r="A88" s="557"/>
      <c r="B88" s="583"/>
      <c r="C88" s="405" t="s">
        <v>1759</v>
      </c>
      <c r="D88" s="287" t="s">
        <v>372</v>
      </c>
      <c r="E88" s="287" t="s">
        <v>373</v>
      </c>
      <c r="F88" s="287">
        <v>6</v>
      </c>
      <c r="G88" s="317">
        <f>55+25</f>
        <v>80</v>
      </c>
      <c r="H88" s="385">
        <f>70-63+20-20+3</f>
        <v>10</v>
      </c>
      <c r="I88" s="287">
        <f>0+14</f>
        <v>14</v>
      </c>
      <c r="J88" s="287" t="s">
        <v>373</v>
      </c>
      <c r="K88" s="316"/>
    </row>
    <row r="89" spans="1:30" ht="29.25" customHeight="1" x14ac:dyDescent="0.2">
      <c r="A89" s="549"/>
      <c r="B89" s="517"/>
      <c r="C89" s="286" t="s">
        <v>1011</v>
      </c>
      <c r="D89" s="287" t="s">
        <v>372</v>
      </c>
      <c r="E89" s="287" t="s">
        <v>373</v>
      </c>
      <c r="F89" s="287" t="s">
        <v>373</v>
      </c>
      <c r="G89" s="317" t="s">
        <v>373</v>
      </c>
      <c r="H89" s="287" t="s">
        <v>373</v>
      </c>
      <c r="I89" s="287" t="s">
        <v>373</v>
      </c>
      <c r="J89" s="287" t="s">
        <v>373</v>
      </c>
      <c r="K89" s="316"/>
    </row>
    <row r="90" spans="1:30" ht="70.5" customHeight="1" x14ac:dyDescent="0.2">
      <c r="A90" s="548" t="s">
        <v>1060</v>
      </c>
      <c r="B90" s="554" t="s">
        <v>676</v>
      </c>
      <c r="C90" s="405" t="s">
        <v>1760</v>
      </c>
      <c r="D90" s="287" t="s">
        <v>372</v>
      </c>
      <c r="E90" s="287" t="s">
        <v>373</v>
      </c>
      <c r="F90" s="287" t="s">
        <v>373</v>
      </c>
      <c r="G90" s="317" t="s">
        <v>373</v>
      </c>
      <c r="H90" s="385">
        <v>20</v>
      </c>
      <c r="I90" s="287" t="s">
        <v>373</v>
      </c>
      <c r="J90" s="287" t="s">
        <v>373</v>
      </c>
      <c r="K90" s="316"/>
    </row>
    <row r="91" spans="1:30" ht="70.5" customHeight="1" x14ac:dyDescent="0.2">
      <c r="A91" s="549"/>
      <c r="B91" s="556"/>
      <c r="C91" s="286" t="s">
        <v>454</v>
      </c>
      <c r="D91" s="287" t="s">
        <v>390</v>
      </c>
      <c r="E91" s="287">
        <v>178.35</v>
      </c>
      <c r="F91" s="287">
        <v>107.83</v>
      </c>
      <c r="G91" s="317">
        <f>87.87+1.35</f>
        <v>89.22</v>
      </c>
      <c r="H91" s="385">
        <f>5.8+18.4-5.8</f>
        <v>18.399999999999999</v>
      </c>
      <c r="I91" s="385" t="s">
        <v>373</v>
      </c>
      <c r="J91" s="385">
        <f>327-321.2</f>
        <v>5.8000000000000114</v>
      </c>
      <c r="K91" s="316" t="s">
        <v>393</v>
      </c>
    </row>
    <row r="92" spans="1:30" ht="122.25" customHeight="1" x14ac:dyDescent="0.2">
      <c r="A92" s="263" t="s">
        <v>1061</v>
      </c>
      <c r="B92" s="318" t="s">
        <v>453</v>
      </c>
      <c r="C92" s="286" t="s">
        <v>1622</v>
      </c>
      <c r="D92" s="287" t="s">
        <v>390</v>
      </c>
      <c r="E92" s="287">
        <v>6.14</v>
      </c>
      <c r="F92" s="287">
        <v>13.8</v>
      </c>
      <c r="G92" s="319">
        <v>2.8</v>
      </c>
      <c r="H92" s="309">
        <f>10.78-0.8</f>
        <v>9.9799999999999986</v>
      </c>
      <c r="I92" s="309">
        <f>9.92-1.33</f>
        <v>8.59</v>
      </c>
      <c r="J92" s="287" t="s">
        <v>373</v>
      </c>
      <c r="K92" s="320" t="s">
        <v>497</v>
      </c>
    </row>
    <row r="93" spans="1:30" ht="42" customHeight="1" x14ac:dyDescent="0.2">
      <c r="A93" s="263" t="s">
        <v>1062</v>
      </c>
      <c r="B93" s="318" t="s">
        <v>707</v>
      </c>
      <c r="C93" s="286" t="s">
        <v>708</v>
      </c>
      <c r="D93" s="287" t="s">
        <v>390</v>
      </c>
      <c r="E93" s="287" t="s">
        <v>373</v>
      </c>
      <c r="F93" s="321">
        <v>5998.03</v>
      </c>
      <c r="G93" s="321">
        <v>6096.57</v>
      </c>
      <c r="H93" s="309">
        <v>6296.92</v>
      </c>
      <c r="I93" s="287" t="s">
        <v>373</v>
      </c>
      <c r="J93" s="287" t="s">
        <v>373</v>
      </c>
      <c r="K93" s="320"/>
    </row>
    <row r="94" spans="1:30" ht="31.15" customHeight="1" x14ac:dyDescent="0.2">
      <c r="A94" s="265" t="s">
        <v>1077</v>
      </c>
      <c r="B94" s="550" t="s">
        <v>448</v>
      </c>
      <c r="C94" s="551"/>
      <c r="D94" s="551"/>
      <c r="E94" s="551"/>
      <c r="F94" s="551"/>
      <c r="G94" s="551"/>
      <c r="H94" s="551"/>
      <c r="I94" s="551"/>
      <c r="J94" s="552"/>
      <c r="K94" s="561"/>
      <c r="L94" s="561"/>
      <c r="M94" s="561"/>
      <c r="N94" s="561"/>
      <c r="O94" s="561"/>
      <c r="P94" s="561"/>
      <c r="Q94" s="561"/>
      <c r="R94" s="561"/>
      <c r="S94" s="561"/>
      <c r="T94" s="561"/>
      <c r="U94" s="561"/>
      <c r="V94" s="561"/>
      <c r="W94" s="561"/>
      <c r="X94" s="561"/>
      <c r="Y94" s="561"/>
      <c r="Z94" s="561"/>
      <c r="AA94" s="561"/>
      <c r="AB94" s="561"/>
      <c r="AC94" s="561"/>
      <c r="AD94" s="561"/>
    </row>
    <row r="95" spans="1:30" ht="17.45" customHeight="1" x14ac:dyDescent="0.2">
      <c r="A95" s="558" t="s">
        <v>1023</v>
      </c>
      <c r="B95" s="558"/>
      <c r="C95" s="558"/>
      <c r="D95" s="558"/>
      <c r="E95" s="558"/>
      <c r="F95" s="558"/>
      <c r="G95" s="558"/>
      <c r="H95" s="558"/>
      <c r="I95" s="558"/>
      <c r="J95" s="558"/>
      <c r="K95" s="565"/>
      <c r="L95" s="565"/>
      <c r="M95" s="565"/>
      <c r="N95" s="565"/>
      <c r="O95" s="565"/>
      <c r="P95" s="565"/>
      <c r="Q95" s="565"/>
      <c r="R95" s="565"/>
      <c r="S95" s="565"/>
      <c r="T95" s="565"/>
      <c r="U95" s="565"/>
      <c r="V95" s="565"/>
      <c r="W95" s="565"/>
      <c r="X95" s="565"/>
      <c r="Y95" s="565"/>
      <c r="Z95" s="565"/>
      <c r="AA95" s="565"/>
      <c r="AB95" s="565"/>
      <c r="AC95" s="565"/>
      <c r="AD95" s="565"/>
    </row>
    <row r="96" spans="1:30" ht="40.15" customHeight="1" x14ac:dyDescent="0.2">
      <c r="A96" s="559" t="s">
        <v>447</v>
      </c>
      <c r="B96" s="559"/>
      <c r="C96" s="559"/>
      <c r="D96" s="559"/>
      <c r="E96" s="559"/>
      <c r="F96" s="559"/>
      <c r="G96" s="559"/>
      <c r="H96" s="559"/>
      <c r="I96" s="559"/>
      <c r="J96" s="559"/>
      <c r="K96" s="561"/>
      <c r="L96" s="561"/>
      <c r="M96" s="561"/>
      <c r="N96" s="561"/>
      <c r="O96" s="561"/>
      <c r="P96" s="561"/>
      <c r="Q96" s="561"/>
      <c r="R96" s="561"/>
      <c r="S96" s="561"/>
      <c r="T96" s="561"/>
      <c r="U96" s="561"/>
      <c r="V96" s="561"/>
      <c r="W96" s="561"/>
      <c r="X96" s="561"/>
      <c r="Y96" s="561"/>
      <c r="Z96" s="561"/>
      <c r="AA96" s="561"/>
      <c r="AB96" s="561"/>
      <c r="AC96" s="561"/>
      <c r="AD96" s="561"/>
    </row>
    <row r="97" spans="1:30" ht="36" customHeight="1" x14ac:dyDescent="0.2">
      <c r="A97" s="265" t="s">
        <v>81</v>
      </c>
      <c r="B97" s="550" t="s">
        <v>1078</v>
      </c>
      <c r="C97" s="551"/>
      <c r="D97" s="551"/>
      <c r="E97" s="551"/>
      <c r="F97" s="551"/>
      <c r="G97" s="551"/>
      <c r="H97" s="551"/>
      <c r="I97" s="551"/>
      <c r="J97" s="552"/>
      <c r="K97" s="561"/>
      <c r="L97" s="561"/>
      <c r="M97" s="561"/>
      <c r="N97" s="561"/>
      <c r="O97" s="561"/>
      <c r="P97" s="561"/>
      <c r="Q97" s="561"/>
      <c r="R97" s="561"/>
      <c r="S97" s="561"/>
      <c r="T97" s="561"/>
      <c r="U97" s="561"/>
      <c r="V97" s="561"/>
      <c r="W97" s="561"/>
      <c r="X97" s="561"/>
      <c r="Y97" s="561"/>
      <c r="Z97" s="561"/>
      <c r="AA97" s="561"/>
      <c r="AB97" s="561"/>
      <c r="AC97" s="561"/>
      <c r="AD97" s="561"/>
    </row>
    <row r="98" spans="1:30" ht="82.15" customHeight="1" x14ac:dyDescent="0.2">
      <c r="A98" s="263" t="s">
        <v>1048</v>
      </c>
      <c r="B98" s="318" t="s">
        <v>413</v>
      </c>
      <c r="C98" s="274" t="s">
        <v>394</v>
      </c>
      <c r="D98" s="287" t="s">
        <v>391</v>
      </c>
      <c r="E98" s="277">
        <v>6198.38</v>
      </c>
      <c r="F98" s="309">
        <v>6198.38</v>
      </c>
      <c r="G98" s="309">
        <v>6296.92</v>
      </c>
      <c r="H98" s="403">
        <f>6296.92+18.894</f>
        <v>6315.8140000000003</v>
      </c>
      <c r="I98" s="403">
        <f>6296.92+18.894-17.78</f>
        <v>6298.0340000000006</v>
      </c>
      <c r="J98" s="403">
        <f>6296.92+18.894-17.78</f>
        <v>6298.0340000000006</v>
      </c>
    </row>
    <row r="99" spans="1:30" ht="30.6" customHeight="1" x14ac:dyDescent="0.2">
      <c r="A99" s="263" t="s">
        <v>1079</v>
      </c>
      <c r="B99" s="318" t="s">
        <v>395</v>
      </c>
      <c r="C99" s="274" t="s">
        <v>688</v>
      </c>
      <c r="D99" s="287" t="s">
        <v>391</v>
      </c>
      <c r="E99" s="277">
        <v>1.95</v>
      </c>
      <c r="F99" s="309">
        <v>1.95</v>
      </c>
      <c r="G99" s="309">
        <v>2.14</v>
      </c>
      <c r="H99" s="309">
        <v>2.14</v>
      </c>
      <c r="I99" s="309">
        <v>2.14</v>
      </c>
      <c r="J99" s="309">
        <f>1.95+0.19</f>
        <v>2.14</v>
      </c>
    </row>
    <row r="100" spans="1:30" x14ac:dyDescent="0.2">
      <c r="A100" s="202" t="s">
        <v>82</v>
      </c>
      <c r="B100" s="562" t="s">
        <v>1093</v>
      </c>
      <c r="C100" s="563"/>
      <c r="D100" s="563"/>
      <c r="E100" s="563"/>
      <c r="F100" s="563"/>
      <c r="G100" s="563"/>
      <c r="H100" s="563"/>
      <c r="I100" s="563"/>
      <c r="J100" s="564"/>
    </row>
    <row r="101" spans="1:30" ht="31.15" customHeight="1" x14ac:dyDescent="0.2">
      <c r="A101" s="263" t="s">
        <v>1049</v>
      </c>
      <c r="B101" s="318" t="s">
        <v>130</v>
      </c>
      <c r="C101" s="274" t="s">
        <v>396</v>
      </c>
      <c r="D101" s="287" t="s">
        <v>372</v>
      </c>
      <c r="E101" s="276">
        <v>29</v>
      </c>
      <c r="F101" s="287">
        <v>29</v>
      </c>
      <c r="G101" s="287">
        <v>29</v>
      </c>
      <c r="H101" s="287">
        <v>29</v>
      </c>
      <c r="I101" s="287">
        <v>29</v>
      </c>
      <c r="J101" s="287">
        <v>29</v>
      </c>
    </row>
    <row r="102" spans="1:30" ht="39" customHeight="1" x14ac:dyDescent="0.2">
      <c r="A102" s="548" t="s">
        <v>1080</v>
      </c>
      <c r="B102" s="554" t="s">
        <v>1664</v>
      </c>
      <c r="C102" s="286" t="s">
        <v>936</v>
      </c>
      <c r="D102" s="287" t="s">
        <v>372</v>
      </c>
      <c r="E102" s="287" t="s">
        <v>373</v>
      </c>
      <c r="F102" s="287">
        <v>1</v>
      </c>
      <c r="G102" s="287">
        <v>2</v>
      </c>
      <c r="H102" s="287" t="s">
        <v>373</v>
      </c>
      <c r="I102" s="287" t="s">
        <v>373</v>
      </c>
      <c r="J102" s="287" t="s">
        <v>373</v>
      </c>
    </row>
    <row r="103" spans="1:30" ht="39" customHeight="1" x14ac:dyDescent="0.2">
      <c r="A103" s="557"/>
      <c r="B103" s="555"/>
      <c r="C103" s="286" t="s">
        <v>938</v>
      </c>
      <c r="D103" s="287" t="s">
        <v>372</v>
      </c>
      <c r="E103" s="287" t="s">
        <v>373</v>
      </c>
      <c r="F103" s="287" t="s">
        <v>373</v>
      </c>
      <c r="G103" s="287">
        <v>1</v>
      </c>
      <c r="H103" s="287" t="s">
        <v>373</v>
      </c>
      <c r="I103" s="287" t="s">
        <v>373</v>
      </c>
      <c r="J103" s="287" t="s">
        <v>373</v>
      </c>
    </row>
    <row r="104" spans="1:30" ht="39" customHeight="1" x14ac:dyDescent="0.2">
      <c r="A104" s="549"/>
      <c r="B104" s="556"/>
      <c r="C104" s="286" t="s">
        <v>1627</v>
      </c>
      <c r="D104" s="287" t="s">
        <v>372</v>
      </c>
      <c r="E104" s="287" t="s">
        <v>373</v>
      </c>
      <c r="F104" s="287" t="s">
        <v>373</v>
      </c>
      <c r="G104" s="287" t="s">
        <v>373</v>
      </c>
      <c r="H104" s="287">
        <v>1</v>
      </c>
      <c r="I104" s="287">
        <f>0+1</f>
        <v>1</v>
      </c>
      <c r="J104" s="287">
        <f>0+1</f>
        <v>1</v>
      </c>
    </row>
    <row r="105" spans="1:30" ht="99" customHeight="1" x14ac:dyDescent="0.2">
      <c r="A105" s="263" t="s">
        <v>1081</v>
      </c>
      <c r="B105" s="318" t="s">
        <v>788</v>
      </c>
      <c r="C105" s="274" t="s">
        <v>601</v>
      </c>
      <c r="D105" s="287" t="s">
        <v>372</v>
      </c>
      <c r="E105" s="287" t="s">
        <v>373</v>
      </c>
      <c r="F105" s="287">
        <v>2</v>
      </c>
      <c r="G105" s="287" t="s">
        <v>373</v>
      </c>
      <c r="H105" s="287" t="s">
        <v>373</v>
      </c>
      <c r="I105" s="287" t="s">
        <v>373</v>
      </c>
      <c r="J105" s="287" t="s">
        <v>373</v>
      </c>
    </row>
    <row r="106" spans="1:30" ht="26.25" customHeight="1" x14ac:dyDescent="0.2">
      <c r="A106" s="263" t="s">
        <v>1082</v>
      </c>
      <c r="B106" s="318" t="s">
        <v>820</v>
      </c>
      <c r="C106" s="322" t="s">
        <v>821</v>
      </c>
      <c r="D106" s="287" t="s">
        <v>372</v>
      </c>
      <c r="E106" s="287" t="s">
        <v>373</v>
      </c>
      <c r="F106" s="287">
        <v>1</v>
      </c>
      <c r="G106" s="287" t="s">
        <v>373</v>
      </c>
      <c r="H106" s="287" t="s">
        <v>373</v>
      </c>
      <c r="I106" s="287" t="s">
        <v>373</v>
      </c>
      <c r="J106" s="287" t="s">
        <v>373</v>
      </c>
    </row>
    <row r="107" spans="1:30" ht="60" customHeight="1" x14ac:dyDescent="0.2">
      <c r="A107" s="382" t="s">
        <v>1762</v>
      </c>
      <c r="B107" s="383" t="s">
        <v>1818</v>
      </c>
      <c r="C107" s="384" t="s">
        <v>1819</v>
      </c>
      <c r="D107" s="385" t="s">
        <v>372</v>
      </c>
      <c r="E107" s="385" t="s">
        <v>373</v>
      </c>
      <c r="F107" s="385" t="s">
        <v>373</v>
      </c>
      <c r="G107" s="385" t="s">
        <v>373</v>
      </c>
      <c r="H107" s="385">
        <v>1</v>
      </c>
      <c r="I107" s="287" t="s">
        <v>373</v>
      </c>
      <c r="J107" s="287" t="s">
        <v>373</v>
      </c>
    </row>
    <row r="108" spans="1:30" ht="31.15" customHeight="1" x14ac:dyDescent="0.2">
      <c r="A108" s="265" t="s">
        <v>1094</v>
      </c>
      <c r="B108" s="550" t="s">
        <v>361</v>
      </c>
      <c r="C108" s="551"/>
      <c r="D108" s="551"/>
      <c r="E108" s="551"/>
      <c r="F108" s="551"/>
      <c r="G108" s="551"/>
      <c r="H108" s="551"/>
      <c r="I108" s="551"/>
      <c r="J108" s="552"/>
    </row>
    <row r="109" spans="1:30" ht="19.899999999999999" customHeight="1" x14ac:dyDescent="0.2">
      <c r="A109" s="558" t="s">
        <v>412</v>
      </c>
      <c r="B109" s="558"/>
      <c r="C109" s="558"/>
      <c r="D109" s="558"/>
      <c r="E109" s="558"/>
      <c r="F109" s="558"/>
      <c r="G109" s="558"/>
      <c r="H109" s="558"/>
      <c r="I109" s="558"/>
      <c r="J109" s="558"/>
    </row>
    <row r="110" spans="1:30" ht="20.45" customHeight="1" x14ac:dyDescent="0.2">
      <c r="A110" s="559" t="s">
        <v>93</v>
      </c>
      <c r="B110" s="559"/>
      <c r="C110" s="559"/>
      <c r="D110" s="559"/>
      <c r="E110" s="559"/>
      <c r="F110" s="559"/>
      <c r="G110" s="559"/>
      <c r="H110" s="559"/>
      <c r="I110" s="559"/>
      <c r="J110" s="559"/>
    </row>
    <row r="111" spans="1:30" ht="18" customHeight="1" x14ac:dyDescent="0.2">
      <c r="A111" s="265" t="s">
        <v>73</v>
      </c>
      <c r="B111" s="550" t="s">
        <v>1084</v>
      </c>
      <c r="C111" s="551"/>
      <c r="D111" s="551"/>
      <c r="E111" s="551"/>
      <c r="F111" s="551"/>
      <c r="G111" s="551"/>
      <c r="H111" s="551"/>
      <c r="I111" s="551"/>
      <c r="J111" s="552"/>
    </row>
    <row r="112" spans="1:30" ht="28.15" customHeight="1" x14ac:dyDescent="0.2">
      <c r="A112" s="263" t="s">
        <v>1050</v>
      </c>
      <c r="B112" s="318" t="s">
        <v>92</v>
      </c>
      <c r="C112" s="274" t="s">
        <v>387</v>
      </c>
      <c r="D112" s="285" t="s">
        <v>372</v>
      </c>
      <c r="E112" s="295">
        <v>100</v>
      </c>
      <c r="F112" s="295">
        <v>50</v>
      </c>
      <c r="G112" s="295">
        <v>50</v>
      </c>
      <c r="H112" s="295">
        <v>50</v>
      </c>
      <c r="I112" s="295">
        <v>50</v>
      </c>
      <c r="J112" s="295">
        <v>50</v>
      </c>
    </row>
    <row r="113" spans="1:10" ht="18" customHeight="1" x14ac:dyDescent="0.2">
      <c r="A113" s="265" t="s">
        <v>3</v>
      </c>
      <c r="B113" s="550" t="s">
        <v>1085</v>
      </c>
      <c r="C113" s="551"/>
      <c r="D113" s="551"/>
      <c r="E113" s="551"/>
      <c r="F113" s="551"/>
      <c r="G113" s="551"/>
      <c r="H113" s="551"/>
      <c r="I113" s="551"/>
      <c r="J113" s="552"/>
    </row>
    <row r="114" spans="1:10" ht="50.45" customHeight="1" x14ac:dyDescent="0.2">
      <c r="A114" s="263" t="s">
        <v>1051</v>
      </c>
      <c r="B114" s="318" t="s">
        <v>811</v>
      </c>
      <c r="C114" s="318" t="s">
        <v>419</v>
      </c>
      <c r="D114" s="203" t="s">
        <v>420</v>
      </c>
      <c r="E114" s="323" t="s">
        <v>373</v>
      </c>
      <c r="F114" s="295">
        <v>828</v>
      </c>
      <c r="G114" s="295">
        <v>828</v>
      </c>
      <c r="H114" s="295">
        <f>828+49</f>
        <v>877</v>
      </c>
      <c r="I114" s="295">
        <f>828+49</f>
        <v>877</v>
      </c>
      <c r="J114" s="295">
        <v>877</v>
      </c>
    </row>
    <row r="115" spans="1:10" ht="131.25" customHeight="1" x14ac:dyDescent="0.2">
      <c r="A115" s="203" t="s">
        <v>1086</v>
      </c>
      <c r="B115" s="318" t="s">
        <v>810</v>
      </c>
      <c r="C115" s="318" t="s">
        <v>958</v>
      </c>
      <c r="D115" s="203" t="s">
        <v>420</v>
      </c>
      <c r="E115" s="323" t="s">
        <v>373</v>
      </c>
      <c r="F115" s="295">
        <v>1116</v>
      </c>
      <c r="G115" s="295">
        <f>1674+789</f>
        <v>2463</v>
      </c>
      <c r="H115" s="324" t="s">
        <v>373</v>
      </c>
      <c r="I115" s="324" t="s">
        <v>373</v>
      </c>
      <c r="J115" s="324" t="s">
        <v>373</v>
      </c>
    </row>
    <row r="116" spans="1:10" ht="26.25" customHeight="1" x14ac:dyDescent="0.2">
      <c r="A116" s="203" t="s">
        <v>1087</v>
      </c>
      <c r="B116" s="318" t="s">
        <v>703</v>
      </c>
      <c r="C116" s="274" t="s">
        <v>419</v>
      </c>
      <c r="D116" s="203" t="s">
        <v>420</v>
      </c>
      <c r="E116" s="323" t="s">
        <v>373</v>
      </c>
      <c r="F116" s="323" t="s">
        <v>373</v>
      </c>
      <c r="G116" s="295" t="s">
        <v>373</v>
      </c>
      <c r="H116" s="295" t="s">
        <v>373</v>
      </c>
      <c r="I116" s="295" t="s">
        <v>373</v>
      </c>
      <c r="J116" s="295" t="s">
        <v>373</v>
      </c>
    </row>
    <row r="117" spans="1:10" ht="33" customHeight="1" x14ac:dyDescent="0.2">
      <c r="A117" s="524" t="s">
        <v>1088</v>
      </c>
      <c r="B117" s="553" t="s">
        <v>411</v>
      </c>
      <c r="C117" s="274" t="s">
        <v>418</v>
      </c>
      <c r="D117" s="203" t="s">
        <v>386</v>
      </c>
      <c r="E117" s="323" t="s">
        <v>416</v>
      </c>
      <c r="F117" s="324">
        <v>90</v>
      </c>
      <c r="G117" s="324">
        <v>90</v>
      </c>
      <c r="H117" s="324">
        <v>90</v>
      </c>
      <c r="I117" s="324">
        <v>90</v>
      </c>
      <c r="J117" s="324">
        <v>90</v>
      </c>
    </row>
    <row r="118" spans="1:10" ht="31.9" customHeight="1" x14ac:dyDescent="0.2">
      <c r="A118" s="524"/>
      <c r="B118" s="553"/>
      <c r="C118" s="274" t="s">
        <v>504</v>
      </c>
      <c r="D118" s="203" t="s">
        <v>382</v>
      </c>
      <c r="E118" s="295">
        <f>2</f>
        <v>2</v>
      </c>
      <c r="F118" s="295">
        <v>6</v>
      </c>
      <c r="G118" s="295">
        <v>10</v>
      </c>
      <c r="H118" s="370">
        <f>8+2</f>
        <v>10</v>
      </c>
      <c r="I118" s="295">
        <v>8</v>
      </c>
      <c r="J118" s="295">
        <f>2+6</f>
        <v>8</v>
      </c>
    </row>
    <row r="119" spans="1:10" ht="33.6" customHeight="1" x14ac:dyDescent="0.2">
      <c r="A119" s="524"/>
      <c r="B119" s="553"/>
      <c r="C119" s="274" t="s">
        <v>505</v>
      </c>
      <c r="D119" s="203" t="s">
        <v>382</v>
      </c>
      <c r="E119" s="295">
        <v>50</v>
      </c>
      <c r="F119" s="295">
        <v>78</v>
      </c>
      <c r="G119" s="295">
        <v>78</v>
      </c>
      <c r="H119" s="370">
        <f>77+1</f>
        <v>78</v>
      </c>
      <c r="I119" s="295">
        <v>77</v>
      </c>
      <c r="J119" s="295">
        <f>50+27</f>
        <v>77</v>
      </c>
    </row>
    <row r="120" spans="1:10" ht="33.6" customHeight="1" x14ac:dyDescent="0.2">
      <c r="A120" s="516" t="s">
        <v>1623</v>
      </c>
      <c r="B120" s="554" t="s">
        <v>1625</v>
      </c>
      <c r="C120" s="274" t="s">
        <v>1672</v>
      </c>
      <c r="D120" s="203" t="s">
        <v>1670</v>
      </c>
      <c r="E120" s="295" t="s">
        <v>373</v>
      </c>
      <c r="F120" s="295" t="s">
        <v>373</v>
      </c>
      <c r="G120" s="295" t="s">
        <v>373</v>
      </c>
      <c r="H120" s="295" t="s">
        <v>1671</v>
      </c>
      <c r="I120" s="295" t="s">
        <v>1671</v>
      </c>
      <c r="J120" s="295" t="s">
        <v>1671</v>
      </c>
    </row>
    <row r="121" spans="1:10" ht="118.5" customHeight="1" x14ac:dyDescent="0.2">
      <c r="A121" s="517"/>
      <c r="B121" s="556"/>
      <c r="C121" s="322" t="s">
        <v>1626</v>
      </c>
      <c r="D121" s="203" t="s">
        <v>1624</v>
      </c>
      <c r="E121" s="295" t="s">
        <v>373</v>
      </c>
      <c r="F121" s="295" t="s">
        <v>373</v>
      </c>
      <c r="G121" s="295" t="s">
        <v>373</v>
      </c>
      <c r="H121" s="294">
        <v>175181.82</v>
      </c>
      <c r="I121" s="294">
        <v>175181.82</v>
      </c>
      <c r="J121" s="294">
        <v>175181.82</v>
      </c>
    </row>
    <row r="122" spans="1:10" ht="18" customHeight="1" x14ac:dyDescent="0.2">
      <c r="A122" s="265" t="s">
        <v>74</v>
      </c>
      <c r="B122" s="550" t="s">
        <v>1089</v>
      </c>
      <c r="C122" s="551"/>
      <c r="D122" s="551"/>
      <c r="E122" s="551"/>
      <c r="F122" s="551"/>
      <c r="G122" s="551"/>
      <c r="H122" s="551"/>
      <c r="I122" s="551"/>
      <c r="J122" s="552"/>
    </row>
    <row r="123" spans="1:10" ht="118.5" customHeight="1" x14ac:dyDescent="0.2">
      <c r="A123" s="203" t="s">
        <v>1052</v>
      </c>
      <c r="B123" s="286" t="s">
        <v>1039</v>
      </c>
      <c r="C123" s="318" t="s">
        <v>847</v>
      </c>
      <c r="D123" s="203" t="s">
        <v>386</v>
      </c>
      <c r="E123" s="295" t="s">
        <v>373</v>
      </c>
      <c r="F123" s="295">
        <v>23</v>
      </c>
      <c r="G123" s="295">
        <v>43</v>
      </c>
      <c r="H123" s="295">
        <v>63</v>
      </c>
      <c r="I123" s="295">
        <v>83</v>
      </c>
      <c r="J123" s="295">
        <v>100</v>
      </c>
    </row>
    <row r="124" spans="1:10" ht="113.25" customHeight="1" x14ac:dyDescent="0.2">
      <c r="A124" s="203" t="s">
        <v>1612</v>
      </c>
      <c r="B124" s="325" t="s">
        <v>1613</v>
      </c>
      <c r="C124" s="318" t="s">
        <v>847</v>
      </c>
      <c r="D124" s="203" t="s">
        <v>386</v>
      </c>
      <c r="E124" s="295" t="s">
        <v>373</v>
      </c>
      <c r="F124" s="295" t="s">
        <v>373</v>
      </c>
      <c r="G124" s="295">
        <v>37.4</v>
      </c>
      <c r="H124" s="295">
        <v>44.8</v>
      </c>
      <c r="I124" s="295">
        <v>57.5</v>
      </c>
      <c r="J124" s="295">
        <v>70.3</v>
      </c>
    </row>
    <row r="125" spans="1:10" x14ac:dyDescent="0.2">
      <c r="C125" s="326"/>
      <c r="D125" s="326"/>
      <c r="E125" s="326"/>
    </row>
  </sheetData>
  <mergeCells count="76">
    <mergeCell ref="B65:B69"/>
    <mergeCell ref="A90:A91"/>
    <mergeCell ref="B90:B91"/>
    <mergeCell ref="A70:A77"/>
    <mergeCell ref="B70:B77"/>
    <mergeCell ref="B78:B89"/>
    <mergeCell ref="A78:A89"/>
    <mergeCell ref="B49:J49"/>
    <mergeCell ref="A27:A29"/>
    <mergeCell ref="B27:B29"/>
    <mergeCell ref="A30:A31"/>
    <mergeCell ref="B30:B31"/>
    <mergeCell ref="A41:A43"/>
    <mergeCell ref="B41:B43"/>
    <mergeCell ref="B44:J44"/>
    <mergeCell ref="A10:J10"/>
    <mergeCell ref="A12:J12"/>
    <mergeCell ref="A13:J13"/>
    <mergeCell ref="A17:A18"/>
    <mergeCell ref="B17:B18"/>
    <mergeCell ref="B11:J11"/>
    <mergeCell ref="B14:J14"/>
    <mergeCell ref="G1:J1"/>
    <mergeCell ref="A5:A8"/>
    <mergeCell ref="B5:B8"/>
    <mergeCell ref="C5:C8"/>
    <mergeCell ref="D5:D8"/>
    <mergeCell ref="E5:E8"/>
    <mergeCell ref="G7:G8"/>
    <mergeCell ref="H7:H8"/>
    <mergeCell ref="I7:I8"/>
    <mergeCell ref="J7:J8"/>
    <mergeCell ref="A4:J4"/>
    <mergeCell ref="F5:J6"/>
    <mergeCell ref="F7:F8"/>
    <mergeCell ref="G2:J2"/>
    <mergeCell ref="U96:AD96"/>
    <mergeCell ref="A50:A52"/>
    <mergeCell ref="U94:AD94"/>
    <mergeCell ref="K95:T95"/>
    <mergeCell ref="U95:AD95"/>
    <mergeCell ref="K94:T94"/>
    <mergeCell ref="A96:J96"/>
    <mergeCell ref="K96:T96"/>
    <mergeCell ref="A95:J95"/>
    <mergeCell ref="B53:B54"/>
    <mergeCell ref="A53:A54"/>
    <mergeCell ref="A55:A62"/>
    <mergeCell ref="B55:B62"/>
    <mergeCell ref="A63:A64"/>
    <mergeCell ref="A65:A69"/>
    <mergeCell ref="B63:B64"/>
    <mergeCell ref="K97:T97"/>
    <mergeCell ref="B113:J113"/>
    <mergeCell ref="U97:AD97"/>
    <mergeCell ref="A110:J110"/>
    <mergeCell ref="A109:J109"/>
    <mergeCell ref="B97:J97"/>
    <mergeCell ref="B100:J100"/>
    <mergeCell ref="B108:J108"/>
    <mergeCell ref="B24:B25"/>
    <mergeCell ref="A24:A25"/>
    <mergeCell ref="B122:J122"/>
    <mergeCell ref="B111:J111"/>
    <mergeCell ref="B94:J94"/>
    <mergeCell ref="A117:A119"/>
    <mergeCell ref="B117:B119"/>
    <mergeCell ref="B102:B104"/>
    <mergeCell ref="A102:A104"/>
    <mergeCell ref="A120:A121"/>
    <mergeCell ref="B120:B121"/>
    <mergeCell ref="B26:J26"/>
    <mergeCell ref="A47:J47"/>
    <mergeCell ref="A48:J48"/>
    <mergeCell ref="B50:B52"/>
    <mergeCell ref="B46:J46"/>
  </mergeCells>
  <phoneticPr fontId="1" type="noConversion"/>
  <pageMargins left="0.25" right="0.25" top="0.75" bottom="0.75" header="0.3" footer="0.3"/>
  <pageSetup paperSize="9" scale="88" fitToHeight="0" orientation="landscape" r:id="rId1"/>
  <rowBreaks count="9" manualBreakCount="9">
    <brk id="21" max="9" man="1"/>
    <brk id="37" max="9" man="1"/>
    <brk id="52" max="9" man="1"/>
    <brk id="64" max="9" man="1"/>
    <brk id="76" max="9" man="1"/>
    <brk id="89" max="9" man="1"/>
    <brk id="98" max="9" man="1"/>
    <brk id="112" max="9" man="1"/>
    <brk id="121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конеч.рез.</vt:lpstr>
      <vt:lpstr>1.переченьПБДД</vt:lpstr>
      <vt:lpstr>2.переченьМРАД</vt:lpstr>
      <vt:lpstr>3.меропр.</vt:lpstr>
      <vt:lpstr>4.индик.</vt:lpstr>
      <vt:lpstr>'1.переченьПБДД'!Заголовки_для_печати</vt:lpstr>
      <vt:lpstr>'2.переченьМРАД'!Заголовки_для_печати</vt:lpstr>
      <vt:lpstr>'3.меропр.'!Заголовки_для_печати</vt:lpstr>
      <vt:lpstr>'4.индик.'!Заголовки_для_печати</vt:lpstr>
      <vt:lpstr>конеч.рез.!Заголовки_для_печати</vt:lpstr>
      <vt:lpstr>'1.переченьПБДД'!Область_печати</vt:lpstr>
      <vt:lpstr>'2.переченьМРАД'!Область_печати</vt:lpstr>
      <vt:lpstr>'3.меропр.'!Область_печати</vt:lpstr>
      <vt:lpstr>'4.индик.'!Область_печати</vt:lpstr>
      <vt:lpstr>конеч.рез.!Область_печати</vt:lpstr>
    </vt:vector>
  </TitlesOfParts>
  <Company>job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Щербакова Екатерина Александровна</cp:lastModifiedBy>
  <cp:lastPrinted>2023-08-03T09:23:00Z</cp:lastPrinted>
  <dcterms:created xsi:type="dcterms:W3CDTF">2014-07-04T09:02:24Z</dcterms:created>
  <dcterms:modified xsi:type="dcterms:W3CDTF">2023-08-03T09:23:03Z</dcterms:modified>
</cp:coreProperties>
</file>