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tkina.nu\Desktop\Муниципальная Программа\2024\Изм № 1282 от  05.07.2024 (РД 230 от 05.06.2024) Пост № от (ГВ)\1282 Проект внес изм\"/>
    </mc:Choice>
  </mc:AlternateContent>
  <bookViews>
    <workbookView xWindow="0" yWindow="0" windowWidth="17835" windowHeight="6120" tabRatio="599" firstSheet="1" activeTab="4"/>
  </bookViews>
  <sheets>
    <sheet name="конеч.рез." sheetId="9" state="hidden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</externalReferences>
  <definedNames>
    <definedName name="_xlnm._FilterDatabase" localSheetId="1" hidden="1">'1.переченьПБДД'!#REF!</definedName>
    <definedName name="_xlnm._FilterDatabase" localSheetId="2" hidden="1">'2.переченьМРАД'!$A$4:$AE$6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конеч.рез.!$3:$5</definedName>
    <definedName name="_xlnm.Print_Area" localSheetId="1">'1.переченьПБДД'!$A$1:$AB$595</definedName>
    <definedName name="_xlnm.Print_Area" localSheetId="2">'2.переченьМРАД'!$A$1:$AC$278</definedName>
    <definedName name="_xlnm.Print_Area" localSheetId="3">'3.меропр.'!$A$1:$AD$94</definedName>
    <definedName name="_xlnm.Print_Area" localSheetId="4">'4.индик.'!$A$1:$J$138</definedName>
    <definedName name="_xlnm.Print_Area" localSheetId="0">конеч.рез.!$A$1:$I$26</definedName>
  </definedNames>
  <calcPr calcId="162913"/>
</workbook>
</file>

<file path=xl/calcChain.xml><?xml version="1.0" encoding="utf-8"?>
<calcChain xmlns="http://schemas.openxmlformats.org/spreadsheetml/2006/main">
  <c r="S588" i="5" l="1"/>
  <c r="S589" i="5"/>
  <c r="S543" i="5"/>
  <c r="S520" i="5"/>
  <c r="X520" i="5"/>
  <c r="S196" i="5"/>
  <c r="U24" i="4" l="1"/>
  <c r="U31" i="4"/>
  <c r="U37" i="4"/>
  <c r="U33" i="4"/>
  <c r="V82" i="4" l="1"/>
  <c r="W42" i="1"/>
  <c r="U32" i="4" l="1"/>
  <c r="U25" i="4"/>
  <c r="U19" i="4"/>
  <c r="U17" i="4"/>
  <c r="U16" i="4"/>
  <c r="U15" i="4"/>
  <c r="U14" i="4"/>
  <c r="U13" i="4"/>
  <c r="T239" i="1" l="1"/>
  <c r="T272" i="1"/>
  <c r="E272" i="1"/>
  <c r="E270" i="1"/>
  <c r="P270" i="1"/>
  <c r="C263" i="1"/>
  <c r="D263" i="1"/>
  <c r="O264" i="1"/>
  <c r="F263" i="1"/>
  <c r="C258" i="1"/>
  <c r="K258" i="1"/>
  <c r="F258" i="1"/>
  <c r="C247" i="1"/>
  <c r="C246" i="1"/>
  <c r="F247" i="1"/>
  <c r="F246" i="1"/>
  <c r="K246" i="1"/>
  <c r="P24" i="1"/>
  <c r="Z36" i="1"/>
  <c r="Z37" i="1"/>
  <c r="Z35" i="1"/>
  <c r="U35" i="1"/>
  <c r="U36" i="1"/>
  <c r="U37" i="1"/>
  <c r="P35" i="1"/>
  <c r="P36" i="1"/>
  <c r="P37" i="1"/>
  <c r="K36" i="1"/>
  <c r="K37" i="1"/>
  <c r="K35" i="1"/>
  <c r="F35" i="1"/>
  <c r="F36" i="1"/>
  <c r="F37" i="1"/>
  <c r="C35" i="1"/>
  <c r="C36" i="1"/>
  <c r="U15" i="1"/>
  <c r="U16" i="1"/>
  <c r="U17" i="1"/>
  <c r="U18" i="1"/>
  <c r="U19" i="1"/>
  <c r="U20" i="1"/>
  <c r="Z15" i="1"/>
  <c r="Z16" i="1"/>
  <c r="Z17" i="1"/>
  <c r="Z18" i="1"/>
  <c r="Z19" i="1"/>
  <c r="Z20" i="1"/>
  <c r="P15" i="1"/>
  <c r="P16" i="1"/>
  <c r="P17" i="1"/>
  <c r="P18" i="1"/>
  <c r="P19" i="1"/>
  <c r="P20" i="1"/>
  <c r="P14" i="1"/>
  <c r="K15" i="1"/>
  <c r="K16" i="1"/>
  <c r="K17" i="1"/>
  <c r="K18" i="1"/>
  <c r="K19" i="1"/>
  <c r="K20" i="1"/>
  <c r="C18" i="1"/>
  <c r="C22" i="1"/>
  <c r="F22" i="1"/>
  <c r="M22" i="1"/>
  <c r="N22" i="1"/>
  <c r="R22" i="1"/>
  <c r="S22" i="1"/>
  <c r="U22" i="1"/>
  <c r="D35" i="1" l="1"/>
  <c r="D36" i="1"/>
  <c r="P22" i="1"/>
  <c r="D17" i="1"/>
  <c r="D15" i="1"/>
  <c r="D19" i="1"/>
  <c r="K22" i="1"/>
  <c r="D22" i="1" s="1"/>
  <c r="D21" i="1" s="1"/>
  <c r="D20" i="1"/>
  <c r="D18" i="1"/>
  <c r="D16" i="1"/>
  <c r="S29" i="5"/>
  <c r="I31" i="8"/>
  <c r="S471" i="5"/>
  <c r="S10" i="5" l="1"/>
  <c r="I21" i="8"/>
  <c r="S129" i="5"/>
  <c r="S172" i="5"/>
  <c r="I16" i="8"/>
  <c r="S114" i="5"/>
  <c r="S521" i="5"/>
  <c r="I61" i="8"/>
  <c r="X51" i="1"/>
  <c r="X107" i="1"/>
  <c r="I97" i="8"/>
  <c r="X241" i="1"/>
  <c r="U241" i="1" s="1"/>
  <c r="Z82" i="4"/>
  <c r="U82" i="4"/>
  <c r="T70" i="4"/>
  <c r="U66" i="4"/>
  <c r="I59" i="8" l="1"/>
  <c r="U35" i="4" l="1"/>
  <c r="U34" i="4"/>
  <c r="U26" i="4"/>
  <c r="X13" i="1" l="1"/>
  <c r="X46" i="1"/>
  <c r="S563" i="5"/>
  <c r="S549" i="5"/>
  <c r="S479" i="5"/>
  <c r="S41" i="5"/>
  <c r="U74" i="1" l="1"/>
  <c r="AC67" i="1"/>
  <c r="AC75" i="1" s="1"/>
  <c r="Z74" i="1"/>
  <c r="D74" i="1" l="1"/>
  <c r="I44" i="8"/>
  <c r="I39" i="8"/>
  <c r="I30" i="8" l="1"/>
  <c r="I29" i="8"/>
  <c r="I28" i="8"/>
  <c r="J21" i="8"/>
  <c r="I17" i="8" l="1"/>
  <c r="I19" i="8"/>
  <c r="J17" i="8"/>
  <c r="I15" i="8"/>
  <c r="Z17" i="4" l="1"/>
  <c r="X129" i="5" l="1"/>
  <c r="W239" i="1" l="1"/>
  <c r="U71" i="4"/>
  <c r="U188" i="1"/>
  <c r="U107" i="1"/>
  <c r="AD218" i="1"/>
  <c r="U46" i="1" l="1"/>
  <c r="U45" i="1"/>
  <c r="U63" i="4"/>
  <c r="Z63" i="4"/>
  <c r="U90" i="4"/>
  <c r="Y77" i="4"/>
  <c r="AD77" i="4" s="1"/>
  <c r="T77" i="4"/>
  <c r="O248" i="1" l="1"/>
  <c r="I36" i="8" l="1"/>
  <c r="I99" i="8" l="1"/>
  <c r="I104" i="8"/>
  <c r="S518" i="5" l="1"/>
  <c r="X518" i="5"/>
  <c r="X196" i="5"/>
  <c r="H8" i="9" l="1"/>
  <c r="J30" i="8" l="1"/>
  <c r="Z29" i="4"/>
  <c r="Z24" i="4"/>
  <c r="U29" i="4"/>
  <c r="AG39" i="4" l="1"/>
  <c r="AH39" i="4"/>
  <c r="AF39" i="4"/>
  <c r="U93" i="1" l="1"/>
  <c r="C68" i="1"/>
  <c r="I52" i="8"/>
  <c r="J19" i="8"/>
  <c r="X114" i="5"/>
  <c r="Z16" i="4"/>
  <c r="I22" i="8"/>
  <c r="U42" i="1" l="1"/>
  <c r="Y67" i="4" l="1"/>
  <c r="Z25" i="4" l="1"/>
  <c r="Z13" i="4"/>
  <c r="G16" i="9" l="1"/>
  <c r="G14" i="9"/>
  <c r="P82" i="4" l="1"/>
  <c r="P32" i="4"/>
  <c r="P17" i="4"/>
  <c r="P15" i="4"/>
  <c r="S57" i="1"/>
  <c r="R42" i="1"/>
  <c r="N521" i="5"/>
  <c r="N129" i="5"/>
  <c r="N41" i="5"/>
  <c r="X10" i="5" l="1"/>
  <c r="X41" i="5"/>
  <c r="X68" i="1"/>
  <c r="Z15" i="4" l="1"/>
  <c r="U76" i="4"/>
  <c r="P236" i="1" l="1"/>
  <c r="P235" i="1"/>
  <c r="K236" i="1"/>
  <c r="K235" i="1"/>
  <c r="F236" i="1"/>
  <c r="F235" i="1"/>
  <c r="I92" i="8" l="1"/>
  <c r="J133" i="8" l="1"/>
  <c r="J126" i="8"/>
  <c r="J125" i="8"/>
  <c r="J121" i="8"/>
  <c r="I133" i="8"/>
  <c r="I126" i="8"/>
  <c r="I125" i="8"/>
  <c r="I121" i="8"/>
  <c r="H12" i="9"/>
  <c r="C72" i="1" l="1"/>
  <c r="C71" i="1"/>
  <c r="C69" i="1"/>
  <c r="C66" i="1"/>
  <c r="C67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48" i="1"/>
  <c r="C49" i="1"/>
  <c r="C50" i="1"/>
  <c r="AC234" i="1" l="1"/>
  <c r="AB234" i="1"/>
  <c r="AB233" i="1"/>
  <c r="AC233" i="1"/>
  <c r="AB232" i="1"/>
  <c r="AC232" i="1"/>
  <c r="AC231" i="1"/>
  <c r="AB231" i="1"/>
  <c r="AB230" i="1"/>
  <c r="AC230" i="1"/>
  <c r="X260" i="1" l="1"/>
  <c r="X250" i="1"/>
  <c r="Z37" i="4" l="1"/>
  <c r="Z31" i="4"/>
  <c r="Z19" i="4"/>
  <c r="W563" i="5" l="1"/>
  <c r="X588" i="5"/>
  <c r="X471" i="5"/>
  <c r="X172" i="5"/>
  <c r="W129" i="5"/>
  <c r="X589" i="5" l="1"/>
  <c r="X591" i="5" l="1"/>
  <c r="Z237" i="1"/>
  <c r="AC183" i="1"/>
  <c r="AC96" i="1"/>
  <c r="Z72" i="1"/>
  <c r="Y241" i="1"/>
  <c r="AC241" i="1"/>
  <c r="AC107" i="1"/>
  <c r="X109" i="1"/>
  <c r="Z47" i="1"/>
  <c r="Z48" i="1"/>
  <c r="U47" i="1"/>
  <c r="U48" i="1"/>
  <c r="Z89" i="4" l="1"/>
  <c r="Z79" i="4"/>
  <c r="Z66" i="4"/>
  <c r="Z64" i="4"/>
  <c r="U27" i="4"/>
  <c r="X96" i="1" l="1"/>
  <c r="X179" i="1"/>
  <c r="X239" i="1" s="1"/>
  <c r="C235" i="1"/>
  <c r="C236" i="1"/>
  <c r="U238" i="1"/>
  <c r="Z235" i="1" l="1"/>
  <c r="Z236" i="1"/>
  <c r="U236" i="1"/>
  <c r="U235" i="1"/>
  <c r="D235" i="1" l="1"/>
  <c r="D236" i="1"/>
  <c r="U72" i="1"/>
  <c r="D72" i="1" s="1"/>
  <c r="U180" i="1"/>
  <c r="X69" i="1" l="1"/>
  <c r="X75" i="1" s="1"/>
  <c r="Z71" i="1"/>
  <c r="U71" i="1"/>
  <c r="U73" i="1"/>
  <c r="S507" i="5"/>
  <c r="D71" i="1" l="1"/>
  <c r="W194" i="5"/>
  <c r="R194" i="5"/>
  <c r="Y22" i="4"/>
  <c r="T22" i="4"/>
  <c r="AD22" i="4" l="1"/>
  <c r="AB194" i="5"/>
  <c r="R563" i="5" l="1"/>
  <c r="R549" i="5"/>
  <c r="R543" i="5"/>
  <c r="R521" i="5"/>
  <c r="U64" i="4"/>
  <c r="U84" i="4" l="1"/>
  <c r="U79" i="4"/>
  <c r="U89" i="4"/>
  <c r="X76" i="4"/>
  <c r="AC76" i="4"/>
  <c r="P189" i="1" l="1"/>
  <c r="S238" i="1"/>
  <c r="R238" i="1"/>
  <c r="H98" i="8" l="1"/>
  <c r="H97" i="8"/>
  <c r="S107" i="1" l="1"/>
  <c r="S242" i="1"/>
  <c r="H68" i="8" l="1"/>
  <c r="H88" i="8"/>
  <c r="H34" i="8" l="1"/>
  <c r="H19" i="8"/>
  <c r="G21" i="9" l="1"/>
  <c r="G12" i="9"/>
  <c r="G9" i="9"/>
  <c r="G8" i="9"/>
  <c r="I17" i="9" l="1"/>
  <c r="H17" i="9"/>
  <c r="G17" i="9"/>
  <c r="I16" i="9"/>
  <c r="H16" i="9"/>
  <c r="I15" i="9"/>
  <c r="H15" i="9"/>
  <c r="G15" i="9"/>
  <c r="I14" i="9"/>
  <c r="H14" i="9"/>
  <c r="H126" i="8" l="1"/>
  <c r="H125" i="8" l="1"/>
  <c r="H17" i="8" l="1"/>
  <c r="H36" i="8" l="1"/>
  <c r="H38" i="8"/>
  <c r="S76" i="4" l="1"/>
  <c r="R214" i="1" l="1"/>
  <c r="S214" i="1"/>
  <c r="H590" i="5" l="1"/>
  <c r="C590" i="5"/>
  <c r="N590" i="5"/>
  <c r="Y39" i="4"/>
  <c r="T39" i="4"/>
  <c r="J39" i="4"/>
  <c r="E39" i="4"/>
  <c r="L38" i="4"/>
  <c r="M38" i="4"/>
  <c r="N38" i="4"/>
  <c r="G38" i="4"/>
  <c r="H38" i="4"/>
  <c r="I38" i="4"/>
  <c r="P39" i="4"/>
  <c r="P37" i="4"/>
  <c r="H45" i="8"/>
  <c r="P35" i="4"/>
  <c r="P31" i="4"/>
  <c r="P28" i="4"/>
  <c r="P27" i="4"/>
  <c r="P26" i="4"/>
  <c r="P25" i="4"/>
  <c r="P24" i="4"/>
  <c r="O18" i="4"/>
  <c r="AD18" i="4" s="1"/>
  <c r="P18" i="4"/>
  <c r="P14" i="4"/>
  <c r="P13" i="4"/>
  <c r="O39" i="4" l="1"/>
  <c r="P92" i="4" s="1"/>
  <c r="AE39" i="4"/>
  <c r="AD39" i="4"/>
  <c r="H16" i="8"/>
  <c r="H15" i="8"/>
  <c r="E87" i="4" l="1"/>
  <c r="J87" i="4"/>
  <c r="T87" i="4"/>
  <c r="Y87" i="4"/>
  <c r="O87" i="4"/>
  <c r="AD87" i="4" l="1"/>
  <c r="P66" i="4" l="1"/>
  <c r="N563" i="5" l="1"/>
  <c r="N29" i="5"/>
  <c r="N588" i="5"/>
  <c r="N520" i="5"/>
  <c r="N510" i="5"/>
  <c r="N507" i="5"/>
  <c r="N196" i="5"/>
  <c r="N471" i="5"/>
  <c r="N191" i="5" l="1"/>
  <c r="M171" i="5" l="1"/>
  <c r="M590" i="5" s="1"/>
  <c r="AB590" i="5" s="1"/>
  <c r="N172" i="5" l="1"/>
  <c r="N10" i="5"/>
  <c r="N479" i="5"/>
  <c r="S109" i="1" l="1"/>
  <c r="S179" i="1"/>
  <c r="S95" i="1" l="1"/>
  <c r="S241" i="1" l="1"/>
  <c r="S187" i="1" l="1"/>
  <c r="R186" i="1"/>
  <c r="S181" i="1"/>
  <c r="S40" i="1" l="1"/>
  <c r="S251" i="1" l="1"/>
  <c r="S262" i="1"/>
  <c r="S255" i="1"/>
  <c r="S252" i="1"/>
  <c r="Q248" i="1"/>
  <c r="R248" i="1"/>
  <c r="S248" i="1" l="1"/>
  <c r="S224" i="1"/>
  <c r="S215" i="1"/>
  <c r="R224" i="1" l="1"/>
  <c r="R218" i="1"/>
  <c r="S218" i="1"/>
  <c r="R216" i="1"/>
  <c r="S216" i="1"/>
  <c r="R215" i="1"/>
  <c r="R204" i="1"/>
  <c r="S204" i="1"/>
  <c r="R203" i="1"/>
  <c r="S203" i="1"/>
  <c r="R187" i="1"/>
  <c r="S186" i="1"/>
  <c r="R185" i="1"/>
  <c r="S185" i="1"/>
  <c r="C204" i="1"/>
  <c r="S183" i="1"/>
  <c r="S177" i="1"/>
  <c r="R94" i="1" l="1"/>
  <c r="S94" i="1"/>
  <c r="S70" i="1"/>
  <c r="S42" i="1" l="1"/>
  <c r="P70" i="4" l="1"/>
  <c r="P67" i="4"/>
  <c r="H121" i="8" l="1"/>
  <c r="P79" i="4"/>
  <c r="P21" i="4" l="1"/>
  <c r="P19" i="4"/>
  <c r="O13" i="4"/>
  <c r="G55" i="8" l="1"/>
  <c r="G50" i="4" l="1"/>
  <c r="F50" i="4"/>
  <c r="AA50" i="4"/>
  <c r="V50" i="4"/>
  <c r="Z50" i="4"/>
  <c r="U50" i="4"/>
  <c r="O89" i="4" l="1"/>
  <c r="I28" i="1"/>
  <c r="O224" i="1" l="1"/>
  <c r="G28" i="1" l="1"/>
  <c r="H28" i="1"/>
  <c r="AC269" i="1"/>
  <c r="AB269" i="1"/>
  <c r="AA269" i="1"/>
  <c r="Y269" i="1"/>
  <c r="X269" i="1"/>
  <c r="W269" i="1"/>
  <c r="V269" i="1"/>
  <c r="T269" i="1"/>
  <c r="Q269" i="1"/>
  <c r="O269" i="1"/>
  <c r="N269" i="1"/>
  <c r="M269" i="1"/>
  <c r="L269" i="1"/>
  <c r="J269" i="1"/>
  <c r="H269" i="1"/>
  <c r="G269" i="1"/>
  <c r="E269" i="1"/>
  <c r="C268" i="1"/>
  <c r="C269" i="1" s="1"/>
  <c r="F268" i="1"/>
  <c r="F269" i="1" s="1"/>
  <c r="S38" i="1"/>
  <c r="R38" i="1"/>
  <c r="AB75" i="1"/>
  <c r="AA75" i="1"/>
  <c r="Y75" i="1"/>
  <c r="W75" i="1"/>
  <c r="V75" i="1"/>
  <c r="T75" i="1"/>
  <c r="R75" i="1"/>
  <c r="Q75" i="1"/>
  <c r="O75" i="1"/>
  <c r="J75" i="1"/>
  <c r="P38" i="1" l="1"/>
  <c r="AC178" i="1"/>
  <c r="Z96" i="1"/>
  <c r="U96" i="1"/>
  <c r="P41" i="1"/>
  <c r="P39" i="1"/>
  <c r="M41" i="1"/>
  <c r="K41" i="1" s="1"/>
  <c r="F41" i="1"/>
  <c r="C41" i="1"/>
  <c r="D41" i="1" l="1"/>
  <c r="P64" i="4" l="1"/>
  <c r="P63" i="4"/>
  <c r="C129" i="5" l="1"/>
  <c r="H92" i="8" l="1"/>
  <c r="O241" i="1" l="1"/>
  <c r="T241" i="1"/>
  <c r="H59" i="8"/>
  <c r="H52" i="8"/>
  <c r="C241" i="1" l="1"/>
  <c r="H104" i="8" l="1"/>
  <c r="E28" i="1" l="1"/>
  <c r="C28" i="1" s="1"/>
  <c r="Z32" i="1"/>
  <c r="N28" i="1"/>
  <c r="F32" i="1" l="1"/>
  <c r="U32" i="1"/>
  <c r="K32" i="1"/>
  <c r="P32" i="1"/>
  <c r="D32" i="1" l="1"/>
  <c r="H29" i="8"/>
  <c r="H28" i="8"/>
  <c r="H21" i="8" l="1"/>
  <c r="Q90" i="4" l="1"/>
  <c r="H39" i="8" l="1"/>
  <c r="N114" i="5" l="1"/>
  <c r="P16" i="4"/>
  <c r="S67" i="1"/>
  <c r="P40" i="1"/>
  <c r="S65" i="1"/>
  <c r="P71" i="4" l="1"/>
  <c r="O12" i="1"/>
  <c r="S12" i="1"/>
  <c r="E47" i="1"/>
  <c r="S47" i="1"/>
  <c r="O239" i="1"/>
  <c r="E75" i="1" l="1"/>
  <c r="C47" i="1"/>
  <c r="H22" i="8"/>
  <c r="H44" i="8" l="1"/>
  <c r="M563" i="5"/>
  <c r="H563" i="5"/>
  <c r="H30" i="8"/>
  <c r="M549" i="5"/>
  <c r="H549" i="5"/>
  <c r="AB563" i="5" l="1"/>
  <c r="AC71" i="4"/>
  <c r="AB71" i="4"/>
  <c r="AA71" i="4"/>
  <c r="X71" i="4"/>
  <c r="W71" i="4"/>
  <c r="V71" i="4"/>
  <c r="S71" i="4"/>
  <c r="R71" i="4"/>
  <c r="Q71" i="4"/>
  <c r="N71" i="4"/>
  <c r="M71" i="4"/>
  <c r="L71" i="4"/>
  <c r="I71" i="4"/>
  <c r="H71" i="4"/>
  <c r="G71" i="4"/>
  <c r="Z71" i="4"/>
  <c r="Y70" i="4"/>
  <c r="O70" i="4"/>
  <c r="J70" i="4"/>
  <c r="E70" i="4"/>
  <c r="AD70" i="4" l="1"/>
  <c r="P242" i="1"/>
  <c r="U242" i="1"/>
  <c r="K242" i="1"/>
  <c r="N241" i="1"/>
  <c r="K241" i="1" s="1"/>
  <c r="V90" i="4"/>
  <c r="T90" i="4" s="1"/>
  <c r="AA90" i="4"/>
  <c r="K243" i="1" l="1"/>
  <c r="J89" i="4"/>
  <c r="Y89" i="4" l="1"/>
  <c r="T89" i="4"/>
  <c r="E89" i="4"/>
  <c r="AD89" i="4" l="1"/>
  <c r="Z70" i="1"/>
  <c r="P70" i="1"/>
  <c r="K70" i="1"/>
  <c r="C70" i="1"/>
  <c r="E21" i="4"/>
  <c r="K21" i="4"/>
  <c r="J21" i="4" s="1"/>
  <c r="O21" i="4"/>
  <c r="T21" i="4"/>
  <c r="Y21" i="4"/>
  <c r="D70" i="1" l="1"/>
  <c r="AD21" i="4"/>
  <c r="C191" i="5"/>
  <c r="H191" i="5"/>
  <c r="M191" i="5"/>
  <c r="R191" i="5"/>
  <c r="W191" i="5"/>
  <c r="AB191" i="5" l="1"/>
  <c r="J29" i="8"/>
  <c r="U68" i="1" l="1"/>
  <c r="P68" i="1" l="1"/>
  <c r="N68" i="1" s="1"/>
  <c r="P69" i="1"/>
  <c r="N67" i="1"/>
  <c r="F67" i="1"/>
  <c r="Z69" i="1"/>
  <c r="U69" i="1" s="1"/>
  <c r="Z68" i="1"/>
  <c r="M68" i="1" l="1"/>
  <c r="L68" i="1" l="1"/>
  <c r="M75" i="1"/>
  <c r="F69" i="1"/>
  <c r="D69" i="1" s="1"/>
  <c r="K68" i="1" l="1"/>
  <c r="I68" i="1" s="1"/>
  <c r="L75" i="1"/>
  <c r="P188" i="1"/>
  <c r="E188" i="1"/>
  <c r="C188" i="1" s="1"/>
  <c r="F188" i="1"/>
  <c r="K188" i="1"/>
  <c r="Z188" i="1"/>
  <c r="H68" i="1" l="1"/>
  <c r="D188" i="1"/>
  <c r="R55" i="4"/>
  <c r="G68" i="1" l="1"/>
  <c r="H75" i="1"/>
  <c r="F68" i="1" l="1"/>
  <c r="D68" i="1" s="1"/>
  <c r="G75" i="1"/>
  <c r="E187" i="1"/>
  <c r="C187" i="1" s="1"/>
  <c r="F187" i="1"/>
  <c r="K187" i="1"/>
  <c r="P187" i="1"/>
  <c r="Z187" i="1"/>
  <c r="D187" i="1" l="1"/>
  <c r="P84" i="4"/>
  <c r="P90" i="4" s="1"/>
  <c r="H40" i="8" l="1"/>
  <c r="E186" i="1" l="1"/>
  <c r="C186" i="1" s="1"/>
  <c r="F186" i="1"/>
  <c r="K186" i="1"/>
  <c r="P186" i="1"/>
  <c r="Z186" i="1"/>
  <c r="E185" i="1"/>
  <c r="C185" i="1" s="1"/>
  <c r="F185" i="1"/>
  <c r="K185" i="1"/>
  <c r="P185" i="1"/>
  <c r="Z185" i="1"/>
  <c r="C189" i="1"/>
  <c r="H189" i="1"/>
  <c r="I189" i="1"/>
  <c r="K189" i="1"/>
  <c r="F189" i="1" l="1"/>
  <c r="D189" i="1" s="1"/>
  <c r="D186" i="1"/>
  <c r="D185" i="1"/>
  <c r="P93" i="1"/>
  <c r="M543" i="5"/>
  <c r="E184" i="1" l="1"/>
  <c r="C184" i="1" s="1"/>
  <c r="F184" i="1"/>
  <c r="K184" i="1"/>
  <c r="P184" i="1"/>
  <c r="Z184" i="1"/>
  <c r="D184" i="1" l="1"/>
  <c r="S269" i="1" l="1"/>
  <c r="R269" i="1"/>
  <c r="Q50" i="4"/>
  <c r="P45" i="1" l="1"/>
  <c r="C255" i="1"/>
  <c r="F255" i="1"/>
  <c r="K255" i="1"/>
  <c r="P255" i="1"/>
  <c r="Z255" i="1"/>
  <c r="D255" i="1" l="1"/>
  <c r="G92" i="8" l="1"/>
  <c r="P203" i="1"/>
  <c r="P204" i="1"/>
  <c r="P205" i="1" l="1"/>
  <c r="F21" i="9" l="1"/>
  <c r="G10" i="9"/>
  <c r="I98" i="8"/>
  <c r="G36" i="8" l="1"/>
  <c r="G52" i="8"/>
  <c r="J42" i="1"/>
  <c r="N76" i="1" l="1"/>
  <c r="K62" i="1"/>
  <c r="K63" i="1"/>
  <c r="K64" i="1"/>
  <c r="K60" i="1"/>
  <c r="K61" i="1"/>
  <c r="P50" i="4"/>
  <c r="F47" i="1"/>
  <c r="K47" i="1"/>
  <c r="P47" i="1"/>
  <c r="D47" i="1" l="1"/>
  <c r="I8" i="9"/>
  <c r="N89" i="1"/>
  <c r="N107" i="1"/>
  <c r="Z229" i="1"/>
  <c r="U229" i="1"/>
  <c r="P229" i="1"/>
  <c r="K229" i="1"/>
  <c r="F229" i="1"/>
  <c r="C229" i="1"/>
  <c r="Z228" i="1"/>
  <c r="U228" i="1"/>
  <c r="P228" i="1"/>
  <c r="K228" i="1"/>
  <c r="F228" i="1"/>
  <c r="C228" i="1"/>
  <c r="Z227" i="1"/>
  <c r="U227" i="1"/>
  <c r="P227" i="1"/>
  <c r="K227" i="1"/>
  <c r="F227" i="1"/>
  <c r="C227" i="1"/>
  <c r="M96" i="1"/>
  <c r="K96" i="1" s="1"/>
  <c r="M42" i="1"/>
  <c r="I588" i="5"/>
  <c r="I129" i="5"/>
  <c r="K37" i="4"/>
  <c r="K17" i="4"/>
  <c r="J15" i="8"/>
  <c r="D227" i="1" l="1"/>
  <c r="D229" i="1"/>
  <c r="D228" i="1"/>
  <c r="J31" i="8" l="1"/>
  <c r="J105" i="8" l="1"/>
  <c r="J86" i="8" l="1"/>
  <c r="I86" i="8"/>
  <c r="H86" i="8"/>
  <c r="O38" i="1" l="1"/>
  <c r="U52" i="1" l="1"/>
  <c r="U51" i="1"/>
  <c r="H23" i="8" l="1"/>
  <c r="Y248" i="1" l="1"/>
  <c r="Z80" i="1" l="1"/>
  <c r="Z81" i="1"/>
  <c r="Z82" i="1"/>
  <c r="Z83" i="1"/>
  <c r="T259" i="1"/>
  <c r="Z27" i="4" l="1"/>
  <c r="Z30" i="4"/>
  <c r="W471" i="5"/>
  <c r="AA52" i="4"/>
  <c r="Z52" i="4"/>
  <c r="C230" i="1"/>
  <c r="F230" i="1"/>
  <c r="K230" i="1"/>
  <c r="P230" i="1"/>
  <c r="U230" i="1"/>
  <c r="Z230" i="1"/>
  <c r="C231" i="1"/>
  <c r="F231" i="1"/>
  <c r="K231" i="1"/>
  <c r="P231" i="1"/>
  <c r="U231" i="1"/>
  <c r="Z231" i="1"/>
  <c r="C232" i="1"/>
  <c r="F232" i="1"/>
  <c r="K232" i="1"/>
  <c r="P232" i="1"/>
  <c r="U232" i="1"/>
  <c r="Z232" i="1"/>
  <c r="C233" i="1"/>
  <c r="F233" i="1"/>
  <c r="K233" i="1"/>
  <c r="P233" i="1"/>
  <c r="U233" i="1"/>
  <c r="Z233" i="1"/>
  <c r="C234" i="1"/>
  <c r="F234" i="1"/>
  <c r="K234" i="1"/>
  <c r="P234" i="1"/>
  <c r="U234" i="1"/>
  <c r="Z234" i="1"/>
  <c r="Z40" i="4" l="1"/>
  <c r="Z38" i="4"/>
  <c r="Y38" i="4" s="1"/>
  <c r="D234" i="1"/>
  <c r="D231" i="1"/>
  <c r="D233" i="1"/>
  <c r="D232" i="1"/>
  <c r="D230" i="1"/>
  <c r="Z183" i="1" l="1"/>
  <c r="P183" i="1"/>
  <c r="K183" i="1"/>
  <c r="F183" i="1"/>
  <c r="E183" i="1"/>
  <c r="C183" i="1" s="1"/>
  <c r="S49" i="1"/>
  <c r="S75" i="1" s="1"/>
  <c r="Z178" i="1"/>
  <c r="P94" i="1"/>
  <c r="P47" i="4" l="1"/>
  <c r="D183" i="1"/>
  <c r="AC177" i="1" l="1"/>
  <c r="Z177" i="1" s="1"/>
  <c r="U179" i="1"/>
  <c r="U181" i="1"/>
  <c r="Z181" i="1"/>
  <c r="AC109" i="1"/>
  <c r="AC239" i="1" s="1"/>
  <c r="K108" i="1"/>
  <c r="K109" i="1"/>
  <c r="P95" i="1"/>
  <c r="K95" i="1"/>
  <c r="K94" i="1"/>
  <c r="Z95" i="1"/>
  <c r="F95" i="1"/>
  <c r="E95" i="1"/>
  <c r="C95" i="1" s="1"/>
  <c r="Z94" i="1"/>
  <c r="F94" i="1"/>
  <c r="E94" i="1"/>
  <c r="C94" i="1" s="1"/>
  <c r="P12" i="1"/>
  <c r="K67" i="1"/>
  <c r="P67" i="1"/>
  <c r="U67" i="1"/>
  <c r="Z67" i="1"/>
  <c r="X25" i="1"/>
  <c r="S25" i="1"/>
  <c r="P25" i="1" s="1"/>
  <c r="Y37" i="4"/>
  <c r="T37" i="4"/>
  <c r="O37" i="4"/>
  <c r="AC90" i="4"/>
  <c r="AB90" i="4"/>
  <c r="X90" i="4"/>
  <c r="W90" i="4"/>
  <c r="S90" i="4"/>
  <c r="R90" i="4"/>
  <c r="Y86" i="4"/>
  <c r="T86" i="4"/>
  <c r="O86" i="4"/>
  <c r="Y85" i="4"/>
  <c r="Y84" i="4"/>
  <c r="T85" i="4"/>
  <c r="T84" i="4"/>
  <c r="O85" i="4"/>
  <c r="O84" i="4"/>
  <c r="T82" i="4"/>
  <c r="O82" i="4"/>
  <c r="T81" i="4"/>
  <c r="O81" i="4"/>
  <c r="Y80" i="4"/>
  <c r="T80" i="4"/>
  <c r="O80" i="4"/>
  <c r="Y79" i="4"/>
  <c r="T79" i="4"/>
  <c r="O79" i="4"/>
  <c r="Y76" i="4"/>
  <c r="T76" i="4"/>
  <c r="O76" i="4"/>
  <c r="Y69" i="4"/>
  <c r="Y68" i="4"/>
  <c r="T69" i="4"/>
  <c r="T68" i="4"/>
  <c r="T67" i="4"/>
  <c r="T66" i="4"/>
  <c r="Y66" i="4"/>
  <c r="Y64" i="4"/>
  <c r="T64" i="4"/>
  <c r="O69" i="4"/>
  <c r="O68" i="4"/>
  <c r="O67" i="4"/>
  <c r="O66" i="4"/>
  <c r="O64" i="4"/>
  <c r="T33" i="4"/>
  <c r="O33" i="4"/>
  <c r="Y32" i="4"/>
  <c r="T32" i="4"/>
  <c r="O32" i="4"/>
  <c r="Y30" i="4"/>
  <c r="T30" i="4"/>
  <c r="O30" i="4"/>
  <c r="Y28" i="4"/>
  <c r="Y27" i="4"/>
  <c r="T27" i="4"/>
  <c r="O27" i="4"/>
  <c r="Y26" i="4"/>
  <c r="Y25" i="4"/>
  <c r="Y20" i="4"/>
  <c r="T20" i="4"/>
  <c r="O20" i="4"/>
  <c r="Y19" i="4"/>
  <c r="T19" i="4"/>
  <c r="Y17" i="4"/>
  <c r="T17" i="4"/>
  <c r="Y16" i="4"/>
  <c r="T16" i="4"/>
  <c r="Y15" i="4"/>
  <c r="Y14" i="4"/>
  <c r="Y13" i="4"/>
  <c r="T14" i="4"/>
  <c r="O14" i="4"/>
  <c r="Y31" i="4"/>
  <c r="T31" i="4"/>
  <c r="O31" i="4"/>
  <c r="N518" i="5"/>
  <c r="N591" i="5" s="1"/>
  <c r="N589" i="5" s="1"/>
  <c r="Y29" i="4"/>
  <c r="T29" i="4"/>
  <c r="P29" i="4"/>
  <c r="O29" i="4" s="1"/>
  <c r="Y24" i="4"/>
  <c r="T24" i="4"/>
  <c r="O24" i="4"/>
  <c r="M507" i="5"/>
  <c r="T28" i="4"/>
  <c r="O28" i="4"/>
  <c r="W10" i="5"/>
  <c r="S28" i="5"/>
  <c r="S23" i="5"/>
  <c r="S22" i="5"/>
  <c r="S20" i="5"/>
  <c r="S19" i="5"/>
  <c r="S18" i="5"/>
  <c r="S17" i="5"/>
  <c r="S16" i="5"/>
  <c r="S15" i="5"/>
  <c r="S14" i="5"/>
  <c r="S13" i="5"/>
  <c r="S12" i="5"/>
  <c r="S11" i="5"/>
  <c r="T13" i="4"/>
  <c r="O17" i="4"/>
  <c r="O19" i="4"/>
  <c r="W114" i="5"/>
  <c r="R114" i="5"/>
  <c r="M114" i="5"/>
  <c r="O16" i="4"/>
  <c r="T25" i="4"/>
  <c r="O25" i="4"/>
  <c r="S591" i="5"/>
  <c r="O26" i="4"/>
  <c r="W41" i="5"/>
  <c r="T15" i="4"/>
  <c r="Y63" i="4"/>
  <c r="T63" i="4"/>
  <c r="T71" i="4" s="1"/>
  <c r="O63" i="4"/>
  <c r="T26" i="4" l="1"/>
  <c r="U40" i="4"/>
  <c r="U38" i="4"/>
  <c r="T38" i="4" s="1"/>
  <c r="Y71" i="4"/>
  <c r="O90" i="4"/>
  <c r="O71" i="4"/>
  <c r="D67" i="1"/>
  <c r="D95" i="1"/>
  <c r="D94" i="1"/>
  <c r="Z81" i="4" l="1"/>
  <c r="Y81" i="4" l="1"/>
  <c r="Z90" i="4"/>
  <c r="Y90" i="4" s="1"/>
  <c r="G38" i="8"/>
  <c r="I520" i="5" l="1"/>
  <c r="I518" i="5"/>
  <c r="I479" i="5"/>
  <c r="I114" i="5"/>
  <c r="K16" i="4" l="1"/>
  <c r="K31" i="4"/>
  <c r="K29" i="4"/>
  <c r="F11" i="9" l="1"/>
  <c r="N39" i="1" l="1"/>
  <c r="M39" i="1"/>
  <c r="L80" i="4"/>
  <c r="L90" i="4" s="1"/>
  <c r="K80" i="4"/>
  <c r="G97" i="8" l="1"/>
  <c r="N177" i="1" l="1"/>
  <c r="N179" i="1"/>
  <c r="N181" i="1"/>
  <c r="M101" i="1"/>
  <c r="L50" i="4"/>
  <c r="K93" i="1"/>
  <c r="I10" i="5"/>
  <c r="K13" i="4"/>
  <c r="K26" i="4" l="1"/>
  <c r="G122" i="8" l="1"/>
  <c r="I90" i="4" l="1"/>
  <c r="E86" i="4"/>
  <c r="J86" i="4"/>
  <c r="AD86" i="4" l="1"/>
  <c r="G58" i="8" l="1"/>
  <c r="K179" i="1" l="1"/>
  <c r="K181" i="1"/>
  <c r="N66" i="1"/>
  <c r="N65" i="1"/>
  <c r="G39" i="8"/>
  <c r="I521" i="5" l="1"/>
  <c r="K32" i="4"/>
  <c r="K79" i="4"/>
  <c r="K48" i="1" l="1"/>
  <c r="U250" i="1"/>
  <c r="X259" i="1"/>
  <c r="W259" i="1"/>
  <c r="V259" i="1"/>
  <c r="U259" i="1" l="1"/>
  <c r="U260" i="1"/>
  <c r="K254" i="1"/>
  <c r="K253" i="1"/>
  <c r="K252" i="1"/>
  <c r="K251" i="1"/>
  <c r="K250" i="1"/>
  <c r="K249" i="1"/>
  <c r="K260" i="1"/>
  <c r="K262" i="1"/>
  <c r="F262" i="1"/>
  <c r="F260" i="1"/>
  <c r="F250" i="1"/>
  <c r="F251" i="1"/>
  <c r="F252" i="1"/>
  <c r="F253" i="1"/>
  <c r="F254" i="1"/>
  <c r="F249" i="1"/>
  <c r="G47" i="4"/>
  <c r="F259" i="1" l="1"/>
  <c r="C226" i="1"/>
  <c r="F226" i="1"/>
  <c r="K226" i="1"/>
  <c r="P226" i="1"/>
  <c r="U226" i="1"/>
  <c r="Z226" i="1"/>
  <c r="N239" i="1"/>
  <c r="P42" i="1"/>
  <c r="K20" i="4"/>
  <c r="T261" i="1"/>
  <c r="T264" i="1" s="1"/>
  <c r="Y261" i="1"/>
  <c r="U249" i="1"/>
  <c r="D226" i="1" l="1"/>
  <c r="J239" i="1"/>
  <c r="G71" i="8" l="1"/>
  <c r="M239" i="1"/>
  <c r="Z224" i="1" l="1"/>
  <c r="U224" i="1"/>
  <c r="P224" i="1"/>
  <c r="K224" i="1"/>
  <c r="F224" i="1"/>
  <c r="C224" i="1"/>
  <c r="D224" i="1" l="1"/>
  <c r="N53" i="1" l="1"/>
  <c r="N75" i="1" s="1"/>
  <c r="I196" i="5"/>
  <c r="M588" i="5"/>
  <c r="R588" i="5"/>
  <c r="W588" i="5"/>
  <c r="O591" i="5"/>
  <c r="P591" i="5"/>
  <c r="Q591" i="5"/>
  <c r="T591" i="5"/>
  <c r="U591" i="5"/>
  <c r="V591" i="5"/>
  <c r="AB549" i="5"/>
  <c r="H588" i="5"/>
  <c r="J34" i="4"/>
  <c r="J35" i="4"/>
  <c r="E35" i="4"/>
  <c r="O35" i="4"/>
  <c r="T35" i="4"/>
  <c r="Y35" i="4"/>
  <c r="K24" i="4"/>
  <c r="AD35" i="4" l="1"/>
  <c r="G35" i="8" l="1"/>
  <c r="G33" i="8"/>
  <c r="G22" i="8" l="1"/>
  <c r="K89" i="1" l="1"/>
  <c r="K82" i="4"/>
  <c r="K90" i="4" s="1"/>
  <c r="K28" i="4" l="1"/>
  <c r="I510" i="5"/>
  <c r="H543" i="5" l="1"/>
  <c r="AB543" i="5" s="1"/>
  <c r="D591" i="5"/>
  <c r="D589" i="5" s="1"/>
  <c r="H521" i="5"/>
  <c r="H520" i="5"/>
  <c r="Y33" i="4"/>
  <c r="J33" i="4"/>
  <c r="E33" i="4"/>
  <c r="J24" i="4"/>
  <c r="Y34" i="4"/>
  <c r="T34" i="4"/>
  <c r="O34" i="4"/>
  <c r="E34" i="4"/>
  <c r="P48" i="1"/>
  <c r="C75" i="1"/>
  <c r="I172" i="5"/>
  <c r="K19" i="4"/>
  <c r="K67" i="4"/>
  <c r="K71" i="4" s="1"/>
  <c r="E67" i="4"/>
  <c r="K66" i="1"/>
  <c r="K73" i="1"/>
  <c r="K38" i="4" l="1"/>
  <c r="J38" i="4" s="1"/>
  <c r="K40" i="4"/>
  <c r="Y40" i="4"/>
  <c r="D48" i="1"/>
  <c r="AD33" i="4"/>
  <c r="AD34" i="4"/>
  <c r="J67" i="4"/>
  <c r="P88" i="1"/>
  <c r="Z88" i="1"/>
  <c r="K90" i="1"/>
  <c r="P90" i="1"/>
  <c r="U90" i="1"/>
  <c r="F90" i="1"/>
  <c r="F89" i="1"/>
  <c r="AC89" i="1"/>
  <c r="AB89" i="1" s="1"/>
  <c r="AA89" i="1" s="1"/>
  <c r="Z89" i="1" s="1"/>
  <c r="Y89" i="1" s="1"/>
  <c r="C86" i="1"/>
  <c r="C98" i="1"/>
  <c r="E90" i="1"/>
  <c r="C90" i="1" s="1"/>
  <c r="Z90" i="1"/>
  <c r="K85" i="1"/>
  <c r="U85" i="1"/>
  <c r="I85" i="1"/>
  <c r="H85" i="1"/>
  <c r="C85" i="1"/>
  <c r="U89" i="1" l="1"/>
  <c r="C89" i="1"/>
  <c r="P89" i="1"/>
  <c r="D89" i="1" s="1"/>
  <c r="S101" i="1"/>
  <c r="P49" i="4" s="1"/>
  <c r="F85" i="1"/>
  <c r="D85" i="1" s="1"/>
  <c r="D90" i="1"/>
  <c r="K42" i="1"/>
  <c r="K53" i="1"/>
  <c r="N12" i="1"/>
  <c r="N11" i="1" s="1"/>
  <c r="K65" i="1"/>
  <c r="L49" i="4" l="1"/>
  <c r="F91" i="1"/>
  <c r="K91" i="1"/>
  <c r="N24" i="1" l="1"/>
  <c r="I591" i="5"/>
  <c r="I589" i="5" s="1"/>
  <c r="K92" i="1" l="1"/>
  <c r="F92" i="1"/>
  <c r="C225" i="1" l="1"/>
  <c r="F225" i="1"/>
  <c r="K225" i="1"/>
  <c r="P225" i="1"/>
  <c r="U225" i="1"/>
  <c r="Z225" i="1"/>
  <c r="K177" i="1"/>
  <c r="L55" i="4"/>
  <c r="K55" i="4"/>
  <c r="D225" i="1" l="1"/>
  <c r="N21" i="1" l="1"/>
  <c r="M21" i="1"/>
  <c r="K21" i="1" l="1"/>
  <c r="M28" i="1"/>
  <c r="L28" i="1"/>
  <c r="L38" i="1"/>
  <c r="M38" i="1"/>
  <c r="N38" i="1"/>
  <c r="K39" i="1"/>
  <c r="K38" i="1" s="1"/>
  <c r="L101" i="1"/>
  <c r="K31" i="1"/>
  <c r="K28" i="1" s="1"/>
  <c r="C31" i="1"/>
  <c r="F31" i="1"/>
  <c r="C222" i="1"/>
  <c r="F222" i="1"/>
  <c r="K222" i="1"/>
  <c r="P222" i="1"/>
  <c r="U222" i="1"/>
  <c r="Z222" i="1"/>
  <c r="D31" i="1" l="1"/>
  <c r="D222" i="1"/>
  <c r="AC259" i="1"/>
  <c r="AC261" i="1"/>
  <c r="Z28" i="1"/>
  <c r="N261" i="1" l="1"/>
  <c r="Z249" i="1"/>
  <c r="D249" i="1" s="1"/>
  <c r="U248" i="1" l="1"/>
  <c r="N248" i="1" l="1"/>
  <c r="P182" i="1"/>
  <c r="Z182" i="1"/>
  <c r="U182" i="1"/>
  <c r="K182" i="1"/>
  <c r="F182" i="1"/>
  <c r="C182" i="1"/>
  <c r="F55" i="4"/>
  <c r="F204" i="1"/>
  <c r="K204" i="1"/>
  <c r="U204" i="1"/>
  <c r="J249" i="1" l="1"/>
  <c r="J248" i="1" s="1"/>
  <c r="D182" i="1"/>
  <c r="D204" i="1"/>
  <c r="E19" i="4" l="1"/>
  <c r="Z271" i="1"/>
  <c r="U271" i="1"/>
  <c r="P271" i="1"/>
  <c r="K271" i="1"/>
  <c r="F271" i="1"/>
  <c r="Z76" i="1"/>
  <c r="U76" i="1"/>
  <c r="P76" i="1"/>
  <c r="K76" i="1"/>
  <c r="F76" i="1"/>
  <c r="F49" i="1"/>
  <c r="F73" i="1"/>
  <c r="P73" i="1"/>
  <c r="Z73" i="1"/>
  <c r="AC92" i="4"/>
  <c r="AB92" i="4"/>
  <c r="Z92" i="4"/>
  <c r="X92" i="4"/>
  <c r="W92" i="4"/>
  <c r="U92" i="4"/>
  <c r="S92" i="4"/>
  <c r="R92" i="4"/>
  <c r="N92" i="4"/>
  <c r="M92" i="4"/>
  <c r="L92" i="4"/>
  <c r="K92" i="4"/>
  <c r="G92" i="4"/>
  <c r="H92" i="4"/>
  <c r="I92" i="4"/>
  <c r="F92" i="4"/>
  <c r="AC57" i="4"/>
  <c r="AB57" i="4"/>
  <c r="Z57" i="4"/>
  <c r="X57" i="4"/>
  <c r="W57" i="4"/>
  <c r="U57" i="4"/>
  <c r="S57" i="4"/>
  <c r="R57" i="4"/>
  <c r="P57" i="4"/>
  <c r="N57" i="4"/>
  <c r="M57" i="4"/>
  <c r="L57" i="4"/>
  <c r="K57" i="4"/>
  <c r="I57" i="4"/>
  <c r="G57" i="4"/>
  <c r="H57" i="4"/>
  <c r="F57" i="4"/>
  <c r="AE57" i="4" s="1"/>
  <c r="J48" i="4"/>
  <c r="E48" i="4"/>
  <c r="AG57" i="4" l="1"/>
  <c r="AH57" i="4"/>
  <c r="D271" i="1"/>
  <c r="E92" i="4"/>
  <c r="J92" i="4"/>
  <c r="D73" i="1"/>
  <c r="D76" i="1"/>
  <c r="E57" i="4"/>
  <c r="J57" i="4"/>
  <c r="V101" i="1" l="1"/>
  <c r="C219" i="1" l="1"/>
  <c r="F219" i="1"/>
  <c r="K219" i="1"/>
  <c r="P219" i="1"/>
  <c r="U219" i="1"/>
  <c r="Z219" i="1"/>
  <c r="C220" i="1"/>
  <c r="F220" i="1"/>
  <c r="K220" i="1"/>
  <c r="P220" i="1"/>
  <c r="U220" i="1"/>
  <c r="Z220" i="1"/>
  <c r="C221" i="1"/>
  <c r="F221" i="1"/>
  <c r="K221" i="1"/>
  <c r="P221" i="1"/>
  <c r="U221" i="1"/>
  <c r="Z221" i="1"/>
  <c r="C223" i="1"/>
  <c r="F223" i="1"/>
  <c r="K223" i="1"/>
  <c r="P223" i="1"/>
  <c r="U223" i="1"/>
  <c r="Z223" i="1"/>
  <c r="AD219" i="1" l="1"/>
  <c r="D220" i="1"/>
  <c r="D223" i="1"/>
  <c r="D221" i="1"/>
  <c r="D219" i="1"/>
  <c r="K52" i="4" l="1"/>
  <c r="C260" i="1"/>
  <c r="C250" i="1"/>
  <c r="C251" i="1"/>
  <c r="C252" i="1"/>
  <c r="C253" i="1"/>
  <c r="C254" i="1"/>
  <c r="C249" i="1"/>
  <c r="Y239" i="1"/>
  <c r="C103" i="1"/>
  <c r="U106" i="1"/>
  <c r="U105" i="1"/>
  <c r="U104" i="1"/>
  <c r="U103" i="1"/>
  <c r="U79" i="1"/>
  <c r="U80" i="1"/>
  <c r="U81" i="1"/>
  <c r="D81" i="1" s="1"/>
  <c r="U82" i="1"/>
  <c r="U84" i="1"/>
  <c r="U86" i="1"/>
  <c r="U87" i="1"/>
  <c r="U88" i="1"/>
  <c r="C79" i="1"/>
  <c r="C80" i="1"/>
  <c r="C78" i="1"/>
  <c r="U78" i="1"/>
  <c r="P78" i="1"/>
  <c r="K78" i="1"/>
  <c r="Z50" i="1"/>
  <c r="X261" i="1"/>
  <c r="W261" i="1"/>
  <c r="V261" i="1"/>
  <c r="S261" i="1"/>
  <c r="Z51" i="1"/>
  <c r="X11" i="1"/>
  <c r="F65" i="1"/>
  <c r="P65" i="1"/>
  <c r="U65" i="1"/>
  <c r="Z65" i="1"/>
  <c r="F66" i="1"/>
  <c r="P66" i="1"/>
  <c r="U66" i="1"/>
  <c r="Z66" i="1"/>
  <c r="C181" i="1"/>
  <c r="F181" i="1"/>
  <c r="P181" i="1"/>
  <c r="C106" i="1"/>
  <c r="F106" i="1"/>
  <c r="K106" i="1"/>
  <c r="P106" i="1"/>
  <c r="Z106" i="1"/>
  <c r="F64" i="1"/>
  <c r="P64" i="1"/>
  <c r="U64" i="1"/>
  <c r="Z64" i="1"/>
  <c r="J29" i="4"/>
  <c r="C521" i="5"/>
  <c r="M521" i="5"/>
  <c r="W521" i="5"/>
  <c r="E32" i="4"/>
  <c r="J32" i="4"/>
  <c r="E20" i="4"/>
  <c r="J20" i="4"/>
  <c r="W190" i="5"/>
  <c r="R190" i="5"/>
  <c r="M190" i="5"/>
  <c r="H190" i="5"/>
  <c r="C190" i="5"/>
  <c r="M518" i="5"/>
  <c r="H518" i="5"/>
  <c r="R510" i="5"/>
  <c r="H507" i="5"/>
  <c r="R479" i="5"/>
  <c r="R471" i="5"/>
  <c r="R129" i="5"/>
  <c r="R41" i="5"/>
  <c r="R10" i="5"/>
  <c r="J66" i="4"/>
  <c r="Q54" i="4"/>
  <c r="L54" i="4"/>
  <c r="J28" i="4"/>
  <c r="J27" i="4"/>
  <c r="J26" i="4"/>
  <c r="J25" i="4"/>
  <c r="J19" i="4"/>
  <c r="J17" i="4"/>
  <c r="J16" i="4"/>
  <c r="O15" i="4"/>
  <c r="J15" i="4"/>
  <c r="J13" i="4"/>
  <c r="U243" i="1"/>
  <c r="P241" i="1"/>
  <c r="U178" i="1"/>
  <c r="P178" i="1"/>
  <c r="K178" i="1"/>
  <c r="U177" i="1"/>
  <c r="P177" i="1"/>
  <c r="U109" i="1"/>
  <c r="P109" i="1"/>
  <c r="P107" i="1"/>
  <c r="K107" i="1"/>
  <c r="U49" i="1"/>
  <c r="P49" i="1"/>
  <c r="K49" i="1"/>
  <c r="K45" i="1"/>
  <c r="U25" i="1"/>
  <c r="K25" i="1"/>
  <c r="U12" i="1"/>
  <c r="K12" i="1"/>
  <c r="P243" i="1" l="1"/>
  <c r="X264" i="1"/>
  <c r="U264" i="1" s="1"/>
  <c r="U261" i="1"/>
  <c r="AD32" i="4"/>
  <c r="AB521" i="5"/>
  <c r="W43" i="1"/>
  <c r="X43" i="1"/>
  <c r="AB190" i="5"/>
  <c r="D65" i="1"/>
  <c r="D66" i="1"/>
  <c r="D181" i="1"/>
  <c r="D106" i="1"/>
  <c r="D64" i="1"/>
  <c r="AD20" i="4"/>
  <c r="H239" i="1"/>
  <c r="G84" i="4"/>
  <c r="G90" i="4" s="1"/>
  <c r="H241" i="1"/>
  <c r="I63" i="1"/>
  <c r="H39" i="1"/>
  <c r="F63" i="4"/>
  <c r="E63" i="4" l="1"/>
  <c r="G52" i="4"/>
  <c r="E84" i="4" l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38" i="1"/>
  <c r="K191" i="1"/>
  <c r="W52" i="4" l="1"/>
  <c r="V52" i="4"/>
  <c r="U52" i="4"/>
  <c r="T52" i="4" l="1"/>
  <c r="C203" i="1"/>
  <c r="U203" i="1"/>
  <c r="C42" i="1" l="1"/>
  <c r="F42" i="1"/>
  <c r="D42" i="1" s="1"/>
  <c r="N98" i="1" l="1"/>
  <c r="C212" i="1"/>
  <c r="F212" i="1"/>
  <c r="P212" i="1"/>
  <c r="U212" i="1"/>
  <c r="Z212" i="1"/>
  <c r="K50" i="4" l="1"/>
  <c r="N101" i="1"/>
  <c r="K98" i="1"/>
  <c r="D212" i="1"/>
  <c r="J69" i="4" l="1"/>
  <c r="J80" i="4"/>
  <c r="F13" i="4"/>
  <c r="J14" i="4"/>
  <c r="E14" i="4"/>
  <c r="AA591" i="5"/>
  <c r="Z591" i="5"/>
  <c r="Y591" i="5"/>
  <c r="L591" i="5"/>
  <c r="K591" i="5"/>
  <c r="J591" i="5"/>
  <c r="G591" i="5"/>
  <c r="F591" i="5"/>
  <c r="E591" i="5"/>
  <c r="W29" i="5"/>
  <c r="R29" i="5"/>
  <c r="M29" i="5"/>
  <c r="H29" i="5"/>
  <c r="C29" i="5"/>
  <c r="AD14" i="4" l="1"/>
  <c r="AB29" i="5"/>
  <c r="Q48" i="4"/>
  <c r="O48" i="4" s="1"/>
  <c r="V48" i="4"/>
  <c r="T48" i="4" s="1"/>
  <c r="AA48" i="4"/>
  <c r="Y48" i="4" s="1"/>
  <c r="Z63" i="1"/>
  <c r="U63" i="1"/>
  <c r="P63" i="1"/>
  <c r="F63" i="1"/>
  <c r="Z62" i="1"/>
  <c r="U62" i="1"/>
  <c r="P62" i="1"/>
  <c r="F62" i="1"/>
  <c r="Z105" i="1"/>
  <c r="P105" i="1"/>
  <c r="K105" i="1"/>
  <c r="F105" i="1"/>
  <c r="C105" i="1"/>
  <c r="Z104" i="1"/>
  <c r="P104" i="1"/>
  <c r="K104" i="1"/>
  <c r="F104" i="1"/>
  <c r="C104" i="1"/>
  <c r="V92" i="4" l="1"/>
  <c r="T92" i="4" s="1"/>
  <c r="V57" i="4"/>
  <c r="T57" i="4" s="1"/>
  <c r="Q92" i="4"/>
  <c r="O92" i="4" s="1"/>
  <c r="Q57" i="4"/>
  <c r="AA92" i="4"/>
  <c r="Y92" i="4" s="1"/>
  <c r="AA57" i="4"/>
  <c r="Y57" i="4" s="1"/>
  <c r="D63" i="1"/>
  <c r="D62" i="1"/>
  <c r="D105" i="1"/>
  <c r="D104" i="1"/>
  <c r="P180" i="1"/>
  <c r="F180" i="1"/>
  <c r="C180" i="1"/>
  <c r="O57" i="4" l="1"/>
  <c r="AD57" i="4" s="1"/>
  <c r="AF57" i="4"/>
  <c r="AD48" i="4"/>
  <c r="AD92" i="4"/>
  <c r="D180" i="1"/>
  <c r="AC101" i="1"/>
  <c r="Z49" i="4" s="1"/>
  <c r="AA101" i="1"/>
  <c r="AB101" i="1"/>
  <c r="Y101" i="1"/>
  <c r="T101" i="1"/>
  <c r="Q101" i="1"/>
  <c r="R101" i="1"/>
  <c r="O101" i="1"/>
  <c r="J101" i="1"/>
  <c r="G101" i="1"/>
  <c r="E101" i="1"/>
  <c r="Z100" i="1"/>
  <c r="K100" i="1"/>
  <c r="C100" i="1"/>
  <c r="D100" i="1" l="1"/>
  <c r="AE103" i="4"/>
  <c r="AF103" i="4"/>
  <c r="AG103" i="4"/>
  <c r="AH103" i="4"/>
  <c r="AH101" i="4"/>
  <c r="AG101" i="4"/>
  <c r="AF101" i="4"/>
  <c r="AE101" i="4"/>
  <c r="AH99" i="4"/>
  <c r="AG99" i="4"/>
  <c r="AF99" i="4"/>
  <c r="AE99" i="4"/>
  <c r="AH97" i="4"/>
  <c r="AG97" i="4"/>
  <c r="AF97" i="4"/>
  <c r="AE97" i="4"/>
  <c r="AH95" i="4"/>
  <c r="AG95" i="4"/>
  <c r="AF95" i="4"/>
  <c r="AE95" i="4"/>
  <c r="P179" i="1"/>
  <c r="F179" i="1"/>
  <c r="C179" i="1"/>
  <c r="P100" i="4"/>
  <c r="K100" i="4"/>
  <c r="G100" i="4"/>
  <c r="H100" i="4"/>
  <c r="I100" i="4"/>
  <c r="L100" i="4"/>
  <c r="M100" i="4"/>
  <c r="N100" i="4"/>
  <c r="Q100" i="4"/>
  <c r="R100" i="4"/>
  <c r="S100" i="4"/>
  <c r="V100" i="4"/>
  <c r="W100" i="4"/>
  <c r="X100" i="4"/>
  <c r="AA100" i="4"/>
  <c r="AB100" i="4"/>
  <c r="AC100" i="4"/>
  <c r="E69" i="4"/>
  <c r="AD69" i="4" s="1"/>
  <c r="F66" i="4"/>
  <c r="AH100" i="4" l="1"/>
  <c r="AG100" i="4"/>
  <c r="AF100" i="4"/>
  <c r="D179" i="1"/>
  <c r="K87" i="1"/>
  <c r="F87" i="1"/>
  <c r="C87" i="1"/>
  <c r="D87" i="1" l="1"/>
  <c r="E248" i="1"/>
  <c r="G248" i="1"/>
  <c r="H248" i="1"/>
  <c r="I248" i="1"/>
  <c r="L248" i="1"/>
  <c r="M248" i="1"/>
  <c r="T248" i="1"/>
  <c r="V248" i="1"/>
  <c r="W248" i="1"/>
  <c r="X248" i="1"/>
  <c r="AA248" i="1"/>
  <c r="AB248" i="1"/>
  <c r="AC248" i="1"/>
  <c r="H114" i="5" l="1"/>
  <c r="F169" i="1"/>
  <c r="F170" i="1"/>
  <c r="Z254" i="1"/>
  <c r="P254" i="1"/>
  <c r="D254" i="1" l="1"/>
  <c r="C172" i="5"/>
  <c r="P92" i="1"/>
  <c r="C92" i="1"/>
  <c r="D92" i="1" l="1"/>
  <c r="E80" i="4"/>
  <c r="AD80" i="4" s="1"/>
  <c r="J79" i="4"/>
  <c r="E79" i="4"/>
  <c r="AD79" i="4" l="1"/>
  <c r="F82" i="4"/>
  <c r="F90" i="4" s="1"/>
  <c r="H38" i="1"/>
  <c r="I38" i="1"/>
  <c r="G38" i="1"/>
  <c r="C40" i="1"/>
  <c r="F40" i="1"/>
  <c r="D40" i="1" s="1"/>
  <c r="U39" i="1"/>
  <c r="F39" i="1"/>
  <c r="C39" i="1"/>
  <c r="I45" i="1"/>
  <c r="I75" i="1" s="1"/>
  <c r="F46" i="1"/>
  <c r="C518" i="5"/>
  <c r="C520" i="5"/>
  <c r="E29" i="4"/>
  <c r="F68" i="4"/>
  <c r="F178" i="1"/>
  <c r="C178" i="1"/>
  <c r="F71" i="4" l="1"/>
  <c r="F100" i="4" s="1"/>
  <c r="F47" i="4"/>
  <c r="D39" i="1"/>
  <c r="F38" i="1"/>
  <c r="D178" i="1"/>
  <c r="F168" i="1"/>
  <c r="AB239" i="1"/>
  <c r="F165" i="1" l="1"/>
  <c r="F164" i="1"/>
  <c r="F161" i="1"/>
  <c r="F137" i="1"/>
  <c r="P52" i="4"/>
  <c r="F55" i="1"/>
  <c r="K86" i="1"/>
  <c r="F86" i="1"/>
  <c r="C38" i="1"/>
  <c r="U38" i="1"/>
  <c r="D38" i="1" s="1"/>
  <c r="P28" i="1"/>
  <c r="Q28" i="1"/>
  <c r="R28" i="1"/>
  <c r="S28" i="1"/>
  <c r="U28" i="1"/>
  <c r="V28" i="1"/>
  <c r="W28" i="1"/>
  <c r="X28" i="1"/>
  <c r="AA28" i="1"/>
  <c r="AB28" i="1"/>
  <c r="AC28" i="1"/>
  <c r="C30" i="1"/>
  <c r="C29" i="1"/>
  <c r="F30" i="1"/>
  <c r="D30" i="1" s="1"/>
  <c r="F29" i="1"/>
  <c r="J11" i="1"/>
  <c r="F177" i="1"/>
  <c r="C177" i="1"/>
  <c r="Q52" i="4"/>
  <c r="L52" i="4"/>
  <c r="I239" i="1"/>
  <c r="F51" i="4" s="1"/>
  <c r="Z98" i="1"/>
  <c r="P99" i="1"/>
  <c r="P98" i="1"/>
  <c r="F28" i="1" l="1"/>
  <c r="D28" i="1" s="1"/>
  <c r="D98" i="1"/>
  <c r="D86" i="1"/>
  <c r="P214" i="1"/>
  <c r="D29" i="1"/>
  <c r="D177" i="1"/>
  <c r="Z218" i="1" l="1"/>
  <c r="U218" i="1"/>
  <c r="P218" i="1"/>
  <c r="F218" i="1"/>
  <c r="C218" i="1"/>
  <c r="Z217" i="1"/>
  <c r="U217" i="1"/>
  <c r="P217" i="1"/>
  <c r="F217" i="1"/>
  <c r="C217" i="1"/>
  <c r="Z216" i="1"/>
  <c r="U216" i="1"/>
  <c r="P216" i="1"/>
  <c r="F216" i="1"/>
  <c r="C216" i="1"/>
  <c r="Z215" i="1"/>
  <c r="U215" i="1"/>
  <c r="P215" i="1"/>
  <c r="F215" i="1"/>
  <c r="C215" i="1"/>
  <c r="Z214" i="1"/>
  <c r="U214" i="1"/>
  <c r="F214" i="1"/>
  <c r="C214" i="1"/>
  <c r="Z213" i="1"/>
  <c r="U213" i="1"/>
  <c r="P213" i="1"/>
  <c r="F213" i="1"/>
  <c r="C213" i="1"/>
  <c r="Z211" i="1"/>
  <c r="U211" i="1"/>
  <c r="P211" i="1"/>
  <c r="F211" i="1"/>
  <c r="C211" i="1"/>
  <c r="Z210" i="1"/>
  <c r="U210" i="1"/>
  <c r="P210" i="1"/>
  <c r="F210" i="1"/>
  <c r="C210" i="1"/>
  <c r="Z209" i="1"/>
  <c r="U209" i="1"/>
  <c r="P209" i="1"/>
  <c r="F209" i="1"/>
  <c r="C209" i="1"/>
  <c r="Z208" i="1"/>
  <c r="U208" i="1"/>
  <c r="P208" i="1"/>
  <c r="F208" i="1"/>
  <c r="C208" i="1"/>
  <c r="Z207" i="1"/>
  <c r="U207" i="1"/>
  <c r="P207" i="1"/>
  <c r="F207" i="1"/>
  <c r="C207" i="1"/>
  <c r="Z206" i="1"/>
  <c r="U206" i="1"/>
  <c r="F206" i="1"/>
  <c r="C206" i="1"/>
  <c r="Z205" i="1"/>
  <c r="U205" i="1"/>
  <c r="F205" i="1"/>
  <c r="C205" i="1"/>
  <c r="F203" i="1"/>
  <c r="X58" i="4"/>
  <c r="X56" i="4" s="1"/>
  <c r="AC58" i="4"/>
  <c r="AC56" i="4" s="1"/>
  <c r="I58" i="4"/>
  <c r="N58" i="4"/>
  <c r="N56" i="4" s="1"/>
  <c r="S58" i="4"/>
  <c r="S56" i="4" s="1"/>
  <c r="AB52" i="4"/>
  <c r="R52" i="4"/>
  <c r="O52" i="4" s="1"/>
  <c r="M52" i="4"/>
  <c r="J52" i="4" s="1"/>
  <c r="H52" i="4"/>
  <c r="AB50" i="4"/>
  <c r="Y50" i="4" s="1"/>
  <c r="W50" i="4"/>
  <c r="T50" i="4" s="1"/>
  <c r="R50" i="4"/>
  <c r="O50" i="4" s="1"/>
  <c r="Y52" i="4" l="1"/>
  <c r="X98" i="4"/>
  <c r="N98" i="4"/>
  <c r="AC98" i="4"/>
  <c r="S98" i="4"/>
  <c r="I98" i="4"/>
  <c r="I56" i="4"/>
  <c r="AH56" i="4" s="1"/>
  <c r="D203" i="1"/>
  <c r="D215" i="1"/>
  <c r="D217" i="1"/>
  <c r="D218" i="1"/>
  <c r="D214" i="1"/>
  <c r="D211" i="1"/>
  <c r="D216" i="1"/>
  <c r="D213" i="1"/>
  <c r="D207" i="1"/>
  <c r="D206" i="1"/>
  <c r="D208" i="1"/>
  <c r="D210" i="1"/>
  <c r="D205" i="1"/>
  <c r="D209" i="1"/>
  <c r="AH98" i="4" l="1"/>
  <c r="AA51" i="4" l="1"/>
  <c r="E125" i="8" l="1"/>
  <c r="W507" i="5" l="1"/>
  <c r="R507" i="5"/>
  <c r="AB507" i="5" l="1"/>
  <c r="Z99" i="1"/>
  <c r="Z43" i="1" l="1"/>
  <c r="C265" i="1"/>
  <c r="F265" i="1"/>
  <c r="K265" i="1"/>
  <c r="P265" i="1"/>
  <c r="U265" i="1"/>
  <c r="Z265" i="1"/>
  <c r="I269" i="1"/>
  <c r="D265" i="1" l="1"/>
  <c r="F52" i="4" l="1"/>
  <c r="E52" i="4" s="1"/>
  <c r="AD52" i="4" s="1"/>
  <c r="Z253" i="1"/>
  <c r="P253" i="1"/>
  <c r="D253" i="1" l="1"/>
  <c r="F15" i="8"/>
  <c r="AB55" i="4" l="1"/>
  <c r="AB58" i="4" s="1"/>
  <c r="AB56" i="4" s="1"/>
  <c r="AA55" i="4"/>
  <c r="Z55" i="4"/>
  <c r="W55" i="4"/>
  <c r="W58" i="4" s="1"/>
  <c r="W56" i="4" s="1"/>
  <c r="V55" i="4"/>
  <c r="U55" i="4"/>
  <c r="Q55" i="4"/>
  <c r="R58" i="4"/>
  <c r="R56" i="4" s="1"/>
  <c r="P55" i="4"/>
  <c r="M55" i="4"/>
  <c r="H55" i="4"/>
  <c r="G55" i="4"/>
  <c r="Z268" i="1"/>
  <c r="Z269" i="1" s="1"/>
  <c r="U268" i="1"/>
  <c r="U269" i="1" s="1"/>
  <c r="P268" i="1"/>
  <c r="P269" i="1" s="1"/>
  <c r="K268" i="1"/>
  <c r="K269" i="1" s="1"/>
  <c r="E239" i="1"/>
  <c r="G239" i="1"/>
  <c r="G51" i="4"/>
  <c r="E51" i="4" s="1"/>
  <c r="L239" i="1"/>
  <c r="Q239" i="1"/>
  <c r="V239" i="1"/>
  <c r="AA239" i="1"/>
  <c r="Y55" i="4" l="1"/>
  <c r="T55" i="4"/>
  <c r="O55" i="4"/>
  <c r="R98" i="4"/>
  <c r="W98" i="4"/>
  <c r="AB98" i="4"/>
  <c r="E55" i="4"/>
  <c r="J55" i="4"/>
  <c r="D268" i="1"/>
  <c r="D269" i="1" s="1"/>
  <c r="Z61" i="1"/>
  <c r="U61" i="1"/>
  <c r="P61" i="1"/>
  <c r="F61" i="1"/>
  <c r="Z60" i="1"/>
  <c r="U60" i="1"/>
  <c r="P60" i="1"/>
  <c r="F60" i="1"/>
  <c r="Z59" i="1"/>
  <c r="U59" i="1"/>
  <c r="P59" i="1"/>
  <c r="K59" i="1"/>
  <c r="F5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2" i="1"/>
  <c r="C170" i="1"/>
  <c r="C173" i="1"/>
  <c r="C174" i="1"/>
  <c r="C175" i="1"/>
  <c r="C171" i="1"/>
  <c r="C176" i="1"/>
  <c r="C91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2" i="1"/>
  <c r="F163" i="1"/>
  <c r="F166" i="1"/>
  <c r="F167" i="1"/>
  <c r="F172" i="1"/>
  <c r="F173" i="1"/>
  <c r="F174" i="1"/>
  <c r="F175" i="1"/>
  <c r="F171" i="1"/>
  <c r="F176" i="1"/>
  <c r="P91" i="1"/>
  <c r="P176" i="1"/>
  <c r="P171" i="1"/>
  <c r="P175" i="1"/>
  <c r="P174" i="1"/>
  <c r="P173" i="1"/>
  <c r="P170" i="1"/>
  <c r="P172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K58" i="1"/>
  <c r="K57" i="1"/>
  <c r="K54" i="1"/>
  <c r="K55" i="1"/>
  <c r="K56" i="1"/>
  <c r="K51" i="1"/>
  <c r="K52" i="1"/>
  <c r="K50" i="1"/>
  <c r="K46" i="1"/>
  <c r="K75" i="1" l="1"/>
  <c r="AD55" i="4"/>
  <c r="D60" i="1"/>
  <c r="D174" i="1"/>
  <c r="D167" i="1"/>
  <c r="D160" i="1"/>
  <c r="D152" i="1"/>
  <c r="D61" i="1"/>
  <c r="D91" i="1"/>
  <c r="D169" i="1"/>
  <c r="D163" i="1"/>
  <c r="D156" i="1"/>
  <c r="D171" i="1"/>
  <c r="D59" i="1"/>
  <c r="D148" i="1"/>
  <c r="D144" i="1"/>
  <c r="D140" i="1"/>
  <c r="D136" i="1"/>
  <c r="D132" i="1"/>
  <c r="D128" i="1"/>
  <c r="D124" i="1"/>
  <c r="D120" i="1"/>
  <c r="D116" i="1"/>
  <c r="D112" i="1"/>
  <c r="D176" i="1"/>
  <c r="D173" i="1"/>
  <c r="D166" i="1"/>
  <c r="D162" i="1"/>
  <c r="D159" i="1"/>
  <c r="D155" i="1"/>
  <c r="D151" i="1"/>
  <c r="D147" i="1"/>
  <c r="D143" i="1"/>
  <c r="D139" i="1"/>
  <c r="D135" i="1"/>
  <c r="D131" i="1"/>
  <c r="D127" i="1"/>
  <c r="D123" i="1"/>
  <c r="D119" i="1"/>
  <c r="D115" i="1"/>
  <c r="D111" i="1"/>
  <c r="D170" i="1"/>
  <c r="D165" i="1"/>
  <c r="D161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75" i="1"/>
  <c r="D172" i="1"/>
  <c r="D168" i="1"/>
  <c r="D164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Z58" i="1"/>
  <c r="U58" i="1"/>
  <c r="P58" i="1"/>
  <c r="F58" i="1"/>
  <c r="Z57" i="1"/>
  <c r="U57" i="1"/>
  <c r="P57" i="1"/>
  <c r="F57" i="1"/>
  <c r="D58" i="1" l="1"/>
  <c r="D57" i="1"/>
  <c r="C27" i="1" l="1"/>
  <c r="P27" i="1"/>
  <c r="K27" i="1"/>
  <c r="F27" i="1"/>
  <c r="F26" i="1"/>
  <c r="K26" i="1"/>
  <c r="P26" i="1"/>
  <c r="H50" i="4"/>
  <c r="M50" i="4"/>
  <c r="D27" i="1" l="1"/>
  <c r="D26" i="1"/>
  <c r="C26" i="1"/>
  <c r="C191" i="1"/>
  <c r="F191" i="1"/>
  <c r="P191" i="1"/>
  <c r="U191" i="1"/>
  <c r="Z191" i="1"/>
  <c r="AD27" i="4"/>
  <c r="D191" i="1" l="1"/>
  <c r="R518" i="5"/>
  <c r="W518" i="5"/>
  <c r="M196" i="5"/>
  <c r="H196" i="5"/>
  <c r="C196" i="5"/>
  <c r="P40" i="4"/>
  <c r="P38" i="4" s="1"/>
  <c r="F24" i="4"/>
  <c r="F40" i="4" l="1"/>
  <c r="F38" i="4"/>
  <c r="AD29" i="4"/>
  <c r="AB518" i="5"/>
  <c r="R196" i="5"/>
  <c r="W196" i="5"/>
  <c r="F25" i="1"/>
  <c r="C25" i="1"/>
  <c r="F24" i="1"/>
  <c r="AE38" i="4" l="1"/>
  <c r="E38" i="4"/>
  <c r="AB196" i="5"/>
  <c r="D25" i="1"/>
  <c r="Y82" i="4"/>
  <c r="P96" i="1" l="1"/>
  <c r="D96" i="1" s="1"/>
  <c r="C96" i="1"/>
  <c r="O259" i="1" l="1"/>
  <c r="F238" i="1" l="1"/>
  <c r="C192" i="1"/>
  <c r="Z238" i="1" l="1"/>
  <c r="P238" i="1"/>
  <c r="C238" i="1"/>
  <c r="D238" i="1" l="1"/>
  <c r="C24" i="1"/>
  <c r="C21" i="1"/>
  <c r="E21" i="1"/>
  <c r="Z109" i="1" l="1"/>
  <c r="F109" i="1"/>
  <c r="C109" i="1"/>
  <c r="Z108" i="1"/>
  <c r="U108" i="1"/>
  <c r="P108" i="1"/>
  <c r="F108" i="1"/>
  <c r="C108" i="1"/>
  <c r="Z56" i="1"/>
  <c r="U56" i="1"/>
  <c r="P56" i="1"/>
  <c r="F56" i="1"/>
  <c r="Z55" i="1"/>
  <c r="U55" i="1"/>
  <c r="P55" i="1"/>
  <c r="Z54" i="1"/>
  <c r="U54" i="1"/>
  <c r="P54" i="1"/>
  <c r="F54" i="1"/>
  <c r="Z53" i="1"/>
  <c r="U53" i="1"/>
  <c r="P53" i="1"/>
  <c r="F53" i="1"/>
  <c r="U75" i="1" l="1"/>
  <c r="D108" i="1"/>
  <c r="D55" i="1"/>
  <c r="D109" i="1"/>
  <c r="D54" i="1"/>
  <c r="D56" i="1"/>
  <c r="D53" i="1"/>
  <c r="F51" i="1"/>
  <c r="AC102" i="4" l="1"/>
  <c r="AB102" i="4"/>
  <c r="AA102" i="4"/>
  <c r="Z102" i="4"/>
  <c r="X102" i="4"/>
  <c r="W102" i="4"/>
  <c r="V102" i="4"/>
  <c r="U102" i="4"/>
  <c r="S102" i="4"/>
  <c r="R102" i="4"/>
  <c r="Q102" i="4"/>
  <c r="N90" i="4"/>
  <c r="N102" i="4" s="1"/>
  <c r="M90" i="4"/>
  <c r="L102" i="4"/>
  <c r="I102" i="4"/>
  <c r="H90" i="4"/>
  <c r="G102" i="4"/>
  <c r="AH85" i="4"/>
  <c r="AG85" i="4"/>
  <c r="AF85" i="4"/>
  <c r="AE85" i="4"/>
  <c r="J84" i="4"/>
  <c r="P102" i="4"/>
  <c r="K102" i="4"/>
  <c r="J76" i="4"/>
  <c r="E76" i="4"/>
  <c r="J68" i="4"/>
  <c r="E68" i="4"/>
  <c r="AH66" i="4"/>
  <c r="AG66" i="4"/>
  <c r="AF66" i="4"/>
  <c r="E66" i="4"/>
  <c r="E71" i="4" s="1"/>
  <c r="AH64" i="4"/>
  <c r="AG64" i="4"/>
  <c r="AF64" i="4"/>
  <c r="J64" i="4"/>
  <c r="AH63" i="4"/>
  <c r="AG63" i="4"/>
  <c r="AF63" i="4"/>
  <c r="J63" i="4"/>
  <c r="H46" i="4"/>
  <c r="AC40" i="4"/>
  <c r="AC96" i="4" s="1"/>
  <c r="AB40" i="4"/>
  <c r="AB96" i="4" s="1"/>
  <c r="AA40" i="4"/>
  <c r="AA96" i="4" s="1"/>
  <c r="X40" i="4"/>
  <c r="X96" i="4" s="1"/>
  <c r="W40" i="4"/>
  <c r="W96" i="4" s="1"/>
  <c r="V40" i="4"/>
  <c r="V96" i="4" s="1"/>
  <c r="S40" i="4"/>
  <c r="R40" i="4"/>
  <c r="Q40" i="4"/>
  <c r="P96" i="4"/>
  <c r="N40" i="4"/>
  <c r="N96" i="4" s="1"/>
  <c r="M40" i="4"/>
  <c r="M96" i="4" s="1"/>
  <c r="L40" i="4"/>
  <c r="L96" i="4" s="1"/>
  <c r="K96" i="4"/>
  <c r="I40" i="4"/>
  <c r="I96" i="4" s="1"/>
  <c r="H40" i="4"/>
  <c r="H96" i="4" s="1"/>
  <c r="G40" i="4"/>
  <c r="G96" i="4" s="1"/>
  <c r="Z96" i="4"/>
  <c r="U96" i="4"/>
  <c r="J37" i="4"/>
  <c r="E37" i="4"/>
  <c r="J31" i="4"/>
  <c r="E31" i="4"/>
  <c r="J30" i="4"/>
  <c r="J40" i="4" s="1"/>
  <c r="E30" i="4"/>
  <c r="E28" i="4"/>
  <c r="AD28" i="4" s="1"/>
  <c r="E26" i="4"/>
  <c r="AD26" i="4" s="1"/>
  <c r="E25" i="4"/>
  <c r="AD25" i="4" s="1"/>
  <c r="E24" i="4"/>
  <c r="AD19" i="4"/>
  <c r="F96" i="4"/>
  <c r="E16" i="4"/>
  <c r="AD16" i="4" s="1"/>
  <c r="E15" i="4"/>
  <c r="AD15" i="4" s="1"/>
  <c r="E13" i="4"/>
  <c r="AD13" i="4" s="1"/>
  <c r="Z262" i="1"/>
  <c r="P262" i="1"/>
  <c r="C262" i="1"/>
  <c r="AB261" i="1"/>
  <c r="AA261" i="1"/>
  <c r="R261" i="1"/>
  <c r="Q261" i="1"/>
  <c r="M261" i="1"/>
  <c r="L261" i="1"/>
  <c r="J261" i="1"/>
  <c r="I261" i="1"/>
  <c r="H261" i="1"/>
  <c r="G261" i="1"/>
  <c r="E261" i="1"/>
  <c r="Z260" i="1"/>
  <c r="P260" i="1"/>
  <c r="AB259" i="1"/>
  <c r="AA259" i="1"/>
  <c r="Y259" i="1"/>
  <c r="S259" i="1"/>
  <c r="R259" i="1"/>
  <c r="Q259" i="1"/>
  <c r="N259" i="1"/>
  <c r="M259" i="1"/>
  <c r="L259" i="1"/>
  <c r="J259" i="1"/>
  <c r="I259" i="1"/>
  <c r="H259" i="1"/>
  <c r="G259" i="1"/>
  <c r="E259" i="1"/>
  <c r="Z252" i="1"/>
  <c r="P252" i="1"/>
  <c r="Z251" i="1"/>
  <c r="P251" i="1"/>
  <c r="Z250" i="1"/>
  <c r="P250" i="1"/>
  <c r="K248" i="1"/>
  <c r="I256" i="1"/>
  <c r="AA243" i="1"/>
  <c r="Y243" i="1"/>
  <c r="V243" i="1"/>
  <c r="T243" i="1"/>
  <c r="S243" i="1"/>
  <c r="P53" i="4" s="1"/>
  <c r="R243" i="1"/>
  <c r="Q53" i="4" s="1"/>
  <c r="Q243" i="1"/>
  <c r="O243" i="1"/>
  <c r="N243" i="1"/>
  <c r="K53" i="4" s="1"/>
  <c r="M243" i="1"/>
  <c r="L53" i="4" s="1"/>
  <c r="L243" i="1"/>
  <c r="J243" i="1"/>
  <c r="I243" i="1"/>
  <c r="F53" i="4" s="1"/>
  <c r="H243" i="1"/>
  <c r="G53" i="4" s="1"/>
  <c r="G243" i="1"/>
  <c r="E243" i="1"/>
  <c r="Z242" i="1"/>
  <c r="D242" i="1" s="1"/>
  <c r="AC243" i="1"/>
  <c r="Z53" i="4" s="1"/>
  <c r="X243" i="1"/>
  <c r="U53" i="4" s="1"/>
  <c r="F241" i="1"/>
  <c r="C243" i="1"/>
  <c r="Z107" i="1"/>
  <c r="F107" i="1"/>
  <c r="C107" i="1"/>
  <c r="Z195" i="1"/>
  <c r="U195" i="1"/>
  <c r="P195" i="1"/>
  <c r="F195" i="1"/>
  <c r="C195" i="1"/>
  <c r="Z201" i="1"/>
  <c r="U201" i="1"/>
  <c r="P201" i="1"/>
  <c r="F201" i="1"/>
  <c r="C201" i="1"/>
  <c r="Z200" i="1"/>
  <c r="U200" i="1"/>
  <c r="P200" i="1"/>
  <c r="F200" i="1"/>
  <c r="C200" i="1"/>
  <c r="Z202" i="1"/>
  <c r="U202" i="1"/>
  <c r="P202" i="1"/>
  <c r="F202" i="1"/>
  <c r="C202" i="1"/>
  <c r="Z192" i="1"/>
  <c r="U192" i="1"/>
  <c r="P192" i="1"/>
  <c r="F192" i="1"/>
  <c r="S239" i="1"/>
  <c r="P103" i="1"/>
  <c r="F103" i="1"/>
  <c r="Z199" i="1"/>
  <c r="U199" i="1"/>
  <c r="P199" i="1"/>
  <c r="F199" i="1"/>
  <c r="C199" i="1"/>
  <c r="Z196" i="1"/>
  <c r="U196" i="1"/>
  <c r="P196" i="1"/>
  <c r="F196" i="1"/>
  <c r="C196" i="1"/>
  <c r="Z193" i="1"/>
  <c r="U193" i="1"/>
  <c r="P193" i="1"/>
  <c r="F193" i="1"/>
  <c r="C193" i="1"/>
  <c r="Z194" i="1"/>
  <c r="U194" i="1"/>
  <c r="P194" i="1"/>
  <c r="F194" i="1"/>
  <c r="C194" i="1"/>
  <c r="Z197" i="1"/>
  <c r="U197" i="1"/>
  <c r="P197" i="1"/>
  <c r="F197" i="1"/>
  <c r="C197" i="1"/>
  <c r="Z198" i="1"/>
  <c r="U198" i="1"/>
  <c r="P198" i="1"/>
  <c r="F198" i="1"/>
  <c r="C198" i="1"/>
  <c r="K84" i="1"/>
  <c r="D84" i="1" s="1"/>
  <c r="C84" i="1"/>
  <c r="K83" i="1"/>
  <c r="C83" i="1"/>
  <c r="K82" i="1"/>
  <c r="C82" i="1"/>
  <c r="C81" i="1"/>
  <c r="D80" i="1"/>
  <c r="K79" i="1"/>
  <c r="Z78" i="1"/>
  <c r="D78" i="1" s="1"/>
  <c r="P101" i="1"/>
  <c r="K88" i="1"/>
  <c r="C88" i="1"/>
  <c r="Q49" i="4"/>
  <c r="K99" i="1"/>
  <c r="D99" i="1" s="1"/>
  <c r="C99" i="1"/>
  <c r="Z93" i="1"/>
  <c r="D93" i="1" s="1"/>
  <c r="Z47" i="4"/>
  <c r="AA47" i="4"/>
  <c r="U47" i="4"/>
  <c r="V47" i="4"/>
  <c r="Q47" i="4"/>
  <c r="L47" i="4"/>
  <c r="Z52" i="1"/>
  <c r="P52" i="1"/>
  <c r="P51" i="1"/>
  <c r="Z49" i="1"/>
  <c r="P46" i="1"/>
  <c r="F45" i="1"/>
  <c r="F75" i="1" s="1"/>
  <c r="AC43" i="1"/>
  <c r="AB43" i="1"/>
  <c r="H53" i="4"/>
  <c r="S43" i="1"/>
  <c r="F23" i="1"/>
  <c r="AC23" i="1"/>
  <c r="AB23" i="1"/>
  <c r="Z23" i="1"/>
  <c r="Y23" i="1"/>
  <c r="X23" i="1"/>
  <c r="W23" i="1"/>
  <c r="U23" i="1"/>
  <c r="T23" i="1"/>
  <c r="S23" i="1"/>
  <c r="R23" i="1"/>
  <c r="O23" i="1"/>
  <c r="N23" i="1"/>
  <c r="M23" i="1"/>
  <c r="J23" i="1"/>
  <c r="I23" i="1"/>
  <c r="H23" i="1"/>
  <c r="G23" i="1"/>
  <c r="C23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L21" i="1"/>
  <c r="J21" i="1"/>
  <c r="I21" i="1"/>
  <c r="H21" i="1"/>
  <c r="G21" i="1"/>
  <c r="Z14" i="1"/>
  <c r="U14" i="1"/>
  <c r="K14" i="1"/>
  <c r="C14" i="1"/>
  <c r="Z13" i="1"/>
  <c r="U13" i="1"/>
  <c r="P13" i="1"/>
  <c r="K13" i="1"/>
  <c r="F13" i="1"/>
  <c r="C13" i="1"/>
  <c r="Z12" i="1"/>
  <c r="S11" i="1"/>
  <c r="R11" i="1"/>
  <c r="C12" i="1"/>
  <c r="AC11" i="1"/>
  <c r="AB11" i="1"/>
  <c r="AA11" i="1"/>
  <c r="Y11" i="1"/>
  <c r="W11" i="1"/>
  <c r="V11" i="1"/>
  <c r="T11" i="1"/>
  <c r="Q11" i="1"/>
  <c r="O11" i="1"/>
  <c r="M11" i="1"/>
  <c r="L11" i="1"/>
  <c r="I11" i="1"/>
  <c r="H11" i="1"/>
  <c r="G11" i="1"/>
  <c r="E11" i="1"/>
  <c r="C588" i="5"/>
  <c r="W520" i="5"/>
  <c r="R520" i="5"/>
  <c r="M520" i="5"/>
  <c r="W519" i="5"/>
  <c r="R519" i="5"/>
  <c r="M519" i="5"/>
  <c r="H519" i="5"/>
  <c r="C519" i="5"/>
  <c r="M510" i="5"/>
  <c r="H510" i="5"/>
  <c r="C510" i="5"/>
  <c r="M479" i="5"/>
  <c r="H479" i="5"/>
  <c r="C479" i="5"/>
  <c r="M471" i="5"/>
  <c r="H471" i="5"/>
  <c r="C471" i="5"/>
  <c r="W172" i="5"/>
  <c r="R172" i="5"/>
  <c r="M172" i="5"/>
  <c r="H172" i="5"/>
  <c r="M129" i="5"/>
  <c r="H129" i="5"/>
  <c r="C114" i="5"/>
  <c r="AB114" i="5" s="1"/>
  <c r="M41" i="5"/>
  <c r="H41" i="5"/>
  <c r="C41" i="5"/>
  <c r="M10" i="5"/>
  <c r="H10" i="5"/>
  <c r="C10" i="5"/>
  <c r="O256" i="1" l="1"/>
  <c r="J33" i="1"/>
  <c r="P23" i="1"/>
  <c r="D14" i="1"/>
  <c r="H264" i="1"/>
  <c r="U11" i="1"/>
  <c r="N43" i="1"/>
  <c r="K46" i="4" s="1"/>
  <c r="H33" i="1"/>
  <c r="T33" i="1"/>
  <c r="W33" i="1"/>
  <c r="R33" i="1"/>
  <c r="E43" i="1"/>
  <c r="Z75" i="1"/>
  <c r="U239" i="1"/>
  <c r="P75" i="1"/>
  <c r="S33" i="1"/>
  <c r="X33" i="1"/>
  <c r="C101" i="1"/>
  <c r="C239" i="1"/>
  <c r="F243" i="1"/>
  <c r="P248" i="1"/>
  <c r="G33" i="1"/>
  <c r="I33" i="1"/>
  <c r="N33" i="1"/>
  <c r="R589" i="5"/>
  <c r="Q96" i="4"/>
  <c r="AF96" i="4" s="1"/>
  <c r="Q38" i="4"/>
  <c r="AF38" i="4" s="1"/>
  <c r="S96" i="4"/>
  <c r="AH96" i="4" s="1"/>
  <c r="S38" i="4"/>
  <c r="AH38" i="4" s="1"/>
  <c r="R96" i="4"/>
  <c r="R38" i="4"/>
  <c r="AG38" i="4" s="1"/>
  <c r="J71" i="4"/>
  <c r="J100" i="4" s="1"/>
  <c r="C591" i="5"/>
  <c r="C589" i="5" s="1"/>
  <c r="M591" i="5"/>
  <c r="M589" i="5" s="1"/>
  <c r="W591" i="5"/>
  <c r="W589" i="5"/>
  <c r="R591" i="5"/>
  <c r="H102" i="4"/>
  <c r="E90" i="4"/>
  <c r="M102" i="4"/>
  <c r="J90" i="4"/>
  <c r="S256" i="1"/>
  <c r="J256" i="1"/>
  <c r="P247" i="1"/>
  <c r="J264" i="1"/>
  <c r="O47" i="4"/>
  <c r="Y47" i="4"/>
  <c r="O53" i="4"/>
  <c r="P11" i="1"/>
  <c r="T47" i="4"/>
  <c r="O49" i="4"/>
  <c r="AD84" i="4"/>
  <c r="Y102" i="4"/>
  <c r="T102" i="4"/>
  <c r="D250" i="1"/>
  <c r="D252" i="1"/>
  <c r="Z263" i="1"/>
  <c r="D251" i="1"/>
  <c r="K259" i="1"/>
  <c r="D262" i="1"/>
  <c r="D260" i="1"/>
  <c r="AD30" i="4"/>
  <c r="N256" i="1"/>
  <c r="K239" i="1"/>
  <c r="K47" i="4"/>
  <c r="J47" i="4" s="1"/>
  <c r="C37" i="1"/>
  <c r="H591" i="5"/>
  <c r="H589" i="5" s="1"/>
  <c r="AD31" i="4"/>
  <c r="AD24" i="4"/>
  <c r="K101" i="1"/>
  <c r="J96" i="4"/>
  <c r="J50" i="4"/>
  <c r="K49" i="4"/>
  <c r="K261" i="1"/>
  <c r="F248" i="1"/>
  <c r="F256" i="1" s="1"/>
  <c r="AA43" i="1"/>
  <c r="D82" i="1"/>
  <c r="R264" i="1"/>
  <c r="AC33" i="1"/>
  <c r="Y43" i="1"/>
  <c r="D88" i="1"/>
  <c r="D103" i="1"/>
  <c r="F43" i="1"/>
  <c r="J43" i="1"/>
  <c r="I43" i="1"/>
  <c r="F46" i="4" s="1"/>
  <c r="O43" i="1"/>
  <c r="G43" i="1"/>
  <c r="H43" i="1"/>
  <c r="G46" i="4" s="1"/>
  <c r="D202" i="1"/>
  <c r="Z46" i="4"/>
  <c r="P46" i="4"/>
  <c r="T43" i="1"/>
  <c r="AB172" i="5"/>
  <c r="AE96" i="4"/>
  <c r="F239" i="1"/>
  <c r="L43" i="1"/>
  <c r="Q43" i="1"/>
  <c r="V43" i="1"/>
  <c r="AA46" i="4"/>
  <c r="R43" i="1"/>
  <c r="Q46" i="4" s="1"/>
  <c r="V46" i="4"/>
  <c r="O100" i="4"/>
  <c r="AH102" i="4"/>
  <c r="F101" i="1"/>
  <c r="AF102" i="4"/>
  <c r="AG96" i="4"/>
  <c r="AE90" i="4"/>
  <c r="F102" i="4"/>
  <c r="AE102" i="4" s="1"/>
  <c r="H101" i="1"/>
  <c r="G49" i="4" s="1"/>
  <c r="I101" i="1"/>
  <c r="F49" i="4" s="1"/>
  <c r="E100" i="4"/>
  <c r="U100" i="4"/>
  <c r="C248" i="1"/>
  <c r="Z248" i="1"/>
  <c r="Z247" i="1" s="1"/>
  <c r="Z246" i="1" s="1"/>
  <c r="H47" i="4"/>
  <c r="E47" i="4" s="1"/>
  <c r="Q33" i="1"/>
  <c r="E23" i="1"/>
  <c r="E33" i="1" s="1"/>
  <c r="C15" i="1"/>
  <c r="U43" i="1"/>
  <c r="I264" i="1"/>
  <c r="I266" i="1" s="1"/>
  <c r="N264" i="1"/>
  <c r="AA264" i="1"/>
  <c r="E264" i="1"/>
  <c r="Q264" i="1"/>
  <c r="AB264" i="1"/>
  <c r="M264" i="1"/>
  <c r="G264" i="1"/>
  <c r="L264" i="1"/>
  <c r="K51" i="4"/>
  <c r="P51" i="4"/>
  <c r="V51" i="4"/>
  <c r="U51" i="4"/>
  <c r="L51" i="4"/>
  <c r="R239" i="1"/>
  <c r="Q51" i="4" s="1"/>
  <c r="Z51" i="4"/>
  <c r="Y51" i="4" s="1"/>
  <c r="F21" i="1"/>
  <c r="AA49" i="4"/>
  <c r="H256" i="1"/>
  <c r="M256" i="1"/>
  <c r="AB256" i="1"/>
  <c r="E256" i="1"/>
  <c r="AA256" i="1"/>
  <c r="AG90" i="4"/>
  <c r="AD68" i="4"/>
  <c r="AH71" i="4"/>
  <c r="AH90" i="4"/>
  <c r="X256" i="1"/>
  <c r="X266" i="1" s="1"/>
  <c r="AB479" i="5"/>
  <c r="Z259" i="1"/>
  <c r="AF71" i="4"/>
  <c r="AB41" i="5"/>
  <c r="AB471" i="5"/>
  <c r="AF40" i="4"/>
  <c r="AD76" i="4"/>
  <c r="G256" i="1"/>
  <c r="Q256" i="1"/>
  <c r="Z11" i="1"/>
  <c r="P259" i="1"/>
  <c r="AB519" i="5"/>
  <c r="AB129" i="5"/>
  <c r="AB520" i="5"/>
  <c r="AB510" i="5"/>
  <c r="AD81" i="4"/>
  <c r="E82" i="4"/>
  <c r="AF90" i="4"/>
  <c r="E17" i="4"/>
  <c r="AD17" i="4" s="1"/>
  <c r="Y96" i="4"/>
  <c r="AG40" i="4"/>
  <c r="I93" i="4"/>
  <c r="S93" i="4"/>
  <c r="AC93" i="4"/>
  <c r="T100" i="4"/>
  <c r="O40" i="4"/>
  <c r="AH40" i="4"/>
  <c r="J82" i="4"/>
  <c r="AD67" i="4"/>
  <c r="AG71" i="4"/>
  <c r="AE40" i="4"/>
  <c r="D12" i="1"/>
  <c r="Y33" i="1"/>
  <c r="D46" i="1"/>
  <c r="W93" i="4"/>
  <c r="AB33" i="1"/>
  <c r="D50" i="1"/>
  <c r="K247" i="1"/>
  <c r="T40" i="4"/>
  <c r="T96" i="4" s="1"/>
  <c r="N93" i="4"/>
  <c r="X93" i="4"/>
  <c r="AD64" i="4"/>
  <c r="AD66" i="4"/>
  <c r="AB10" i="5"/>
  <c r="P246" i="1"/>
  <c r="R93" i="4"/>
  <c r="AB93" i="4"/>
  <c r="D51" i="1"/>
  <c r="C19" i="1"/>
  <c r="D107" i="1"/>
  <c r="D197" i="1"/>
  <c r="D196" i="1"/>
  <c r="D199" i="1"/>
  <c r="D45" i="1"/>
  <c r="K11" i="1"/>
  <c r="V33" i="1"/>
  <c r="D192" i="1"/>
  <c r="D201" i="1"/>
  <c r="D195" i="1"/>
  <c r="Y256" i="1"/>
  <c r="P258" i="1"/>
  <c r="P261" i="1"/>
  <c r="Z261" i="1"/>
  <c r="S264" i="1"/>
  <c r="D193" i="1"/>
  <c r="C11" i="1"/>
  <c r="D13" i="1"/>
  <c r="F11" i="1"/>
  <c r="AA33" i="1"/>
  <c r="D198" i="1"/>
  <c r="W243" i="1"/>
  <c r="D49" i="1"/>
  <c r="D52" i="1"/>
  <c r="Z79" i="1"/>
  <c r="D79" i="1" s="1"/>
  <c r="D194" i="1"/>
  <c r="D200" i="1"/>
  <c r="W256" i="1"/>
  <c r="C259" i="1"/>
  <c r="U247" i="1"/>
  <c r="D37" i="1"/>
  <c r="V256" i="1"/>
  <c r="K263" i="1"/>
  <c r="M33" i="1"/>
  <c r="C20" i="1"/>
  <c r="AB243" i="1"/>
  <c r="Z241" i="1"/>
  <c r="D241" i="1" s="1"/>
  <c r="D243" i="1" s="1"/>
  <c r="E53" i="4"/>
  <c r="L256" i="1"/>
  <c r="R256" i="1"/>
  <c r="T256" i="1"/>
  <c r="T266" i="1" s="1"/>
  <c r="AC256" i="1"/>
  <c r="Z258" i="1"/>
  <c r="F261" i="1"/>
  <c r="O261" i="1"/>
  <c r="C261" i="1"/>
  <c r="J53" i="4"/>
  <c r="Y264" i="1"/>
  <c r="AH58" i="4"/>
  <c r="F33" i="1" l="1"/>
  <c r="D258" i="1"/>
  <c r="D259" i="1"/>
  <c r="D248" i="1"/>
  <c r="O266" i="1"/>
  <c r="D247" i="1"/>
  <c r="E49" i="4"/>
  <c r="D239" i="1"/>
  <c r="Z239" i="1"/>
  <c r="D75" i="1"/>
  <c r="AG102" i="4"/>
  <c r="U45" i="4"/>
  <c r="U33" i="1"/>
  <c r="P33" i="1"/>
  <c r="P43" i="1"/>
  <c r="J266" i="1"/>
  <c r="J272" i="1" s="1"/>
  <c r="J270" i="1" s="1"/>
  <c r="O96" i="4"/>
  <c r="O38" i="4"/>
  <c r="AD38" i="4" s="1"/>
  <c r="P239" i="1"/>
  <c r="P256" i="1"/>
  <c r="Y46" i="4"/>
  <c r="O51" i="4"/>
  <c r="O46" i="4"/>
  <c r="T51" i="4"/>
  <c r="Y49" i="4"/>
  <c r="K43" i="1"/>
  <c r="O102" i="4"/>
  <c r="T270" i="1"/>
  <c r="D261" i="1"/>
  <c r="G45" i="4"/>
  <c r="V45" i="4"/>
  <c r="H45" i="4"/>
  <c r="I272" i="1"/>
  <c r="I270" i="1" s="1"/>
  <c r="U54" i="4"/>
  <c r="AA266" i="1"/>
  <c r="AA272" i="1" s="1"/>
  <c r="AA270" i="1" s="1"/>
  <c r="Y266" i="1"/>
  <c r="AD37" i="4"/>
  <c r="AD40" i="4" s="1"/>
  <c r="AB588" i="5"/>
  <c r="AB591" i="5" s="1"/>
  <c r="AB589" i="5" s="1"/>
  <c r="AD47" i="4"/>
  <c r="L33" i="1"/>
  <c r="K24" i="1"/>
  <c r="D24" i="1" s="1"/>
  <c r="J102" i="4"/>
  <c r="I104" i="4"/>
  <c r="I91" i="4"/>
  <c r="AC104" i="4"/>
  <c r="AC91" i="4"/>
  <c r="N104" i="4"/>
  <c r="N91" i="4"/>
  <c r="X104" i="4"/>
  <c r="X91" i="4"/>
  <c r="S104" i="4"/>
  <c r="S91" i="4"/>
  <c r="C256" i="1"/>
  <c r="R104" i="4"/>
  <c r="R91" i="4"/>
  <c r="W104" i="4"/>
  <c r="W91" i="4"/>
  <c r="AB104" i="4"/>
  <c r="AB91" i="4"/>
  <c r="E102" i="4"/>
  <c r="AB266" i="1"/>
  <c r="AA54" i="4" s="1"/>
  <c r="S266" i="1"/>
  <c r="P54" i="4" s="1"/>
  <c r="O54" i="4" s="1"/>
  <c r="Z101" i="1"/>
  <c r="M43" i="1"/>
  <c r="L46" i="4" s="1"/>
  <c r="J46" i="4" s="1"/>
  <c r="E40" i="4"/>
  <c r="E96" i="4" s="1"/>
  <c r="C43" i="1"/>
  <c r="AE63" i="4"/>
  <c r="Z100" i="4"/>
  <c r="AE100" i="4" s="1"/>
  <c r="Y100" i="4"/>
  <c r="J51" i="4"/>
  <c r="E50" i="4"/>
  <c r="AD50" i="4" s="1"/>
  <c r="N266" i="1"/>
  <c r="K54" i="4" s="1"/>
  <c r="J54" i="4" s="1"/>
  <c r="L266" i="1"/>
  <c r="G266" i="1"/>
  <c r="G272" i="1" s="1"/>
  <c r="R266" i="1"/>
  <c r="R272" i="1" s="1"/>
  <c r="V266" i="1"/>
  <c r="V272" i="1" s="1"/>
  <c r="Q266" i="1"/>
  <c r="Q272" i="1" s="1"/>
  <c r="H266" i="1"/>
  <c r="H272" i="1" s="1"/>
  <c r="W266" i="1"/>
  <c r="V54" i="4" s="1"/>
  <c r="M266" i="1"/>
  <c r="E266" i="1"/>
  <c r="K264" i="1"/>
  <c r="F264" i="1"/>
  <c r="P264" i="1"/>
  <c r="AC264" i="1"/>
  <c r="Z264" i="1" s="1"/>
  <c r="P263" i="1"/>
  <c r="Q45" i="4"/>
  <c r="P45" i="4"/>
  <c r="F45" i="4"/>
  <c r="F58" i="4" s="1"/>
  <c r="F56" i="4" s="1"/>
  <c r="AD63" i="4"/>
  <c r="U246" i="1"/>
  <c r="D246" i="1" s="1"/>
  <c r="C264" i="1"/>
  <c r="AH93" i="4"/>
  <c r="D11" i="1"/>
  <c r="Z45" i="4"/>
  <c r="AA53" i="4"/>
  <c r="Y53" i="4" s="1"/>
  <c r="V53" i="4"/>
  <c r="T53" i="4" s="1"/>
  <c r="AD82" i="4"/>
  <c r="AD90" i="4" s="1"/>
  <c r="U46" i="4"/>
  <c r="T46" i="4" s="1"/>
  <c r="AE66" i="4"/>
  <c r="AE64" i="4"/>
  <c r="D43" i="1"/>
  <c r="E46" i="4"/>
  <c r="L45" i="4"/>
  <c r="K45" i="4"/>
  <c r="K256" i="1"/>
  <c r="Z243" i="1"/>
  <c r="U256" i="1"/>
  <c r="U266" i="1" s="1"/>
  <c r="Z33" i="1" l="1"/>
  <c r="AH104" i="4"/>
  <c r="AH91" i="4"/>
  <c r="T45" i="4"/>
  <c r="C266" i="1"/>
  <c r="O45" i="4"/>
  <c r="AD71" i="4"/>
  <c r="AD100" i="4" s="1"/>
  <c r="S272" i="1"/>
  <c r="S270" i="1" s="1"/>
  <c r="D256" i="1"/>
  <c r="T54" i="4"/>
  <c r="AD102" i="4"/>
  <c r="AB272" i="1"/>
  <c r="AB270" i="1" s="1"/>
  <c r="Q270" i="1"/>
  <c r="M272" i="1"/>
  <c r="M270" i="1" s="1"/>
  <c r="V270" i="1"/>
  <c r="N272" i="1"/>
  <c r="N270" i="1" s="1"/>
  <c r="D264" i="1"/>
  <c r="K23" i="1"/>
  <c r="AC266" i="1"/>
  <c r="AC272" i="1" s="1"/>
  <c r="AD51" i="4"/>
  <c r="AD96" i="4"/>
  <c r="AE71" i="4"/>
  <c r="AD46" i="4"/>
  <c r="AD53" i="4"/>
  <c r="K58" i="4"/>
  <c r="F266" i="1"/>
  <c r="F272" i="1" s="1"/>
  <c r="F270" i="1" s="1"/>
  <c r="Q58" i="4"/>
  <c r="Q56" i="4" s="1"/>
  <c r="L58" i="4"/>
  <c r="L56" i="4" s="1"/>
  <c r="K266" i="1"/>
  <c r="P266" i="1"/>
  <c r="E45" i="4"/>
  <c r="P58" i="4"/>
  <c r="R270" i="1"/>
  <c r="H54" i="4"/>
  <c r="H58" i="4" s="1"/>
  <c r="H56" i="4" s="1"/>
  <c r="G270" i="1"/>
  <c r="G54" i="4"/>
  <c r="G58" i="4" s="1"/>
  <c r="G56" i="4" s="1"/>
  <c r="H270" i="1"/>
  <c r="AA45" i="4"/>
  <c r="AA58" i="4" s="1"/>
  <c r="AA56" i="4" s="1"/>
  <c r="Z256" i="1"/>
  <c r="Z266" i="1" s="1"/>
  <c r="J49" i="4"/>
  <c r="K33" i="1" l="1"/>
  <c r="D23" i="1"/>
  <c r="D33" i="1" s="1"/>
  <c r="D266" i="1"/>
  <c r="P272" i="1"/>
  <c r="Y45" i="4"/>
  <c r="P56" i="4"/>
  <c r="O56" i="4" s="1"/>
  <c r="O58" i="4"/>
  <c r="E56" i="4"/>
  <c r="M45" i="4"/>
  <c r="M58" i="4" s="1"/>
  <c r="M56" i="4" s="1"/>
  <c r="AG56" i="4" s="1"/>
  <c r="L272" i="1"/>
  <c r="L270" i="1" s="1"/>
  <c r="K93" i="4"/>
  <c r="K91" i="4" s="1"/>
  <c r="K56" i="4"/>
  <c r="AC270" i="1"/>
  <c r="Z54" i="4"/>
  <c r="Y54" i="4" s="1"/>
  <c r="P98" i="4"/>
  <c r="K98" i="4"/>
  <c r="AA98" i="4"/>
  <c r="H98" i="4"/>
  <c r="L93" i="4"/>
  <c r="L98" i="4"/>
  <c r="Q93" i="4"/>
  <c r="Q98" i="4"/>
  <c r="P93" i="4"/>
  <c r="E54" i="4"/>
  <c r="AA93" i="4"/>
  <c r="AA91" i="4" s="1"/>
  <c r="H93" i="4"/>
  <c r="O93" i="4" l="1"/>
  <c r="J45" i="4"/>
  <c r="M93" i="4"/>
  <c r="M104" i="4" s="1"/>
  <c r="AG58" i="4"/>
  <c r="AG93" i="4" s="1"/>
  <c r="M98" i="4"/>
  <c r="AG98" i="4" s="1"/>
  <c r="J56" i="4"/>
  <c r="Z58" i="4"/>
  <c r="Z93" i="4" s="1"/>
  <c r="E58" i="4"/>
  <c r="E93" i="4" s="1"/>
  <c r="E91" i="4" s="1"/>
  <c r="AD54" i="4"/>
  <c r="AA104" i="4"/>
  <c r="P104" i="4"/>
  <c r="P91" i="4"/>
  <c r="Q104" i="4"/>
  <c r="Q91" i="4"/>
  <c r="K104" i="4"/>
  <c r="L104" i="4"/>
  <c r="L91" i="4"/>
  <c r="H104" i="4"/>
  <c r="H91" i="4"/>
  <c r="F98" i="4"/>
  <c r="G98" i="4"/>
  <c r="F93" i="4"/>
  <c r="G93" i="4"/>
  <c r="Y58" i="4"/>
  <c r="J58" i="4" l="1"/>
  <c r="J93" i="4" s="1"/>
  <c r="J91" i="4" s="1"/>
  <c r="AD45" i="4"/>
  <c r="AG104" i="4"/>
  <c r="AG91" i="4"/>
  <c r="O91" i="4"/>
  <c r="M91" i="4"/>
  <c r="Z56" i="4"/>
  <c r="Y56" i="4" s="1"/>
  <c r="Z98" i="4"/>
  <c r="G104" i="4"/>
  <c r="G91" i="4"/>
  <c r="F104" i="4"/>
  <c r="F91" i="4"/>
  <c r="E98" i="4"/>
  <c r="E104" i="4"/>
  <c r="O98" i="4"/>
  <c r="Y98" i="4"/>
  <c r="W101" i="1"/>
  <c r="J104" i="4" l="1"/>
  <c r="J98" i="4"/>
  <c r="Z104" i="4"/>
  <c r="Y93" i="4"/>
  <c r="Y104" i="4" s="1"/>
  <c r="V49" i="4"/>
  <c r="V58" i="4" s="1"/>
  <c r="V56" i="4" s="1"/>
  <c r="AF56" i="4" s="1"/>
  <c r="W272" i="1"/>
  <c r="W270" i="1" s="1"/>
  <c r="Z91" i="4"/>
  <c r="Y91" i="4" s="1"/>
  <c r="O104" i="4"/>
  <c r="U83" i="1"/>
  <c r="D83" i="1" s="1"/>
  <c r="D101" i="1" s="1"/>
  <c r="D272" i="1" s="1"/>
  <c r="D270" i="1" s="1"/>
  <c r="X101" i="1"/>
  <c r="U49" i="4" s="1"/>
  <c r="AF58" i="4" l="1"/>
  <c r="AF93" i="4" s="1"/>
  <c r="V93" i="4"/>
  <c r="V104" i="4" s="1"/>
  <c r="V98" i="4"/>
  <c r="AF98" i="4" s="1"/>
  <c r="T49" i="4"/>
  <c r="AD49" i="4" s="1"/>
  <c r="X272" i="1"/>
  <c r="X270" i="1" s="1"/>
  <c r="U101" i="1"/>
  <c r="AF104" i="4" l="1"/>
  <c r="AF91" i="4"/>
  <c r="V91" i="4"/>
  <c r="U58" i="4"/>
  <c r="U272" i="1"/>
  <c r="U270" i="1" s="1"/>
  <c r="AD58" i="4"/>
  <c r="AD93" i="4" s="1"/>
  <c r="U56" i="4" l="1"/>
  <c r="AE56" i="4" s="1"/>
  <c r="T58" i="4"/>
  <c r="T98" i="4" s="1"/>
  <c r="AE58" i="4"/>
  <c r="U93" i="4"/>
  <c r="U98" i="4"/>
  <c r="AE98" i="4" s="1"/>
  <c r="AD104" i="4"/>
  <c r="AD98" i="4"/>
  <c r="AE93" i="4" l="1"/>
  <c r="AE91" i="4" s="1"/>
  <c r="T56" i="4"/>
  <c r="AD56" i="4" s="1"/>
  <c r="U104" i="4"/>
  <c r="T93" i="4"/>
  <c r="T104" i="4" s="1"/>
  <c r="U91" i="4"/>
  <c r="T91" i="4" s="1"/>
  <c r="AD91" i="4" s="1"/>
  <c r="C17" i="1"/>
  <c r="AE104" i="4" l="1"/>
  <c r="O33" i="1"/>
  <c r="O272" i="1" s="1"/>
  <c r="O270" i="1" s="1"/>
  <c r="C16" i="1"/>
  <c r="C33" i="1" s="1"/>
  <c r="K272" i="1"/>
  <c r="K270" i="1" s="1"/>
  <c r="Y272" i="1"/>
  <c r="Y270" i="1" s="1"/>
  <c r="Z272" i="1"/>
  <c r="Z270" i="1" s="1"/>
</calcChain>
</file>

<file path=xl/comments1.xml><?xml version="1.0" encoding="utf-8"?>
<comments xmlns="http://schemas.openxmlformats.org/spreadsheetml/2006/main">
  <authors>
    <author>krasnova.ai</author>
  </authors>
  <commentList>
    <comment ref="B12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2022 года
</t>
        </r>
      </text>
    </comment>
  </commentList>
</comments>
</file>

<file path=xl/comments2.xml><?xml version="1.0" encoding="utf-8"?>
<comments xmlns="http://schemas.openxmlformats.org/spreadsheetml/2006/main">
  <authors>
    <author>Щербакова Екатерина Александровна</author>
    <author>krasnova.ai</author>
  </authors>
  <commentList>
    <comment ref="A32" authorId="0" shapeId="0">
      <text>
        <r>
          <rPr>
            <b/>
            <sz val="9"/>
            <color indexed="81"/>
            <rFont val="Tahoma"/>
            <family val="2"/>
            <charset val="204"/>
          </rPr>
          <t>Щербакова Екатерина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Добавили новое мероприятие</t>
        </r>
      </text>
    </comment>
    <comment ref="B64" authorId="1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65" authorId="1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(когда добавят областное финансирование добавить 1 индикатор)</t>
        </r>
      </text>
    </comment>
    <comment ref="B66" authorId="1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3 проекта</t>
        </r>
      </text>
    </comment>
  </commentList>
</comments>
</file>

<file path=xl/comments3.xml><?xml version="1.0" encoding="utf-8"?>
<comments xmlns="http://schemas.openxmlformats.org/spreadsheetml/2006/main">
  <authors>
    <author>krasnova.ai</author>
  </authors>
  <commentList>
    <comment ref="G9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</commentList>
</comments>
</file>

<file path=xl/sharedStrings.xml><?xml version="1.0" encoding="utf-8"?>
<sst xmlns="http://schemas.openxmlformats.org/spreadsheetml/2006/main" count="2277" uniqueCount="1396">
  <si>
    <t>Наименование мероприятий по объектам</t>
  </si>
  <si>
    <t>1.1.</t>
  </si>
  <si>
    <t>2.1.</t>
  </si>
  <si>
    <t>4.2.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</si>
  <si>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</si>
  <si>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</si>
  <si>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</si>
  <si>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</si>
  <si>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1.1.1.</t>
  </si>
  <si>
    <t>2.1.1.</t>
  </si>
  <si>
    <t>1.2.</t>
  </si>
  <si>
    <t>1.2.1.</t>
  </si>
  <si>
    <t>1.2.2.</t>
  </si>
  <si>
    <t>местный бюджет, тыс.руб.</t>
  </si>
  <si>
    <t>Стоимость работ по годам, тыс.руб.</t>
  </si>
  <si>
    <t>1.1.2.</t>
  </si>
  <si>
    <t>1.3.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</si>
  <si>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</si>
  <si>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</si>
  <si>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</si>
  <si>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</si>
  <si>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</si>
  <si>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</si>
  <si>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</si>
  <si>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</si>
  <si>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</si>
  <si>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</si>
  <si>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</si>
  <si>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</si>
  <si>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Казачья в жилой застройке  микрорайона Жигулевское море от ул. Ивана Красюка  до ул. Бориса Коваленко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</si>
  <si>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</si>
  <si>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</si>
  <si>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</si>
  <si>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</si>
  <si>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</si>
  <si>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</si>
  <si>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местный бюджет, тыс. руб.</t>
  </si>
  <si>
    <t>4.1.</t>
  </si>
  <si>
    <t>4.3.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</si>
  <si>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</si>
  <si>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</si>
  <si>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</si>
  <si>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Строительство улично-дорожной сети западнее Московского проспекта - первая очередь</t>
  </si>
  <si>
    <t>3.1.</t>
  </si>
  <si>
    <t>3.2.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</si>
  <si>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</si>
  <si>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</si>
  <si>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</si>
  <si>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</si>
  <si>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</si>
  <si>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</si>
  <si>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</si>
  <si>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</si>
  <si>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Департамент дорожного хозяйства и транспорта            администрации городского округа Тольятти</t>
  </si>
  <si>
    <t xml:space="preserve">Приобретение материалов для содержания ТСОДД, ремонта остановочных павильонов   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</si>
  <si>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</si>
  <si>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</si>
  <si>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</si>
  <si>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</si>
  <si>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</si>
  <si>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</si>
  <si>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</si>
  <si>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</si>
  <si>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</si>
  <si>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</si>
  <si>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</si>
  <si>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</si>
  <si>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</si>
  <si>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</si>
  <si>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</si>
  <si>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</si>
  <si>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</si>
  <si>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</si>
  <si>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</si>
  <si>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</si>
  <si>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</si>
  <si>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</si>
  <si>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</si>
  <si>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</si>
  <si>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>Нанесение горизонтальной дорожной разметки</t>
  </si>
  <si>
    <t>ИТОГО ПО ПОДПРОГРАММЕ "СУДС"</t>
  </si>
  <si>
    <t>Сроки реали-зации</t>
  </si>
  <si>
    <t>Центральный район:</t>
  </si>
  <si>
    <t>Комсомольский район: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</si>
  <si>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</si>
  <si>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</si>
  <si>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</si>
  <si>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Автодороги микрорайона Тимофеевка-2</t>
  </si>
  <si>
    <t>Автодороги микрорайона Федоровка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</si>
  <si>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</si>
  <si>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</si>
  <si>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</si>
  <si>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Итого Центральный район:</t>
  </si>
  <si>
    <t>Автодороги микрорайона Загородный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</si>
  <si>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</si>
  <si>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</si>
  <si>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</si>
  <si>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</si>
  <si>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</si>
  <si>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</si>
  <si>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</si>
  <si>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</si>
  <si>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</si>
  <si>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</si>
  <si>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</si>
  <si>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</si>
  <si>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</si>
  <si>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</si>
  <si>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</si>
  <si>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</si>
  <si>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</si>
  <si>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</si>
  <si>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</si>
  <si>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</si>
  <si>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</si>
  <si>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</si>
  <si>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</si>
  <si>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</si>
  <si>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</si>
  <si>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</si>
  <si>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</si>
  <si>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</si>
  <si>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</si>
  <si>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</si>
  <si>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</si>
  <si>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</si>
  <si>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</si>
  <si>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</si>
  <si>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</si>
  <si>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</si>
  <si>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</si>
  <si>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</si>
  <si>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</si>
  <si>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2.1.3.</t>
  </si>
  <si>
    <t>1.3.1.</t>
  </si>
  <si>
    <t>общего пользования?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</si>
  <si>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</si>
  <si>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</si>
  <si>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</si>
  <si>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</si>
  <si>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</si>
  <si>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</si>
  <si>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</si>
  <si>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</si>
  <si>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</si>
  <si>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</si>
  <si>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</si>
  <si>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</si>
  <si>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</si>
  <si>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</si>
  <si>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</si>
  <si>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</si>
  <si>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</si>
  <si>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</si>
  <si>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</si>
  <si>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</si>
  <si>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</si>
  <si>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</si>
  <si>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</si>
  <si>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Устройство парковочных площадок, карманов  и стоянок, в т.ч.: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</si>
  <si>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</si>
  <si>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</si>
  <si>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</si>
  <si>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</si>
  <si>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</si>
  <si>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</si>
  <si>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</si>
  <si>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</si>
  <si>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</si>
  <si>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</si>
  <si>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</si>
  <si>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</si>
  <si>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</si>
  <si>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</si>
  <si>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</si>
  <si>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</si>
  <si>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</si>
  <si>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</si>
  <si>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</si>
  <si>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</si>
  <si>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</si>
  <si>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</si>
  <si>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</si>
  <si>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</si>
  <si>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</si>
  <si>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</si>
  <si>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</si>
  <si>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</si>
  <si>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</si>
  <si>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</si>
  <si>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</si>
  <si>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</si>
  <si>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</si>
  <si>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</si>
  <si>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</si>
  <si>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</si>
  <si>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</si>
  <si>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</si>
  <si>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</si>
  <si>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</si>
  <si>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</si>
  <si>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</si>
  <si>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</si>
  <si>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</si>
  <si>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</si>
  <si>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</si>
  <si>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</si>
  <si>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Кольцевая транспортная развязка по Южному шоссе - ул.Полякова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</si>
  <si>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</si>
  <si>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</si>
  <si>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Строительство дороги по улице Владимира Высоцкого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</si>
  <si>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</si>
  <si>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Протяженность установленных пешеходных ограждений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</si>
  <si>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</si>
  <si>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</si>
  <si>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t>Строительство парковочных автостоянок вдоль Южных проходных ПАО "АВТОВАЗ" по Южному шоссе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</si>
  <si>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</si>
  <si>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Проектно-изыскательские работы по устройству подъездной дороги к поликлинике на 1000 посещений в смену</t>
  </si>
  <si>
    <t>Ремонт автопарковки в районе поликлиники на 500 посещений в смену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</si>
  <si>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</si>
  <si>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нераспределенный остаток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</si>
  <si>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</si>
  <si>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</si>
  <si>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</si>
  <si>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</si>
  <si>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</si>
  <si>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</si>
  <si>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</si>
  <si>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</si>
  <si>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</si>
  <si>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</si>
  <si>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</si>
  <si>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</si>
  <si>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</si>
  <si>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</si>
  <si>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</si>
  <si>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</si>
  <si>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</si>
  <si>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</si>
  <si>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Мира между ул. Родины и ул. Победы</t>
  </si>
  <si>
    <t>ул. Крупской от бульвара 50 лет Октября до ул. Шлютова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</si>
  <si>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</si>
  <si>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</si>
  <si>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</si>
  <si>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</si>
  <si>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</si>
  <si>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</si>
  <si>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</si>
  <si>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</si>
  <si>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</si>
  <si>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</si>
  <si>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</si>
  <si>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</si>
  <si>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</si>
  <si>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</si>
  <si>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</si>
  <si>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</si>
  <si>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</si>
  <si>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</si>
  <si>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</si>
  <si>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</si>
  <si>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</si>
  <si>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</si>
  <si>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</si>
  <si>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</si>
  <si>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</si>
  <si>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</si>
  <si>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</si>
  <si>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</si>
  <si>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</si>
  <si>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</si>
  <si>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</si>
  <si>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</si>
  <si>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</si>
  <si>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</si>
  <si>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</si>
  <si>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</si>
  <si>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</si>
  <si>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</si>
  <si>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</si>
  <si>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</si>
  <si>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</si>
  <si>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</si>
  <si>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</si>
  <si>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</si>
  <si>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</si>
  <si>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</si>
  <si>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линий наружного освещения ООТ "Парк-хаус"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</si>
  <si>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</si>
  <si>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</si>
  <si>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</si>
  <si>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</si>
  <si>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Установка дорожных знаков на  ул.Жилина, д. № 1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</si>
  <si>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</si>
  <si>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</si>
  <si>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</si>
  <si>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</si>
  <si>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</si>
  <si>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</si>
  <si>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</si>
  <si>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</si>
  <si>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</si>
  <si>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</si>
  <si>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</si>
  <si>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</si>
  <si>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</si>
  <si>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</si>
  <si>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</si>
  <si>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</si>
  <si>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</si>
  <si>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</si>
  <si>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</si>
  <si>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</si>
  <si>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</si>
  <si>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</si>
  <si>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</si>
  <si>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</si>
  <si>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</si>
  <si>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</si>
  <si>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</si>
  <si>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</si>
  <si>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Проектно-изыскательские работы по устройству линий наружного электроосвещения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</si>
  <si>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</si>
  <si>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</si>
  <si>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</si>
  <si>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</si>
  <si>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</si>
  <si>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</si>
  <si>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 Тольятти, ул.Автостроителей, д. №17, 38 ООТ "Школа №82"</t>
  </si>
  <si>
    <t>план на 2023: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</si>
  <si>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</si>
  <si>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</si>
  <si>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</si>
  <si>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</si>
  <si>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</si>
  <si>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</si>
  <si>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</si>
  <si>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</si>
  <si>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ПБДД</t>
  </si>
  <si>
    <t>МРАД</t>
  </si>
  <si>
    <t>СУДС</t>
  </si>
  <si>
    <t>РГПТ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</si>
  <si>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</si>
  <si>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</si>
  <si>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</si>
  <si>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</si>
  <si>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</si>
  <si>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</si>
  <si>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</si>
  <si>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</si>
  <si>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</si>
  <si>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</si>
  <si>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</si>
  <si>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</si>
  <si>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</si>
  <si>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</si>
  <si>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</si>
  <si>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</si>
  <si>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</si>
  <si>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</si>
  <si>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</si>
  <si>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</si>
  <si>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</si>
  <si>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Осуществление технологического присоединения энергопринимающих устройств к электрическим сетям</t>
  </si>
  <si>
    <t>Устройство линий наружного электроосвещения мест концентрации ДТП, в т.ч.: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</si>
  <si>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</si>
  <si>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</si>
  <si>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</si>
  <si>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</si>
  <si>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</si>
  <si>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</si>
  <si>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</si>
  <si>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Приобретение диагностической дорожной лаборатории</t>
  </si>
  <si>
    <t>2021-2022</t>
  </si>
  <si>
    <t>Проектно-изыскательские работы по капитальному ремонту автомобильной дороги к ОАО "Жито" от ул. Коммунистической</t>
  </si>
  <si>
    <t>Ремонт проезда Тупиковый, 2, строение, 3 до ул. Новозаводская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</si>
  <si>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</si>
  <si>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Проектно-изыскательские работы по строительству улично-дорожной сети в мкр. "Тимофеевка-2" (1 этап)</t>
  </si>
  <si>
    <t>Проектно-изыскательские работы по строительству улично-дорожной сети в мкр. Новоматюшкино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</si>
  <si>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</si>
  <si>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</si>
  <si>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</si>
  <si>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</si>
  <si>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Проектирование устройства парковочных площадок (карманов и стоянок), в т.ч.:</t>
  </si>
  <si>
    <t>Количество разработанной проектно-сметной документации по капитальному ремонту путепроводов</t>
  </si>
  <si>
    <t>Количество разработанной проектно-сметной документации по капитальному ремонту подземных пешеходных переходов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</si>
  <si>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</si>
  <si>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 xml:space="preserve">Количество разработанной проектно-сметной документации по устройству линии наружного освещения 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</si>
  <si>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</si>
  <si>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переход в районе ООТ «Парк Хаус»;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</si>
  <si>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</si>
  <si>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</si>
  <si>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</si>
  <si>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</si>
  <si>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</si>
  <si>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ранее принятых обязательств</t>
  </si>
  <si>
    <t>ул. Цеховая от ул.Вокзальной до ул.Северной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</si>
  <si>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</si>
  <si>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</si>
  <si>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Количество приобретенных передвижных специализированных дорожных лабораторий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</si>
  <si>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</si>
  <si>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</si>
  <si>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</si>
  <si>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</si>
  <si>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</si>
  <si>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</si>
  <si>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</si>
  <si>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</si>
  <si>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ул. Революционная от Ленинского пр-та до Приморского бульвара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</si>
  <si>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</si>
  <si>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 xml:space="preserve">план на 2021-2022: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</si>
  <si>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</si>
  <si>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</si>
  <si>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Выполнение работ по ремонту съездов с Поволжского шоссе на Обводное шоссе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</si>
  <si>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</si>
  <si>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</si>
  <si>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</si>
  <si>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</si>
  <si>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Выполнение работ по обеспечению безопасности участников дорожного движения</t>
  </si>
  <si>
    <t>Выполнение работ по обеспечению безопасности участников дорожного движения, в т.ч.:</t>
  </si>
  <si>
    <t>Количество разработанной документации по технологическому присоединению к электрическим сетям объектов реконструкции автомобильных дорог общего пользования местного значения городского округа Тольятти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</si>
  <si>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</si>
  <si>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</si>
  <si>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</si>
  <si>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</si>
  <si>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Количество отремонтированных путем капитального ремонта и ремонта путепроводов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</si>
  <si>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</si>
  <si>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</si>
  <si>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</si>
  <si>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</si>
  <si>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</si>
  <si>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</si>
  <si>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</si>
  <si>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</si>
  <si>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</si>
  <si>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</si>
  <si>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</si>
  <si>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</si>
  <si>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</si>
  <si>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</si>
  <si>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</si>
  <si>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</si>
  <si>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</si>
  <si>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 xml:space="preserve">Показатели (индикаторы) Стратегии, определенные Планом мероприятий по реализации Стратегии 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</si>
  <si>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</si>
  <si>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</si>
  <si>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Количество разработанной проектно-сметной документации по устройству линий наружного электроосвещения</t>
  </si>
  <si>
    <t>Устройство островков безопасности, пандусов, замена остановок общественного транспорта, в т.ч.:</t>
  </si>
  <si>
    <t>Устройство островков безопасности, пандусов, замена остановок общественного транспорта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</si>
  <si>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</si>
  <si>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</si>
  <si>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</si>
  <si>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3.1.1.</t>
  </si>
  <si>
    <t>3.2.1.</t>
  </si>
  <si>
    <t>4.1.1.</t>
  </si>
  <si>
    <t>4.2.1.</t>
  </si>
  <si>
    <t>4.3.1.</t>
  </si>
  <si>
    <t>Задача 3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</si>
  <si>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</si>
  <si>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1.</t>
  </si>
  <si>
    <t>2.</t>
  </si>
  <si>
    <t>2.1.4.</t>
  </si>
  <si>
    <t>2.1.5.</t>
  </si>
  <si>
    <t>2.1.6.</t>
  </si>
  <si>
    <t>2.1.7.</t>
  </si>
  <si>
    <t>2.1.8.</t>
  </si>
  <si>
    <t>1.1.4.</t>
  </si>
  <si>
    <t>1.1.5.</t>
  </si>
  <si>
    <t>1.1.6.</t>
  </si>
  <si>
    <t>1.1.7.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</si>
  <si>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</si>
  <si>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</si>
  <si>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</si>
  <si>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</si>
  <si>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</si>
  <si>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</si>
  <si>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</si>
  <si>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</si>
  <si>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</si>
  <si>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</si>
  <si>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3.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</si>
  <si>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</si>
  <si>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3.1.2.</t>
  </si>
  <si>
    <t>3.2.2.</t>
  </si>
  <si>
    <t>3.2.3.</t>
  </si>
  <si>
    <t>3.2.4.</t>
  </si>
  <si>
    <t xml:space="preserve">4. </t>
  </si>
  <si>
    <t>Задача 1 подпрограммы: совершенствование технического и технологического обеспечения транспортного обслуживания</t>
  </si>
  <si>
    <t>Задача 2 подпрограммы: обеспечение регулярных перевозок пассажиров по регулируемым тарифам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</si>
  <si>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</si>
  <si>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</si>
  <si>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</si>
  <si>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</si>
  <si>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</si>
  <si>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</si>
  <si>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2 подпрограммы: выполнение мероприятий по организации дорожного движения</t>
  </si>
  <si>
    <t>4.</t>
  </si>
  <si>
    <t xml:space="preserve">2.1.1. </t>
  </si>
  <si>
    <t>2.1.1.5.</t>
  </si>
  <si>
    <t>Итого по объектам строительства по разделу 2.1.1:</t>
  </si>
  <si>
    <t>2.1.2.1.</t>
  </si>
  <si>
    <t>2.1.2.2.</t>
  </si>
  <si>
    <t>2.1.2.3.</t>
  </si>
  <si>
    <t>2.1.2.4.</t>
  </si>
  <si>
    <t>2.1.2.4.1.</t>
  </si>
  <si>
    <t>2.1.2.4.2.</t>
  </si>
  <si>
    <t>2.1.2.5.</t>
  </si>
  <si>
    <t>Итого по объектам реконструкции по разделу 2.1.2: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</si>
  <si>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</si>
  <si>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2.1.3.23.</t>
  </si>
  <si>
    <t>Итого по  объектам проектирования строительства, реконструкции, капитального ремонта и ремонта по разделу 2.1.3:</t>
  </si>
  <si>
    <t>Итого по объектам капитального ремонта по разделу 2.1.4:</t>
  </si>
  <si>
    <t>2.1.5.104</t>
  </si>
  <si>
    <t>Итого по объектам ремонта дорог по разделу 2.1.5:</t>
  </si>
  <si>
    <t>Итого по объектам ремонта дворовых территорий по разделу 2.1.6:</t>
  </si>
  <si>
    <t>Итого по объектам отсыпки автомобильных дорог асфальтогранулятом по разделу 2.1.7:</t>
  </si>
  <si>
    <t>2.1.8.1.</t>
  </si>
  <si>
    <t>Итого по содержанию автомобильных дорог местного значения и внутриквартальных проездов по разделу 8:</t>
  </si>
  <si>
    <t>на 2021 г.</t>
  </si>
  <si>
    <t>на 2022 г.</t>
  </si>
  <si>
    <t>на 2023 г.</t>
  </si>
  <si>
    <t>на 2024 г.</t>
  </si>
  <si>
    <t>на 2025 г.</t>
  </si>
  <si>
    <t>4.3.2.</t>
  </si>
  <si>
    <t>Приобретение автобусов путем заключения муниципального контракта на оказание услуг финансовой аренды (лизинга)</t>
  </si>
  <si>
    <t>46,48 / -</t>
  </si>
  <si>
    <t>2021-2023</t>
  </si>
  <si>
    <t>2022-2024</t>
  </si>
  <si>
    <t>2023</t>
  </si>
  <si>
    <t xml:space="preserve">Капитальный ремонт путепровода через автодорогу Восточная завода - часть улицы Борковской 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</si>
  <si>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</si>
  <si>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км.</t>
  </si>
  <si>
    <t>Пробег специализированных автомобилей, осуществляющих перевозку маломобильных граждан</t>
  </si>
  <si>
    <t>Количество разработанной проектно-сметной документации по ремонту путепроводов</t>
  </si>
  <si>
    <t>Устройство бортового камня и устройство мест разворотов</t>
  </si>
  <si>
    <t>ул.Карбышева от ул.Комсомольская до ул.Баныкина</t>
  </si>
  <si>
    <t>ул.Комсомольская от ул.Родины до д.№94 по ул.Ленина</t>
  </si>
  <si>
    <t>ул.Ворошилова от ул.Дзержинского до ул.Офицерская</t>
  </si>
  <si>
    <t>Пр-т Степана Разина от ул.Дзержинского до Ленинского пр-та</t>
  </si>
  <si>
    <t>Поволжское шоссе от ул.Громовой до Обводного шоссе</t>
  </si>
  <si>
    <t>площадки южнее дома №77 по ул. Юбилейная</t>
  </si>
  <si>
    <t>Проектно-изыскательские работы по капитальному ремонту и ремонту путепроводов, подземных пешеходных переходов и мостов</t>
  </si>
  <si>
    <t>Проектно-изыскательские работы по объекту: "Устройство дополнительной полосы движения на ул. Комсомольская на пересечении с ул. Карла Маркса"</t>
  </si>
  <si>
    <t>2018, 2020 (Оплата ранее принятых обязательств)</t>
  </si>
  <si>
    <t>Оплата принятых в 2018 и 2020 году обязательств</t>
  </si>
  <si>
    <t>пас.</t>
  </si>
  <si>
    <t>Количество перевезенных маломобильных граждан специализированными автомобилями</t>
  </si>
  <si>
    <t>ул. Маршала Жукова от ул. Спортивная до ул. Фрунзе</t>
  </si>
  <si>
    <t>ул. Новозаводская от ул. Шлютова до Обводного шоссе</t>
  </si>
  <si>
    <t>Большой проезд от д.15 по ул. Грачева до ул. Бузыцкова</t>
  </si>
  <si>
    <t>ул. Викторова</t>
  </si>
  <si>
    <t>проезд от Хрящевского шоссе до д.17 по ул. Грачева</t>
  </si>
  <si>
    <t>ул. Подгорная</t>
  </si>
  <si>
    <t>ул. Непорожнего</t>
  </si>
  <si>
    <t>ул. Автомобилистов</t>
  </si>
  <si>
    <t>Выполнение работ по ремонту автомобильных дорог общего пользования местного значения городского округа Тольятти</t>
  </si>
  <si>
    <t>Ремонт автомобильной дороги по Поволжскому шоссе от ул. Громовой до c/о 232 по Поволжскому шоссе</t>
  </si>
  <si>
    <t>Ремонт автомобильной дороги по ул.Вокзальная вдоль железнодорожного вокзала</t>
  </si>
  <si>
    <t xml:space="preserve">Ремонт Фабричного проезда от здания № 46 по ул. Коммунальной до ул. Вокзальная </t>
  </si>
  <si>
    <t>Корректировка проектно-сметной документации по объекту: "Капитальный ремонт автодороги по улице Никонова от  улицы Железнодорожная  до улицы Ингельберга"</t>
  </si>
  <si>
    <t>Выполнение работ по ремонту автомобильных дорог общего пользования местного значения городского округа Тольятти (ремонт «картами»)</t>
  </si>
  <si>
    <t>Корректировка проектно-сметной документации по объекту: "Капитальный ремонт автодороги по улице Базовая от ул. Комсомольская до улицы Ларина"</t>
  </si>
  <si>
    <t>1.1.8.</t>
  </si>
  <si>
    <t xml:space="preserve">Количество введенных в эксплуатацию камер видеонаблюдения </t>
  </si>
  <si>
    <t>Количество объектов, на которых установлено оборудование видеонаблюдения</t>
  </si>
  <si>
    <t>Количество отремонтированных надземных и подземных пешеходных переходов</t>
  </si>
  <si>
    <t>Количество отремонтированных путепроводов</t>
  </si>
  <si>
    <t>Монтаж и ввод в эксплуатацию оборудования видеонаблюдения</t>
  </si>
  <si>
    <t>Монтаж и ввод в эксплуатацию оборудования видеонаблюдения, в т.ч.:</t>
  </si>
  <si>
    <t>2023-2025</t>
  </si>
  <si>
    <t>4.4.</t>
  </si>
  <si>
    <t>4.4.1.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</si>
  <si>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затрат (части затрат) от перевозки маломобильных граждан специализированными автомобилями в городском округе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</si>
  <si>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</si>
  <si>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</si>
  <si>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городского округа Тольятти</t>
  </si>
  <si>
    <t>Задача 4 подпрограммы: обеспечение социальных перевозок пассажиров в городском округе Тольятти</t>
  </si>
  <si>
    <t>3.2.5.</t>
  </si>
  <si>
    <t>2022-2023</t>
  </si>
  <si>
    <t>Оказание услуг по проведению негосударственной (государственной) экспертизы обоснования начальной (максимальной) цены контракта на выполнение работ по капитальному ремонту и ремонту автомобильных дорог общего пользования местного значения городского округа Тольятти</t>
  </si>
  <si>
    <t>Количество диагностируемых подземных пешеходных переходов</t>
  </si>
  <si>
    <t>Строительство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</si>
  <si>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Количество разработанной проектно-сметной документации по строительству объектов дорожного хозяйства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</si>
  <si>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</t>
  </si>
  <si>
    <t>2024-2025</t>
  </si>
  <si>
    <t>устройство парковки по ул. Мира до ул. Голосова со стороны Прокуратуры</t>
  </si>
  <si>
    <t>Оплата ранее принятых обязательств (2020г.)</t>
  </si>
  <si>
    <t>4.3.3.</t>
  </si>
  <si>
    <t>2020 (Оплата ранее принятых обязательств)</t>
  </si>
  <si>
    <t>ИТОГО ПО ПОДПРОГРАММЕ "ПБДД"                                                                                                                         без учета оплаты ранее принятых обязательств</t>
  </si>
  <si>
    <t>ИТОГО ПО ПОДПРОГРАММЕ "ПБДД"                                                    с учетом оплаты ранее принятых обязательств</t>
  </si>
  <si>
    <t>ИТОГО ПО ПОДПРОГРАММЕ "ПБДД"  (без учета оплаты ранее принятых обязательств)</t>
  </si>
  <si>
    <t>ИТОГО ПО ПОДПРОГРАММЕ "ПБДД" (с учетом оплаты ранее принятых обязательств)</t>
  </si>
  <si>
    <t>Количество приобретенных автобусов</t>
  </si>
  <si>
    <t xml:space="preserve">Осуществление строительного контроля на объекте: Путепровод через автодорогу Восточная завода - часть улицы Борковской </t>
  </si>
  <si>
    <t>Количество объектов, оборудованных съездами для инвалидов и других маломобильных групп населения</t>
  </si>
  <si>
    <t>40,97 / -</t>
  </si>
  <si>
    <t>309,25/203,81</t>
  </si>
  <si>
    <t>Приложение № 1                                                                                              к  постановлению администрации 
городского округа Тольятти 
от_______________№ _________</t>
  </si>
  <si>
    <t>дорога вдоль Южного шоссе от ул.Тополиной до ул.Автостроителей</t>
  </si>
  <si>
    <t>1.1.9.</t>
  </si>
  <si>
    <t>Количество объектов, на которых установлены указатели</t>
  </si>
  <si>
    <t xml:space="preserve">план на 2022-2023: </t>
  </si>
  <si>
    <t xml:space="preserve">план на 2024: </t>
  </si>
  <si>
    <t xml:space="preserve">Проектно-изыскательские работы на устройство заезда на внутриквартальный проезд (дублер) по Московскому проспекту в районе жилых домов №57-49 </t>
  </si>
  <si>
    <t>Проектно-изыскательские работы по объекту: "Капитальный ремонт автодороги. Тупиковый проезд"</t>
  </si>
  <si>
    <t>ул. Новозаводская от ул. Шлютова до ул.Голосова</t>
  </si>
  <si>
    <t xml:space="preserve">ул. Революционная от ул. Дзержинского до Ленинского проспекта </t>
  </si>
  <si>
    <t>Лесопарковое шоссе, от пр-та Степана Разина до ул. Комзина</t>
  </si>
  <si>
    <t>ул.Комзина от Лесопаркового шоссе до ул.Родины</t>
  </si>
  <si>
    <t xml:space="preserve">ул. Мира от ул. Победы до ул. Комсомольская </t>
  </si>
  <si>
    <t>ул. 40 лет Победы от ул. Дзержинского до с/о №93-95 по ул. 40 лет Победы</t>
  </si>
  <si>
    <t>Проектно-изыскательские работы по строительству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</si>
  <si>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Проектно-изыскательские работы по проектированию и строительству дороги ул.Калмыцкая от железнодорожного переезда до ул.Васильевской</t>
  </si>
  <si>
    <t>Проектно-изыскательские работы по капитальному ремонту автодороги от ш. Хрящевское вдоль СИЗО-4</t>
  </si>
  <si>
    <t>Проектно-изыскательские работы по объекту "Реконструкция кольцевой транспортной развязки проспекта Ленинский на пересечении с проспектом Степана Разина"</t>
  </si>
  <si>
    <t>*Объекты на 2025 год</t>
  </si>
  <si>
    <t xml:space="preserve"> с четной и нечетной стороны по ул.Ботаническая</t>
  </si>
  <si>
    <t>план на 2025::</t>
  </si>
  <si>
    <t xml:space="preserve"> ООТ "ЦРБ" напротив здания по адресу: ш.Автозаводское, 5   </t>
  </si>
  <si>
    <t>Устройсттво светофорного объекта (б-р Баумана в районе домов №1 и №2)</t>
  </si>
  <si>
    <t>2024 - 2025</t>
  </si>
  <si>
    <t>Приобретение подвижного состава пассажирского транспорта общего пользования для обеспечения организации регулярных перевозок по межмуниципальным маршрутам на садово-дачные массивы</t>
  </si>
  <si>
    <t>Количество объектов, подключенных к централизованной системе водоотведения</t>
  </si>
  <si>
    <t>не менее 90</t>
  </si>
  <si>
    <t>не менее 99,5</t>
  </si>
  <si>
    <t>Устройство тактильной плитки</t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</si>
  <si>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</si>
  <si>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</si>
  <si>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          </t>
    </r>
    <r>
      <rPr>
        <i/>
        <sz val="10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</si>
  <si>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</si>
  <si>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</si>
  <si>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</si>
  <si>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</t>
    </r>
    <r>
      <rPr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</si>
  <si>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</si>
  <si>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</si>
  <si>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</t>
    </r>
    <r>
      <rPr>
        <i/>
        <sz val="12"/>
        <rFont val="Times New Roman"/>
        <family val="1"/>
        <charset val="204"/>
      </rPr>
      <t xml:space="preserve">  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</si>
  <si>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</t>
    </r>
    <r>
      <rPr>
        <i/>
        <sz val="12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</si>
  <si>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</t>
    </r>
    <r>
      <rPr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</si>
  <si>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t xml:space="preserve"> МКУ "ЦОДД ГОТ" (Департамент дорожного хозяйства и транспорта  администрации городского округа Тольятти)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</si>
  <si>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</si>
  <si>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                      </t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</si>
  <si>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</si>
  <si>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</t>
    </r>
    <r>
      <rPr>
        <i/>
        <sz val="12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</si>
  <si>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t>г.о. Тольятти, внутриквартальный проезд - дублер ул.Коммунистическая от д. №97 до д. №79</t>
  </si>
  <si>
    <t xml:space="preserve">Установка рамной П-образной опоры (РМП) </t>
  </si>
  <si>
    <t>по Южному шоссе в районе дома №5 (проектирование РМП)</t>
  </si>
  <si>
    <t>Количество объектов на которых установлены РМП</t>
  </si>
  <si>
    <t>160,08/160,08</t>
  </si>
  <si>
    <t>356,97/356,97</t>
  </si>
  <si>
    <t>270,51/247,61</t>
  </si>
  <si>
    <t>не менее 1 000</t>
  </si>
  <si>
    <t xml:space="preserve">Строка 2.1.4.16.:    </t>
  </si>
  <si>
    <t xml:space="preserve">В связи с невыполнением подрядной организацией капитального ремонта автодороги по ул.Никонова от улицы Железнодорожная до улицы Ингельбергаи  в 2022, 2023 году, площадь на которой необходимо произвести капитальный ремонт переносится на 2024 год. </t>
  </si>
  <si>
    <t>Примечание:</t>
  </si>
  <si>
    <t>4.1.2.</t>
  </si>
  <si>
    <t>Замена опор освещения и контактной сети городского электротранспорта</t>
  </si>
  <si>
    <t>Количество разработанной проектно-сметной документации по замене опор</t>
  </si>
  <si>
    <t>Корректировка проектно-сметной документации по объекту «Капитальный ремонт автодороги по ул. Октябрьская от ул. Комсомольская до б-ра 50 лет Октября, г. Тольятти Самарской области»</t>
  </si>
  <si>
    <t>Устройство разделительной полосы в районе пересечения ул.Вокзальная – ул. Окраинная</t>
  </si>
  <si>
    <t>ул.Ларина;</t>
  </si>
  <si>
    <t xml:space="preserve">проезд к войсковой части </t>
  </si>
  <si>
    <t xml:space="preserve">Доля объектов, на которых предусматривается использование новых и наилучших технологий, включенных в Реестр </t>
  </si>
  <si>
    <t>Количество погибших в дорожно-транспортных происшествиях, человек на 100 тыс. населения</t>
  </si>
  <si>
    <t>Департамент дорожного хозяйства и транспорта  администрации городского округа Тольятти,                                                             МКУ "ЦОДД ГОТ" (Департамент дорожного хозяйства и транспорта  администрации городского округа Тольятти)</t>
  </si>
  <si>
    <t xml:space="preserve">Департамент дорожного хозяйства и транспорта  администрации городского округа Тольятти                                                 </t>
  </si>
  <si>
    <t>ул. Революционная в районе ООТ "Аптека"  (нечет)</t>
  </si>
  <si>
    <t>2021-2024</t>
  </si>
  <si>
    <t>2022, 2024</t>
  </si>
  <si>
    <t>2021- 2024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</si>
  <si>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 и финансовые ресурсы</t>
  </si>
  <si>
    <t>№   п/п</t>
  </si>
  <si>
    <t xml:space="preserve">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</si>
  <si>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автодороги по ул. Тополиной с целью устройства дополнительной выделенной полосы на пересечении с Южным шоссе</t>
  </si>
  <si>
    <t>Осуществление строительного контроля на объекте: Капитальный ремонт  ул.Васильевская от ул.Калмыцкая до Обводного шоссе</t>
  </si>
  <si>
    <t>Капитальный ремонт ул.Васильевская от ул.Калмыцкая до Обводного шоссе</t>
  </si>
  <si>
    <t>Устройство шумовых полос и информационных щитов индивидуального проектирования на Автозаводском шоссе, в районе домов № 3, 5.</t>
  </si>
  <si>
    <t>Устройство  искусственных дорожных неровностей, установка дорожных знаков на б-ре Луначарского,2  (ул. Ворошилова, д.4)</t>
  </si>
  <si>
    <t>Устройство  искусственных дорожных неровностей, установка дорожных знаков на б-ре Кулибина, д.2</t>
  </si>
  <si>
    <t xml:space="preserve">Устройство светофорного объекта, установка дорожных знаков на ул. Громовой, д.1,  ООТ "ул. Механизаторов"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</si>
  <si>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А, ООТ "Гостиница Лада"</t>
  </si>
  <si>
    <t>Устройство светофорного объекта, установка дорожных знаков на ул. Автостроителей, д. 11, ООТ "Солнечный б-р"</t>
  </si>
  <si>
    <t>Устройство светофорного объекта, установка дорожных знаков и устройство пешеходной дорожки на Южном шоссе в районе дома №36, ООТ "1-я вставка"</t>
  </si>
  <si>
    <t>Устройство светофорного объекта, установка дорожных знаков и устройство пешеходной дорожки на Южном шоссе в районе дома №36, ООТ "3-я вставка"</t>
  </si>
  <si>
    <t>Устройство светофорного объекта, установка дорожных знаков на Южном шоссе в районе дома №36, ООТ "Жигулевская долина"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</si>
  <si>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</t>
  </si>
  <si>
    <t>Проектирование устройства остановки общественного транспорта ООТ "Лыжная база" по ул.М. Жукова</t>
  </si>
  <si>
    <t>Проектирование переноса  ООТ "Лесопитомник" по ул. Дзержинского</t>
  </si>
  <si>
    <t>ул. Фрунзе между Московским проспектом  и ул. Юбилейной</t>
  </si>
  <si>
    <t>ул. Железнодорожная от ул. Никонова до М-5 "Урал"</t>
  </si>
  <si>
    <t xml:space="preserve">ПОКАЗАТЕЛИ (ИНДИКАТОРЫ)
МУНИЦИПАЛЬНОЙ ПРОГРАММЫ "РАЗВИТИЕ ТРАНСПОРТНОЙ СИСТЕМЫ И ДОРОЖНОГО ХОЗЯЙСТВА ГОРОДСКОГО ОКРУГА ТОЛЬЯТТИ НА 2021 - 2025 ГГ."
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</si>
  <si>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</si>
  <si>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ул. Ларина (на участке от ул. Васильевская до ул. Ломоносова);</t>
  </si>
  <si>
    <t>ул.40 лет Победы 57-б (поликлинике на 500 посещений в смену);</t>
  </si>
  <si>
    <t>ул.Кудашева;</t>
  </si>
  <si>
    <t>ул.40 лет Победы 57-б (поликлиника на 500 посещений в смену);</t>
  </si>
  <si>
    <t>б-р Здоровья;</t>
  </si>
  <si>
    <t>ул.Тополиная от Южного шоссе до ул. 70 лет Октября (боковой проезд);</t>
  </si>
  <si>
    <t>Устройство искусственных дорожных неровностей на Яблоневом проезде (от ул. Кирова до ул. Добролюбова);</t>
  </si>
  <si>
    <t>Устройство искусственных дорожных неровностей в районе досугового центра "Русич" по ул. Никонова;</t>
  </si>
  <si>
    <t>Устройство искусственных дорожных неровностей на проезде вдоль территории СОШ №61 (ул.Свердлова,23), д/с №115 "Салют" (ул. Свердлова, 27);</t>
  </si>
  <si>
    <t>Устройство искусственных дорожных неровностей по б-ру Орджоникидзе до дома №20 по пр-ту Ст. Разина;</t>
  </si>
  <si>
    <t>Устройство искусственных дорожных неровностей по ул. Патрульная;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</si>
  <si>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нотки";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</si>
  <si>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№76";</t>
  </si>
  <si>
    <t>Устройство искусственных дорожных неровностей в районе дома №102 на ул. Ставропольская (д/с №100 "Островок");</t>
  </si>
  <si>
    <t>Устройство искусственных дорожных неровностей в районе МБУ "Школа № 89" (ул.Дзержинского д. №39);</t>
  </si>
  <si>
    <t>Устройство искусственных дорожных неровностей на ул. Советская, 53 д/с "Жар-Птица";</t>
  </si>
  <si>
    <t>Устройство искусственных дорожных неровностей по ул. Фрунзе в районе ООТ "Маршала Жукова";</t>
  </si>
  <si>
    <t>ул.Матросова в районе дома №26 (д/с №69 "Веточка");</t>
  </si>
  <si>
    <t>внутриквартальный проезд по ул.Комсомольская 165;</t>
  </si>
  <si>
    <t>ул.Голосова д.57, д.59, д.61;</t>
  </si>
  <si>
    <t>ул.Л.Чайкиной, д.69 и д.71;</t>
  </si>
  <si>
    <t>в районе дома №66 по ул.Ларина (Центр технического творчества);</t>
  </si>
  <si>
    <t>по проезду Почтовый, в районе дома №95 по ул.Ленина (Д/с №41 "Огонек");</t>
  </si>
  <si>
    <t>в районе дома №84 по ул.Мурысева (Педколледж);</t>
  </si>
  <si>
    <t>внутриквартальный проезд в районе дома №43 по ул.Фрунзе (Школа Королева).;</t>
  </si>
  <si>
    <t>в районе дома №6 по ул.Д.Ульянова (Д/с "Чайка");</t>
  </si>
  <si>
    <t>в районе дома №10 и №14 по бульвару Татищева;</t>
  </si>
  <si>
    <t>по ул.40 лет Победы №106, ул.Ворошилова №61;</t>
  </si>
  <si>
    <t>по бульвару Космонавтов, в районе дома №15 (2 шт.);</t>
  </si>
  <si>
    <t>ул.Железнодорожная (1 шт.);</t>
  </si>
  <si>
    <t>внутриквартальный проезд в районе дома №64 по ул.Баныкина (2 шт.);</t>
  </si>
  <si>
    <t>внутриквартальный проезд в районе дома №14 по ул.Баныкина перед пересечением с бульваром Ленина (четная сторона) (1 шт.);</t>
  </si>
  <si>
    <t>в районе пешеходного перехода у дома №16"А" по бульвару Ленина (2 шт.);</t>
  </si>
  <si>
    <t>внутриквартальный проезд от ул.Фрунзе (д.№16) до пр-та Ленинский (д.№27) (3 квартал, напротив "Фанни-парк") (3 шт.);</t>
  </si>
  <si>
    <t>в районе домов №65, 67, 69 по ул.Краснодонцев, Космодемьянской (5 шт.);</t>
  </si>
  <si>
    <t>внутриквартальный проезд ул. Победы в районе домов №№66,68,70 по ул.Мира (4 шт.);</t>
  </si>
  <si>
    <t>в районе дома №77 по ул. Мира (проезд гостиницы "Звезда Жигулей" и ДК "Тольятти") (1 шт.);</t>
  </si>
  <si>
    <t>внутриквартальный проезд вдоль домов №10, 14 по б-ру Татищева (19 квартал) (2 шт.);</t>
  </si>
  <si>
    <t>внутриквартальный проезд вдоль домов №69, 71 по ул. Лизы Чайкиной (2 шт.);</t>
  </si>
  <si>
    <t>Почтовый проезд вдоль д/с №41 "Огонек" (ул. Ленина, д. 95) (1 шт.);</t>
  </si>
  <si>
    <t>б-р Туполева (вдоль территории МДОУ "Школа №47" д. 12 (1 шт.);</t>
  </si>
  <si>
    <t>на проезде Федоровские луга (в районе пешеходного перехода и ООТ по требованию) (8 шт.);</t>
  </si>
  <si>
    <t>на внутриквартальном проезде в районе дома № 63 по ул. 70 лет Октября (2 шт.);</t>
  </si>
  <si>
    <t>по б-ру Гая в районе дома № 10 (2 шт.);</t>
  </si>
  <si>
    <t>на внутриквартальном проезде вдоль дома № 17,21 по ул. Дзержинского и дома № 2 по б-ру Гая (3 шт.);</t>
  </si>
  <si>
    <t>вдоль территории МБУ "Школа №88"(ул. Тополиная, 5) и д/с №210 "Ладушки" (Южное шоссе, 41) -20 квартал;</t>
  </si>
  <si>
    <t>вдоль домов №43 по ул. Фрунзе (школа Королева);</t>
  </si>
  <si>
    <t>вдоль территории д/с № 184 "Жигуленок" (ул.Ворошилова д.61) и МБУ "Школа № 81" (ул.40 лет Победы,106) - 13 квартал;</t>
  </si>
  <si>
    <t>вдоль территории МБУ "Лицей №51 (ул.Фрунзе,12) - 3А квартал;</t>
  </si>
  <si>
    <t>б-р Баумана в р-не домов №№ 1,2;</t>
  </si>
  <si>
    <t>в районе дома №9 по ул. Карбышева;</t>
  </si>
  <si>
    <t>в районе пересечения ул. Ленина - ул. Чапаева;</t>
  </si>
  <si>
    <t>в районе ООТ "17 квартал" по ул. Тополиная;</t>
  </si>
  <si>
    <t>в районе дома №5А по ул. Железнодорожная;</t>
  </si>
  <si>
    <t>по б-ру Орджоникидзе в районе дома №24 по Ленинскому проспекту;</t>
  </si>
  <si>
    <t>в районе дома №49 по ул. Радищева;</t>
  </si>
  <si>
    <t>в районе пересечения ул. Комсомольская-ул. Садовая;</t>
  </si>
  <si>
    <t>в районе дома №54 по ул. Мичурина;</t>
  </si>
  <si>
    <t>в районе дома №27А по ул. Мичурина;</t>
  </si>
  <si>
    <t>в районе пересечения ул. Шлютова-ул. Крупской;</t>
  </si>
  <si>
    <t>в районе дома №44 по ул. Лесная;</t>
  </si>
  <si>
    <t>в районе дома №77 по ул. Ленина;</t>
  </si>
  <si>
    <t>в районе дома №59 по ул. Октябрьская;</t>
  </si>
  <si>
    <t>в районе дома №93 по ул. Мурысева;</t>
  </si>
  <si>
    <t>в районе дома №91 по ул. Ленина;</t>
  </si>
  <si>
    <t>в районе дома №31 по Хрящевскому шоссе;</t>
  </si>
  <si>
    <t>в районе дома №12Б по ул. Офицерская;</t>
  </si>
  <si>
    <t xml:space="preserve">вдоль домов №№ 57,59,61 по ул.Голосова;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</si>
  <si>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 ул.Баныкина (в районе ООТ "ул. Голосова");   </t>
  </si>
  <si>
    <t>устройство тротуара к поликлинике на 500 посещений в смену;</t>
  </si>
  <si>
    <t>дорожка вдоль улицы Александра Кудашева на участке от ул. Льва Толстого до границы г.о.Тольятти;</t>
  </si>
  <si>
    <t>ул.Родины по лесной зоне до микрорайона Портовый;</t>
  </si>
  <si>
    <t>по Хрящевскому шоссе от Южного шоссе до Обводного шоссе;</t>
  </si>
  <si>
    <t>дорожка вдоль ул. Северная;</t>
  </si>
  <si>
    <t>ликвидация несанкционированного примыкания в районе ООТ "Автолюбитель" по б-ру 50 лет Октября;</t>
  </si>
  <si>
    <t>в районе ООТ "Аптека" по ул. Революционная;</t>
  </si>
  <si>
    <t>в районе ООТ "Универсам" по ул. Революционная;</t>
  </si>
  <si>
    <t>в районе ООТ "Гаражи" по ул.Ботаническая;</t>
  </si>
  <si>
    <t>по ул.Офицерской от ул.Полякова до ул.Ботанической;</t>
  </si>
  <si>
    <t>островок безопасности и пешеходная дорожка в районе пересечения ул.Мичурина и ул.Герцена;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</si>
  <si>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АВТОВАЗа);</t>
  </si>
  <si>
    <t>устройство пешеходных дорожек на пересечении ул. Спортивная - пр- т Степана Разина;</t>
  </si>
  <si>
    <t>устройство пешеходной дорожки вдоль ул. Революционная в районе ул. Фрунзе;</t>
  </si>
  <si>
    <t>устройство тротуара на подходах к пешеходному переходу в районе дома №151 по ул. Комсомольской;</t>
  </si>
  <si>
    <t>устройство тротуаров на подходах к пешеходному переходу (перекресток ул. Победы – б-р 50 лет Октября);</t>
  </si>
  <si>
    <t>устройство тротуаров на подходах к пешеходному переходу – демонтаж существующего тротуара (перекресток ул. Ленина – ул. Кирова);</t>
  </si>
  <si>
    <t>устройство тротуара (на подходах к пешеходному переходу) на перекрестке ул. Коммунистическая и ул. Есенина;</t>
  </si>
  <si>
    <t>устройство тротуара по ул. Мира до ул. Голосова со стороны Прокуратуры;</t>
  </si>
  <si>
    <t>на подходах к пешеходному переходу в районе ООТ "ДС КВЦ ВАЗа";</t>
  </si>
  <si>
    <t>по ул.Борковской, до Фабричного проезда;</t>
  </si>
  <si>
    <t>на подходах к пешеходному переходу в районе ООТ "5 вставка ВАЗа";</t>
  </si>
  <si>
    <t>в районе дома №60 по Лесопарковому шоссе;</t>
  </si>
  <si>
    <t>на подходах к пешеходному переходу в районе ООТ "Магазин Восход" по ул. Свердлова;</t>
  </si>
  <si>
    <t>по ул.40 лет Победы,14а;</t>
  </si>
  <si>
    <t>от ул.Дзержинского до ул.Борковская,93;</t>
  </si>
  <si>
    <t>через пешеходный переход в районе ул.Голосова,57;</t>
  </si>
  <si>
    <t>вдоль ул.Украинской;</t>
  </si>
  <si>
    <t>по ул.Воскресенская,18 Техникум № 47 для детей с ограниченными возможностями на подходах к пешеходному переходу;</t>
  </si>
  <si>
    <t xml:space="preserve">ул. Кудашева; </t>
  </si>
  <si>
    <t>ул. Фрунзе, в районе домов №№ 26,47 (перекресток улицы Фрунзе и Московского проспекта);</t>
  </si>
  <si>
    <t>ул. Ларина (на участке от Автозаводское шоссе до ул. Тимирязева);</t>
  </si>
  <si>
    <t xml:space="preserve">участок автодороги по ул. Кирова от Автозаводского шоссе до дома № 32 по ул. Кирова; </t>
  </si>
  <si>
    <t>участок переулка Островского от ул. Коммунистическая до ул. Мурысева;</t>
  </si>
  <si>
    <t>дорога вдоль ул. Спортивной (неч.сторона) от Физкультурного проезда до пр-та Степана Разина;</t>
  </si>
  <si>
    <t>дорога вдоль Московского проспекта от дома №57 до дома №45 (нечетная сторона);</t>
  </si>
  <si>
    <t>по Цветному бульвару от ул. Дзержинского до ул. 70 лет Октября 16 квартала Автозаводского района г.о. Тольятти;</t>
  </si>
  <si>
    <t>влоль проспекта Степана Разина от дома №35 до дома №25;</t>
  </si>
  <si>
    <t xml:space="preserve">б-р Цветной в р-не дома № 20  (16 квартал);                </t>
  </si>
  <si>
    <t>в районе дома №33 по Московскому проспекту;</t>
  </si>
  <si>
    <t>в районе дома №35 по Московскому проспекту;</t>
  </si>
  <si>
    <t>ул. Кудашева</t>
  </si>
  <si>
    <t>32 квартал в районе дома №13а по ул.Революционной</t>
  </si>
  <si>
    <t>подземный переход, расположенный по адресу: г. Тольятти, ул. Свердлова, ост. Океан</t>
  </si>
  <si>
    <t>ул. Ленинградская, 28;</t>
  </si>
  <si>
    <t>Рябиновый б-р, 1;</t>
  </si>
  <si>
    <t>Рябиновый б-р, 13;</t>
  </si>
  <si>
    <t>Московский пр-т - ул. Фрунзе;</t>
  </si>
  <si>
    <t>ул. Олимпийская в районе д. 20 по ул. Полевая;</t>
  </si>
  <si>
    <t>ул. Сиреневая, 24;</t>
  </si>
  <si>
    <t>внутриквартальный пр-д от пр-да Дорофеева до ул. Макарова;</t>
  </si>
  <si>
    <t>б-р Цветной, 24;</t>
  </si>
  <si>
    <t>б-р Цветной, 13;</t>
  </si>
  <si>
    <t>ул. Ленина, ООТ "Дворец молодежи";</t>
  </si>
  <si>
    <t>ул. Л. Яшина, ООТ "Северовосточная";</t>
  </si>
  <si>
    <t>Приморский б-р пересечение с б-ром Буденного;</t>
  </si>
  <si>
    <t>б-р Гая, 10;</t>
  </si>
  <si>
    <t>ул. Юбилейная, ООТ "Кафе Салют";</t>
  </si>
  <si>
    <t>ул. Юбилейная, ООТ "Парк Победы";</t>
  </si>
  <si>
    <t>Ленинский пр-т, ООТ "б-р Туполева";</t>
  </si>
  <si>
    <t>пр-т Ст. Разина, ООТ "Театральная";</t>
  </si>
  <si>
    <t>ул. Л. Толстого пересечение с ул. Ленина;</t>
  </si>
  <si>
    <t>ул. Победы пересечение с б-ром 50 лет Октября;</t>
  </si>
  <si>
    <t>ул. Борковская, 51 (ООТ "Спецавтоцентр);</t>
  </si>
  <si>
    <t xml:space="preserve">Московский пр-т, ООТ "ул. Дзержинского"; </t>
  </si>
  <si>
    <t>ул. Спортивная в районе д. 55 по Приморскому б-ру;</t>
  </si>
  <si>
    <t>Московский пр-т, ООТ "Дом связи";</t>
  </si>
  <si>
    <t>ул. Цеховая,  ООТ "GM-АвтоВАЗ";</t>
  </si>
  <si>
    <t>ул. Родина пересечение с ул. Мира;</t>
  </si>
  <si>
    <t>ул. Голосова пересечение с ул. Новозаводская;</t>
  </si>
  <si>
    <t>ул. Революционная, ООТ "Экзотика";</t>
  </si>
  <si>
    <t>Обводное шоссе пересечение с ул. Новозаводская;</t>
  </si>
  <si>
    <t>Физкультурный проезд;</t>
  </si>
  <si>
    <t>ул. Спортивная, ООТ "Вега";</t>
  </si>
  <si>
    <t>ул. Революционная, ООТ "1000 мелочей";</t>
  </si>
  <si>
    <t>ул. Свердлова, 8;</t>
  </si>
  <si>
    <t>ул. Автостроителей, ООТ "40 лет Победы";</t>
  </si>
  <si>
    <t>ул. Борковская, ООТ "Южная база";</t>
  </si>
  <si>
    <t>ул. Горького, 46"А";</t>
  </si>
  <si>
    <t>ул. Матросова, 26;</t>
  </si>
  <si>
    <t>ул. Революционная, 47;</t>
  </si>
  <si>
    <t>ул. Гидротехническая пересечение с ул. Дорофеева;</t>
  </si>
  <si>
    <t>ул. Ворошилова, ООТ "б-р Луначарского";</t>
  </si>
  <si>
    <t>ул. Л.Яшина, ООТ "Льва Яшина";</t>
  </si>
  <si>
    <t>Приморский б-р, ООТ "8 квартал";</t>
  </si>
  <si>
    <t>ул. Коммунистическая, ООТ "Тюленина";</t>
  </si>
  <si>
    <t>ул. Коммунистическая, ООТ "Космодемьянской";</t>
  </si>
  <si>
    <t>ул. Родина, ООТ"Автовокзал";</t>
  </si>
  <si>
    <t>ул. Юбилейная, 85 и ООТ "Вега";</t>
  </si>
  <si>
    <t>ул. Новозаводская, ООТ "Химико-технологический колледж";</t>
  </si>
  <si>
    <t>ул. Автостроителей, ООТ "Молодежная";</t>
  </si>
  <si>
    <t>ул. 70 лет Октября, 33Б, 38, ООТ "Магазин мир продуктов";</t>
  </si>
  <si>
    <t>ул. Вокзальная, 100а (ООТ "10 КПП");</t>
  </si>
  <si>
    <t>ул. Комсомольская пересечение с ул. Новопромышленной;</t>
  </si>
  <si>
    <t>ул. Гидротехническая пересечение с ул. Шлюзовая;</t>
  </si>
  <si>
    <t>ул. Автостроителей, ООТ "Гостиница Лада";</t>
  </si>
  <si>
    <t>ул. 40 лет Победы, ООТ "Школа №70";</t>
  </si>
  <si>
    <t>ул. Громовой, ООТ "УТЭП";</t>
  </si>
  <si>
    <t>ул. Фрунзе, ООТ "11 квартал";</t>
  </si>
  <si>
    <t>ул. Железнодорожная, ООТ "Поликлиника";</t>
  </si>
  <si>
    <t>г.о. Тольятти, ул. Революционная от Ленинского проспекта до ул. Дзержинского;</t>
  </si>
  <si>
    <t>г.о.Тольятти, ул. Революционная пересечение с Ленинским проспектом;</t>
  </si>
  <si>
    <t xml:space="preserve">г.о. Тольятти, Ленинский проспект, д. №54Б/3 по ул.Революционная; </t>
  </si>
  <si>
    <t>г.о.Тольятти ул. Кудашева, начало населенного пункта;</t>
  </si>
  <si>
    <t>г.о.Тольятти, ул.Васильевская в районе перекрестка с Обводным шоссе, начало населенного пункта;</t>
  </si>
  <si>
    <t>г.о. Тольятти, ж/д переезд ул. Вокзальная, д.№101;</t>
  </si>
  <si>
    <t>г.о. Тольятти, ж/д переезд ул. Железнодорожная,д.№ 34 и д.34 ст.1 (два переезда);</t>
  </si>
  <si>
    <t>г.о. Тольятти, ж/д переезд, ул. Железнодорожная, д.№ 42;</t>
  </si>
  <si>
    <t>г.о. Тольятти, ж/д переезд ул. Индустриальная, пикет 0-500 (2,5 переезда);</t>
  </si>
  <si>
    <t>г.о. Тольятти, ж/д переезд ул. Индустриальная, пикет 500- 1000 (1,5 переезда);</t>
  </si>
  <si>
    <t>г.о. Тольятти, ж/д переезд ул. Индустриальная, пикет 1000-1500;</t>
  </si>
  <si>
    <t>г.о. Тольятти, ж/д переезд проезд перед ул. Калмыцкой (два переезда);</t>
  </si>
  <si>
    <t>г.о. Тольятти, ж/д переезд ул. Калмыцкая между ул. Новозаводской и ул. Васильевской;</t>
  </si>
  <si>
    <t>г.о. Тольятти, ж/д переезд ул. Коммунистическая, д. № 102 "а" (два переезда);</t>
  </si>
  <si>
    <t>г.о. Тольятти, ж/д переезд ул. Ларина, д.№ 148;</t>
  </si>
  <si>
    <t>г.о. Тольятти, ж/д переезд ул. Ларина, д.№ 151;</t>
  </si>
  <si>
    <t>г.о. Тольятти, ж/д переезд ул. Ларина, д.№ 169;</t>
  </si>
  <si>
    <t>г.о. Тольятти, ж/д переезд ул. Коммунистическая, д.№ 115;</t>
  </si>
  <si>
    <t>г.о. Тольятти, ж/д переезд ул. Никонова, д. № 43;</t>
  </si>
  <si>
    <t>г.о. Тольятти, ж/д переезд ул. Окраинная, д.№ 85 по ул. Северной;</t>
  </si>
  <si>
    <t>г.о. Тольятти, ж/д переезд ул. Окраинная, д. № 100 по ул. Вокзальной;</t>
  </si>
  <si>
    <t>г.о. Тольятти, ж/д переезд Поволжское шоссе, д.№ 34;</t>
  </si>
  <si>
    <t>г.о. Тольятти, ж/д переезд ул. Подгорная, д.№ 25 (перегон канал-Пискалы);</t>
  </si>
  <si>
    <t>г.о. Тольятти, ж/д переезд Хрящевское шоссе, д. № 13;</t>
  </si>
  <si>
    <t>Приморский б-р, ООТ "Театр Дилижанс";</t>
  </si>
  <si>
    <t>г.о. Тольятти, ул.40 лет Победы, ООТ "14 "а" квартал";</t>
  </si>
  <si>
    <t>г.о. Тольятти, ул.Гидротехническая - ул.Макарова перекресток;</t>
  </si>
  <si>
    <t>г.о. Тольятти, ул.Матросова,  д. №134 ООТ "МТЦ";</t>
  </si>
  <si>
    <t>г.о. Тольятти, Обводная дорога пос.Приморский;</t>
  </si>
  <si>
    <t>г.о. Тольятти, ул. Украинская от бульвара 50 лет Октября до ул. Шлютова;</t>
  </si>
  <si>
    <t>г.о. Тольятти, ул.Фрунзе, д. №22, д.№47 перекресток с Московским проспектом;</t>
  </si>
  <si>
    <t>г.о. Тольятти, ул. Революционная, ООТ "Ателье мод";</t>
  </si>
  <si>
    <t>ул. Вокзальная, ООТ "Кузнечно-прессовый цех";</t>
  </si>
  <si>
    <t>г.о.Тольятти, ул. Революционная, ООТ"Сатурн" и ООТ "1000 мелочей";</t>
  </si>
  <si>
    <t>г.о. Тольятти, ул. Революционная, ООТ "Универсам";</t>
  </si>
  <si>
    <t>г.о. Тольятти, Поволжское шоссе, ул.Раздольная ( подземный газопровод);</t>
  </si>
  <si>
    <t>г.о. Тольятти, ул. Комзина-Комсомольское шоссе перекресток;</t>
  </si>
  <si>
    <t>г.о. Тольятти, ул. Ингельберга,  д.№ 52, Школа №15;</t>
  </si>
  <si>
    <t>г.о. Тольятти, ул.Дзержинского, ООТ "Бульвар Кулибина";</t>
  </si>
  <si>
    <t>г.о. Тольятти, ул.40 лет Победы, ООТ "Школа №86";</t>
  </si>
  <si>
    <t>г.о. Тольятти, ул.40 лет Победы,  ООТ "Медучилище";</t>
  </si>
  <si>
    <t>г.о. Тольятти, ул.40 лет Победы,  д. №15 по Южному шоссе;</t>
  </si>
  <si>
    <t>г.о. Тольятти, ул.40 лет Победы, ООТ "ЖК "Лесной";</t>
  </si>
  <si>
    <t>г.о. Тольятти, ул. Победы-ул. Шлютова перекресток;</t>
  </si>
  <si>
    <t>г.о.Тольятти ул. Кудашева;</t>
  </si>
  <si>
    <t>г.о. Тольятти, ул.40 лет Победы, д. № 26;</t>
  </si>
  <si>
    <t>г.о. Тольятти, ул.Автостроителей, д.№ 9;</t>
  </si>
  <si>
    <t>г.о. Тольятти, ул.Баныкина, ООТ "72-й квартал";</t>
  </si>
  <si>
    <t>г.о. Тольятти, ул.Баныкина, ООТ "Магазин "Юность";</t>
  </si>
  <si>
    <t>г.о. Тольятти, ул.Баныкина, ООТ  "Спецавтохозяйство";</t>
  </si>
  <si>
    <t>г.о. Тольятти, ул.Баныкина, ООТ "Школа №1";</t>
  </si>
  <si>
    <t>г.о. Тольятти, ул.Голосова,д.№ 105 "а",  ООТ "АТС-26";</t>
  </si>
  <si>
    <t>г.о. Тольятти, ул.Коммунальная, д. №23, ООТ "Военный госпиталь";</t>
  </si>
  <si>
    <t>г.о. Тольятти, ул.Коммунальная, д. №33, ООТ "Пивзавод";</t>
  </si>
  <si>
    <t>г.о. Тольятти, ул.Комсомольская, ООТ "Информцентр";</t>
  </si>
  <si>
    <t>г.о. Тольятти, Ленинский проспект перед примыканием к Московскому  проспекту, д. 33 по Московскому проспекту;</t>
  </si>
  <si>
    <t>г.о. Тольятти, ул.Базовая, д. №7;</t>
  </si>
  <si>
    <t>г.о. Тольятти, Ленинский проспект, д. №40, д.№31;</t>
  </si>
  <si>
    <t>г.о. Тольятти, бульвар Луначарского, д. №1, №3;</t>
  </si>
  <si>
    <t>г.о. Тольятти, бульвар Луначарского,  д. №21;</t>
  </si>
  <si>
    <t>г.о. Тольятти, бульвар Луначарского,  д. №15, д.№17;</t>
  </si>
  <si>
    <t>г.о. Тольятти, ул. Маршала Жукова, д. № 56,  ООТ "Прилесье";</t>
  </si>
  <si>
    <t>г.о. Тольятти, Приморский бульвар, д.5;</t>
  </si>
  <si>
    <t>г.о. Тольятти, проспект Ст. Разина, д.№ 80;</t>
  </si>
  <si>
    <t>г.о. Тольятти, ул. Транспортная - Аптечный проезд (перекресток);</t>
  </si>
  <si>
    <t>г.о. Тольятти, ул.Шлюзовая, д. №14, д.№35;</t>
  </si>
  <si>
    <t xml:space="preserve">г.о. Тольятти, Южное шоссе, ООТ "АвтоВАЗ-ТО"; </t>
  </si>
  <si>
    <t>г.о. Тольятти,  ул. Автостроителей, в районе  ООТ "Ул. 40 лет Победы";</t>
  </si>
  <si>
    <t>г.о. Тольятти,  на перекрестке ул. Дзержинского - ул. Революционной - ул. Воскресенской;</t>
  </si>
  <si>
    <t>г.о. Тольятти, на  перекрестке ул. Карбышева - ул. Комсомольской;</t>
  </si>
  <si>
    <t>г.о. Тольятти, Обводное шоссе в районе пересечения с Хрящевским шоссе;</t>
  </si>
  <si>
    <t>г.о. Тольятти, пересечение ул. Ленинградская - ул. Гидростроевская ;</t>
  </si>
  <si>
    <t>г.о. Тольятти,   ул. Заставная и Московский проспект перед примыканием к ул. Дзержинского;</t>
  </si>
  <si>
    <t>г.о. Тольятти,  ул. Дзержинского в районе примыкания бульвара Курчатова;</t>
  </si>
  <si>
    <t>г.о. Тольятти, перекресток ул.К.Маркса и М.Горького;</t>
  </si>
  <si>
    <t>г.о. Тольятти,  ул. Комсомольская в районе пересечения с ул. Новопромышленной;</t>
  </si>
  <si>
    <t>г.о. Тольятти,  перекресток  ул.Мира - ул. Жилина;</t>
  </si>
  <si>
    <t>г.о. Тольятти, перекресток  ул. Гидротехническая - ул. В.Поплавского и перекресток  ул.Транспортная - 4-й проезд;</t>
  </si>
  <si>
    <t>г.о. Тольятти,  на перекрестке ул. Кирова - ул. Герцена;</t>
  </si>
  <si>
    <t>г.о. Тольятти,  перекресток ул. Юбилейной  - ул. Фрунзе;</t>
  </si>
  <si>
    <t>г.о. Тольятти,  ул. Маршала Жукова в районе ООТ "Лесной голосок";</t>
  </si>
  <si>
    <t>г.о. Тольятти,   ул. Маршала Жукова в районе ООТ "Весёлая семейка";</t>
  </si>
  <si>
    <t>г.о. Тольятти,   ул. Полякова, в районе  д.№24;</t>
  </si>
  <si>
    <t>г.о. Тольятти,  ул. Полякова в районе  ООТ "Ул.Полякова";</t>
  </si>
  <si>
    <t>г.о. Тольятти, ул. Ст. Разина в районе  ООТ "Театральная";</t>
  </si>
  <si>
    <t>г.о. Тольятти,  Южное шоссе в районе ООТ "Обводное шоссе";</t>
  </si>
  <si>
    <t>г.о. Тольяти, ул. 40 лет Победы, ООТ "Школа № 93";</t>
  </si>
  <si>
    <t>г.о. Тольятти, бульвар 50 лет Октября, ООТ "Ул. Октябрьская" в районе дома №38;</t>
  </si>
  <si>
    <t>г.о. Тольятти, ул. 70 лет Октября - ул.Тополиная в границах перекрестка;</t>
  </si>
  <si>
    <t>г.о. Тольятти, ул. Баныкина, ООТ "Белорусская";</t>
  </si>
  <si>
    <t>г.о. Тольятти, ул. Ворошилова, ООТ "Дом офицеров";</t>
  </si>
  <si>
    <t>г.о. Тольятти, ул. Коммунистическая  - ул. Механизаторов в границах перекрестка;</t>
  </si>
  <si>
    <t>г.о. Тольятти, ул. Комсомольская - ул .К.Маркса в границах перекрестка;</t>
  </si>
  <si>
    <t>г.о. Тольятти, ул. Ларина - ул. Герцена в границах перекрестка;</t>
  </si>
  <si>
    <t>г.о. Тольятти, ул. Маршала Жукова в районе дома №21, ООТ "Д/с "Елочка";</t>
  </si>
  <si>
    <t>г.о. Тольятти, ул. Мира - ул.К. Маркса в границах перекрестка;</t>
  </si>
  <si>
    <t>г.о. Тольятти, ул. Родины - ул.Республиканская в границах перекрестка;</t>
  </si>
  <si>
    <t>г.о. Тольятти, ул.Свердлова в районе дома №8;</t>
  </si>
  <si>
    <t>г.о. Тольятти, ул.Свердлова ООТ "бульвар Гая";</t>
  </si>
  <si>
    <t>г.о. Тольятти, ул.Свердлова ООТ "Магазин "Мебель" в районе дома №16;</t>
  </si>
  <si>
    <t>г.о. Тольятти, ул.Свердлова ООТ "Стоматологическая поликлиника" в районе дома №24 ;</t>
  </si>
  <si>
    <t>г.о. Тольятти, ул.Свердлова ООТ "Гостиница"в районе дома №32;</t>
  </si>
  <si>
    <t>г.о. Тольятти, ул.Свердлова в районе дома №38 перед пересечением с проспектом Ст.Разина;</t>
  </si>
  <si>
    <t>г.о. Тольятти, ул. Толстого в районе домов №28, 21;</t>
  </si>
  <si>
    <t>г.о. Тольятти, ул. Толстого ООТ "Толстого" в районе дома №22;</t>
  </si>
  <si>
    <t>г.о. Тольятти, ул. Юбилейная - ул. Свердлова в границах перекрестка;</t>
  </si>
  <si>
    <t>г.о. Тольятти, ул. Юбилейная - Ленинский проспект в границах перекрестка;</t>
  </si>
  <si>
    <t>г.о. Тольятти, ул. Юбилейная - ул.Дзержинского -ул.Борковская в границах перекрестка;</t>
  </si>
  <si>
    <t>г.о. Тольятти, ул. Громовой ООТ "Ул. У. Громовой" в районе дома №10 "А";</t>
  </si>
  <si>
    <t xml:space="preserve">г.о. Тольятти, ул. Толстого в районе дома №28; </t>
  </si>
  <si>
    <t>г.о. Тольятти, Южное шоссе, ООТ "19 квартал";</t>
  </si>
  <si>
    <t>г.о. Тольятти, Южное шоссе, ООТ "18 "А" квартал";</t>
  </si>
  <si>
    <t>г.о. Тольятти, Южное шоссе, ООТ "Автопарковая";</t>
  </si>
  <si>
    <t>г.о. Тольятти, ул. Ярославская, ООТ "Мясокомбинат" д. №49;</t>
  </si>
  <si>
    <t>г.о. Тольятти, ул. Чапаева, 124 напротив д/с "Соловушка";</t>
  </si>
  <si>
    <t>г.о. Тольятти, ул. Баумана в районе домов 1,2;</t>
  </si>
  <si>
    <t>г.о. Тольятти, ул. Кудашева, в районе ООТ "ул. Кудашева";</t>
  </si>
  <si>
    <t>г.о. Тольятти, перекресток ул. Ларина - ул. Ленина;</t>
  </si>
  <si>
    <t>г.о. Тольятти, на перекрестке проспекта Ст. Разина - ул. Дзержинского - ул. Ботанической;</t>
  </si>
  <si>
    <t>г.о. Тольятти, ул. Юбилейная перед пересечением с ул. Свердлова;</t>
  </si>
  <si>
    <t>г.о. Тольятти, на перекрестке ул. Новозаводской - ул. Комсомольской;</t>
  </si>
  <si>
    <t>г.о. Тольятти,   ул. 70 лет Октября, ООТ "19 квартал";</t>
  </si>
  <si>
    <t xml:space="preserve">г.о.Тольятти, ул.Революционная, ООТ "Приморский бульвар"; </t>
  </si>
  <si>
    <t>г.о.Тольятти, ул.Автостроителей, д.№ 41, д.№ 70, ООТ "12 квартал";</t>
  </si>
  <si>
    <t>г.о.Тольятти, перекресток ул. 70 лет Октября - ул. Тополиная;</t>
  </si>
  <si>
    <t>г.о.Тольятти, перекресток ул.Советская – ул.Комсомольская;</t>
  </si>
  <si>
    <t>г.о.Тольятти, перекресток ул.Революционная – ул.Фрунзе;</t>
  </si>
  <si>
    <t>г.о.Тольятти, ул.Коммунальная, д. №32 (ТЦ «Арбуз»), ООТ "Хладокомбинат";</t>
  </si>
  <si>
    <t>г.о.Тольятти, ул.М.Горького школа №5;</t>
  </si>
  <si>
    <t>г.о.Тольятти, ул.Спортивная, ООТ «Набережная";</t>
  </si>
  <si>
    <t>г.о. Тольятти, проезд от ул.Дорофеева до ул.Макарова;</t>
  </si>
  <si>
    <t>г.о. Тольятти, ул.Мурысева;</t>
  </si>
  <si>
    <t>г.о. Тольятти, проезд вдоль Школы №91, Льва Толстого,26А;</t>
  </si>
  <si>
    <t>г.о. Тольятти, ул.40 лет Победы ООТ "Лесная слобода";</t>
  </si>
  <si>
    <t>г.о. Тольятти, ул.40 лет Победы, ООТ "Школа № 86";</t>
  </si>
  <si>
    <t>г.о. Тольятти, ул.70 лет Октября, ООТ "Студенческая";</t>
  </si>
  <si>
    <t>г.о. Тольятти, ул. 70 лет Октября, ООТ "Рябиновый бульвар;</t>
  </si>
  <si>
    <t>г.о.Тольятти, ул. 70 лет Октября, ТЦ "Лада-Восход";</t>
  </si>
  <si>
    <t>г.о. Тольятти, ул. 70 лет Октября, ТЦ "Аврора";</t>
  </si>
  <si>
    <t>г.о. Тольятти, ул.Воскресенская,  ООТ "Проектное управление ВАЗа";</t>
  </si>
  <si>
    <t>г.о. Тольятти, перекресток ул.Гидротехническая - ул.Дорофеева;</t>
  </si>
  <si>
    <t>г.о. Тольятти, ул.Гидротехническая, д. №21  ООТ "Вокзальная";</t>
  </si>
  <si>
    <t>г.о. Тольятти, перекресток ул.Дзержинского - ул.Революционная - ул. Воскресенская;</t>
  </si>
  <si>
    <t>г.о. Тольятти, перекресток ул.Карла Маркса - ул.Чапаева;</t>
  </si>
  <si>
    <t>г.о. Тольятти, ул.Коммунистическая, д. № 96 "В", ООТ "Речной вокзал";</t>
  </si>
  <si>
    <t>г.о. Тольятти, ул.Коммунистическая, д.12, ДК "ТоАЗа";</t>
  </si>
  <si>
    <t>г.о. Тольятти,  ул. А. Кудашева, ООТ "Ул. А. Кудашева";</t>
  </si>
  <si>
    <t>г.о. Тольятти, Лесопарковое шоссе, д.60;</t>
  </si>
  <si>
    <t>г.о. Тольятти, ул. Никонова, д.18;</t>
  </si>
  <si>
    <t>г.о. Тольятти, перекресток ул. М. Горького - ул.Новопромышленная;</t>
  </si>
  <si>
    <t>г.о. Тольятти, Поволжское шоссе от с/о 210 до с/о 286;</t>
  </si>
  <si>
    <t>г.о. Тольятти, ул. Революционная ООТ "Кинотеатр "Сатурн";</t>
  </si>
  <si>
    <t>г.о. Тольятти, Поволжское шоссе с/о 252, ООТ "Кладбище";</t>
  </si>
  <si>
    <t>г.о. Тольятти, ул. Революционная, д. №25, МАУ "Автоград", д. №52 "А" ТЦ "Русь на Волге";</t>
  </si>
  <si>
    <t>г.о. Тольятти, ул. Спортивная, д.№ 16,  ООТ "Ул. Спортивная";</t>
  </si>
  <si>
    <t>г.о. Тольятти, ул. Спортивная, в районе д.№ 82  ул. Революционная;</t>
  </si>
  <si>
    <t>г.о. Тольятти, перекресток ул.Толстого - ул.Ленина;</t>
  </si>
  <si>
    <t>г.о. Тольятти, перекресток ул.Чайкиной - ул.Матросова;</t>
  </si>
  <si>
    <t>г.о. Тольятти, перекресток ул.Чайкиной - ул.Механизаторов;</t>
  </si>
  <si>
    <t>г.о.Тольятти, перекресток  ул. Дзержинского - ул. Ботаническая- проспект Ст.Разина;</t>
  </si>
  <si>
    <t>г.о.Тольятти, перекресток ул. 40 лет Победы и Южного шоссе;</t>
  </si>
  <si>
    <t>г.о. Тольятти, перекресток ул.Свердлова -  ул. Революционной;</t>
  </si>
  <si>
    <t>г.о. Тольятти, ул.Фрунзе, д. №23"Б",  ООТ "Административный центр";</t>
  </si>
  <si>
    <t>г.о. Тольятти,   Автозаводское шоосе, д.3, ООТ "Автозаводское шоссе" ;</t>
  </si>
  <si>
    <t>г.о.Тольятти, ул. Громовой д.54 "а", ООТ «Колхозный рынок";</t>
  </si>
  <si>
    <t>г.о. Тольятти, Южное ш.,  ООТ "7-я вставка";</t>
  </si>
  <si>
    <t>г.о. Тольятти, Южное ш., ООТ "Медсанчасть ВАЗа";</t>
  </si>
  <si>
    <t>г.о. Тольятти, Южное ш., ООТ "18-й А квартал";</t>
  </si>
  <si>
    <t>г.о. Тольятти, ул. Революционная, д. №52 "А", ТЦ "Русь на Волге";</t>
  </si>
  <si>
    <t>г.о. Тольятти, ул. Революционная, д. №47;</t>
  </si>
  <si>
    <t>г.о. Тольятти, ул. Революционная в районе перекрестка с Приморским бульваром;</t>
  </si>
  <si>
    <t>г.о. Тольятти, ул. Революционная, ООТ "Школа им. Академика Королева";</t>
  </si>
  <si>
    <t>г.о. Тольятти, ул. Революционная, ООТ "Приморский бульвар"</t>
  </si>
  <si>
    <t>г.о. Тольятти, перекресток  ул. Революционной и Ленинского проспекта;</t>
  </si>
  <si>
    <t>г.о. Тольятти, ул. Революционная, ООТ "Магазин "1000 мелочей"";</t>
  </si>
  <si>
    <t>г.о. Тольятти, ул. Революционная, ООТ "Аптека";</t>
  </si>
  <si>
    <t>г.о. Тольятти, Южное ш., ООТ "Жигулевская долина";</t>
  </si>
  <si>
    <t>г.о. Тольятти, Южное ш., ООТ "1 вставка ВАЗа";</t>
  </si>
  <si>
    <t>г.о. Тольятти, Южное ш., ООТ "3 вставка ВАЗа";</t>
  </si>
  <si>
    <t>г.о. Тольятти, Южное ш., ООТ "Машиностроительный колледж";</t>
  </si>
  <si>
    <t>г.о. Тольятти, Южное ш., ООТ "АвтоВАЗ ТО";</t>
  </si>
  <si>
    <t>г.о. Тольятти, Южное ш., ООТ "Восточное кольцо";</t>
  </si>
  <si>
    <t>г.о. Тольятти, Южное ш., ООТ "УВД";</t>
  </si>
  <si>
    <t>г.о. Тольятти, ул. 40 лет Победы в районе ООТ "Дендропарк";</t>
  </si>
  <si>
    <t>г.о. Тольятти,  ул. Механизаторов в районе примыкания к  ул. Мурысева;</t>
  </si>
  <si>
    <t xml:space="preserve">г.о. Тольятти,  Автозаводское шоссе, д.3;  </t>
  </si>
  <si>
    <t>г.о.Тольятти,  Автозаводское шоссе, д. 6;</t>
  </si>
  <si>
    <t>г.о.Тольятти, Автозаводское шоссе, д. 10Б;</t>
  </si>
  <si>
    <t>г.о. Тольятти,  Автозаводское шоссе, д.14;</t>
  </si>
  <si>
    <t xml:space="preserve">г.о. Тольятти,  Южное шоссе, д.19;  </t>
  </si>
  <si>
    <t>г.о. Тольятти,  Южное шоссе,  д.35;</t>
  </si>
  <si>
    <t>г.о. Тольятти,  ул. У.Громовой,  д.54А;</t>
  </si>
  <si>
    <t>г.о. Тольятти, дублер ул.Тополиная от Южного шоссе до ул.70 лет Октября, 19,20 квартал;</t>
  </si>
  <si>
    <t>г.о. Тольятти, дублер ул.Тополиная от ул.70 лет Октября до ул.Дзержинского, 16,17 квартал;</t>
  </si>
  <si>
    <t>г.о. Тольятти, ул.Дзержинского от ул.40 лет Победы до Московского пр-та;</t>
  </si>
  <si>
    <t>г.о. Тольятти, ул.Жилина от ул.Баныкина до площади Свободы;</t>
  </si>
  <si>
    <t>г.о. Тольятти, ул.Ушакова от ул.Баныкина до ул.Ленинградская;</t>
  </si>
  <si>
    <t xml:space="preserve">г.о. Тольятти, 12 квартал внутриквартальный проезд  от ул.Автостроителей до ул.Ворошилова; </t>
  </si>
  <si>
    <t>г.о. Тольятти, 12 квартал внутриквартальный проезд - дублер  ул.Свердлова;</t>
  </si>
  <si>
    <t>г.о. Тольятти, 13 квартал внутриквартальный проезд от ул.40 лет Победы до ул.Ворошилова;</t>
  </si>
  <si>
    <t>г.о. Тольятти, 13 квартал внутриквартальный проезд - дублер ул.40 лет Победы;</t>
  </si>
  <si>
    <t>г.о. Тольятти, 14 квартал внутриквартальный проезд от ул.Автостроителей до ул.40 лет Победы;</t>
  </si>
  <si>
    <t>г.о. Тольятти, 14 квартал внутриквартальный проезд - дублер ул.40 лет Победы;</t>
  </si>
  <si>
    <t>г.о. Тольятти, внутриквартальный проезд - дублер ул.Ярославская от ул.Громовой  до ул.Чайкиной;</t>
  </si>
  <si>
    <t>г.о. Тольятти, внутриквартальный проезд - дублер ул.Ярославская от ул.Чайкиной до ул.Мурысева;</t>
  </si>
  <si>
    <t>г.о. Тольятти, дублер ул.Мира от ул.Карбышева до ул.Комсомольской 73 квартал;</t>
  </si>
  <si>
    <t>г.о. Тольятти, дублер ул.Мира от ул.Голосова до ул.Карбышева, 72 квартал;</t>
  </si>
  <si>
    <t>г.о. Тольятти, дублер ул.Громовой от ул.Матросова до ул.Ярославская;</t>
  </si>
  <si>
    <t>ООТ "Театр Дилижанс" напротив здания по адресу: Приморский бульвар, 8;</t>
  </si>
  <si>
    <t>ООТ "База УМТС";</t>
  </si>
  <si>
    <t>ООТ "Детский городок";</t>
  </si>
  <si>
    <t>ООТ "Санаторий "Волжские зори"" на ул. Комзина;</t>
  </si>
  <si>
    <t>ООТ "АвтоВАЗагро" по ул.Ботаническая;</t>
  </si>
  <si>
    <t>ООТ "Лесопитомник" по ул.Дзержинского;</t>
  </si>
  <si>
    <t>ООТ "Лыжная база" по ул.М. Жукова;</t>
  </si>
  <si>
    <t>ул. Революционная районе ООТ "Бульвар Приморский" (чет);</t>
  </si>
  <si>
    <t>ул. Революционная районе ООТ "Бульвар Приморский" (нечет);</t>
  </si>
  <si>
    <t>ул. Революционная в районе ООТ "Школа Академика Королева" (чет);</t>
  </si>
  <si>
    <t>ул. Революционная в районе ООТ "Школа Академика Королева"  (нечет);</t>
  </si>
  <si>
    <t>ул. Революционная районе ООТ "Русь на Волге" (чет);</t>
  </si>
  <si>
    <t>ул. Революционная районе ООТ "Русь на Волге"  (нечет);</t>
  </si>
  <si>
    <t>ул. Революционная районе ООТ "Дом быта Орбита" (чет);</t>
  </si>
  <si>
    <t>ул. Революционная районе ООТ "Дом быта Орбита"  (нечет);</t>
  </si>
  <si>
    <t>ул. Революционная в районе ООТ "1000 мелочей" (чет);</t>
  </si>
  <si>
    <t>ул. Революционная в районе ООТ "1000 мелочей"  (нечет);</t>
  </si>
  <si>
    <t>ул. Революционная в районе ООТ "Ателье мод" (чет);</t>
  </si>
  <si>
    <t>ул. Революционная в районе ООТ "Ателье мод"  (нечет);</t>
  </si>
  <si>
    <t>ул. Революционная районе ООТ "Кинотеатр Сатурн" (чет);</t>
  </si>
  <si>
    <t>ул. Революционная районе ООТ "Кинотеатр Сатурн"  (нечет);</t>
  </si>
  <si>
    <t>ул. Революционная районе ООТ "Универсам" (чет);</t>
  </si>
  <si>
    <t>ул. Революционная районе ООТ "Универсам"  (нечет);</t>
  </si>
  <si>
    <t>ул. Революционная в районе ООТ "Аптека" (чет);</t>
  </si>
  <si>
    <t>устройство парковочной площадки по пр-ту Степана Разина, в районе дома №93 ;</t>
  </si>
  <si>
    <t>Ликвидация въездов и парковочных карманов в районе домов 74,76 по ул. Дзержинского;</t>
  </si>
  <si>
    <t>Ликвидация выезда от ГСК на ул. Дзержинского;</t>
  </si>
  <si>
    <t>Устройство пандуса для съезда МНГ в районе дома, расположенного по адресу Мурысева,64;</t>
  </si>
  <si>
    <t>Устройство островка безопасности в районе ООТ "Школа исскуств" по ул. Дзержинского;</t>
  </si>
  <si>
    <t>Устройство островка безопасности в районе пересечения ул. Коммунальной и ул. Полякова;</t>
  </si>
  <si>
    <t>Ликвидация разрывов на 3-х разделительных полосах по Московскому проспекту, в районе дома №3;</t>
  </si>
  <si>
    <t>устройству бортового камня (ликвидации уширения проезжей части (на 1 полосу) на перекрестке ул. Коммунистическая и ул. Есенина;</t>
  </si>
  <si>
    <t>Устройство островка безопасности с установкой технических средств организации дорожного движения на Южном шоссе в районе ООТ «АвтоВАЗтранс»;</t>
  </si>
  <si>
    <t>Устройство островка безопасности с установкой технических средств организации дорожного движения на внутриквартальном проезде напротив ТРК "Капитал" ул. Дзержинского, д. № 21;</t>
  </si>
  <si>
    <t>Устройство бортового камня (сокращение длины заездного кармана) ООТ "ДС КВЦ ВАЗа";</t>
  </si>
  <si>
    <t>Устройство островка безопасности на КТР ул. 40 лет Победы - ул. 70 лет Октября - ул. Л. Яшина;</t>
  </si>
  <si>
    <t>Устройство островка безопасности в районе пересечения Южное шоссе-ул. Борковская;</t>
  </si>
  <si>
    <t>Устройство островка безопасности в районе ООТ "Лесная" по ул. Карла Маркса;</t>
  </si>
  <si>
    <t>Устройство островка безопасности в районе перекрестка с ул. Строителей (пос. Приморский);</t>
  </si>
  <si>
    <t>Устройство островка безопасности в районе КТР б-р 50 лет Октября-Автозаводское шоссе;</t>
  </si>
  <si>
    <t>Устройство островка безопасности по ул. Ворошилова в районе дома №5;</t>
  </si>
  <si>
    <t>Устройство бортового камня (сокращение длины заездного кармана) ООТ "5 вставка ВАЗа";</t>
  </si>
  <si>
    <t>Устройство бортового камня (сокращение длины заездного кармана) ООТ "Магазин Восход" по ул. Свердлова;</t>
  </si>
  <si>
    <t>Ликвидация места разворота по ул. Спортивная в районе пересечения с Приморским бульваром;</t>
  </si>
  <si>
    <t>Восстановление бортового камня в районе дома №53 по ул. Ленина</t>
  </si>
  <si>
    <t>на пересечении Московского пр-та и ул. Дзержинского;</t>
  </si>
  <si>
    <t xml:space="preserve"> на пересечении Московского пр-та и ул. Дзержинского (установка РМП);</t>
  </si>
  <si>
    <t>По устройству бортового камня для изменения геометрии выезда в районе дома № 12  по ул. Автостроителей;</t>
  </si>
  <si>
    <t>По устройству бортового камня для изменения геометрии выезда в районе дома № 58 по ул. Баныкина;</t>
  </si>
  <si>
    <t>По устройству бортового камня для изменения геометрии выезда в районе дома №7 по ул. Ботанической;</t>
  </si>
  <si>
    <t>По установке дорожных удерживающих боковых ограждении по внутреннему радиусу на Комсомольском шоссе в районе опор №145,146,149 и 150;</t>
  </si>
  <si>
    <t>По устройству тротуара перекресток ул. Ленина и ул. М. Горького;</t>
  </si>
  <si>
    <t>По устройству бортового камня для изменения геометрии разделительной полосы на пересечении ул. Победы и ул. Комсомольской;</t>
  </si>
  <si>
    <t>По устройству бортового камня для изменения геометрии разворота на ул. Фрунзе в районе дома №35;</t>
  </si>
  <si>
    <t>По устройству поперечных шумовых полос по ул. Шлютова  перекресток с улицей Украинской;</t>
  </si>
  <si>
    <t>По установке щитов "Аварийно-опасный участок" по адресу Южное шоссе пересечение с Хрящевским и Автозаводским шоссе;</t>
  </si>
  <si>
    <t>Устройство шумовых полос на автодороге по участку а/д от Московского пр- та до мкр Приморский в районе дома №12/7 по ул. Летней (пос. Приморский) и дома №25А по ул. Строителей (пос. Приморский);</t>
  </si>
  <si>
    <t>Устройство шумовых полос на автодороге по ул. Родины в районе световых опор №159,156,125,118</t>
  </si>
  <si>
    <t>По установке повторителей сигналов светофоров в районе дома № 12  по ул. Автостроителей;</t>
  </si>
  <si>
    <t>По установке повторителей сигналов, устройство технических средств организации дорожного движения в районе дома № 58 по ул. Баныкина;</t>
  </si>
  <si>
    <t>По устройству светофорного регулирования в районе дома №7 по ул. Ботанической;</t>
  </si>
  <si>
    <t>По устройству светофорного объекта на Московском проспекте на пересечении с ул. Дзержинского;</t>
  </si>
  <si>
    <t>По устройству светофорного объекта перекресток ул. Ленина и ул. М. Горького;</t>
  </si>
  <si>
    <t>По установке повторителей сигналов на консольные опоры перекресток улиц Мира и Голосова;</t>
  </si>
  <si>
    <t>По устройству светофорного объекта на пересечении ул. Победы и ул. Комсомольской;</t>
  </si>
  <si>
    <t>По установке повторителей сигнала светофора на пересечении ул. Фрунзе и ул. Революционной;</t>
  </si>
  <si>
    <t>По устройству светофорного объекта на перекрестке ул. Северной и ул. Борковской;</t>
  </si>
  <si>
    <t>По устройству светофорного объекта по адресу Южное шоссе пересечение с Хрящевским и Автозаводским шоссе;</t>
  </si>
  <si>
    <t>По устройству транспортного светофора на перекрестке Южное шоссе - ул. 40 лет Победы;</t>
  </si>
  <si>
    <t>Установка дорожного знака на ул.40 лет Победы 57-б (поликлиника на 500 посещений в смену);</t>
  </si>
  <si>
    <t xml:space="preserve">Устройство светофорного регулирования на перекресткес ул. Коммунистическая - ул. Есенина;                                                             </t>
  </si>
  <si>
    <t>Устройство светофорного объекта (перекресток ул. Ленина - ул. Кирова);</t>
  </si>
  <si>
    <t>Устройство ТСОДД (перекресток ул. Победы – б-р 50 лет Октября);</t>
  </si>
  <si>
    <t>Устройсттво светофорного объекта (Южное шоссе  ООТ "ДС КВЦ ВАЗа");</t>
  </si>
  <si>
    <t>Устройсттво светофорного объекта (Южное шоссе  ООТ "5 вставка ВАЗа");</t>
  </si>
  <si>
    <t>Устройсттво светофорного объекта (б-р Цветной в районе дома №20);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</si>
  <si>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</si>
  <si>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</si>
  <si>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</si>
  <si>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жилищного строительства в Самарской области",  ГП "Развитие транспортной системы Самарской области")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</si>
  <si>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</si>
  <si>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</si>
  <si>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t>Устройство искусственной дорожной неровности, установка дорожных знаков 
на проезде между ул. Баныкина и ул. Ленинградская, ООШ №26 и д/с "Тополек"</t>
  </si>
  <si>
    <r>
      <t xml:space="preserve">Содержание автомобильных дорог местного значения и внутриквартальных проездов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 </t>
    </r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</si>
  <si>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</si>
  <si>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</si>
  <si>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</si>
  <si>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</si>
  <si>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</si>
  <si>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</si>
  <si>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</si>
  <si>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</si>
  <si>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</si>
  <si>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Площадь автомобильных дорог, на которых проведен ремонт “картами”</t>
  </si>
  <si>
    <t xml:space="preserve">Диагностика подземных пешеходных переходов:                                                                                                                    2023 год - автодороги Восточная завода-часть улицы Борковской между улицей Северной и шоссе Южным;                                                               2024 год - северо-восточнее жилого дома, имеющего адрес проспект Ленинский, 27;                                                          2024 год - по ул. Свердлова в районе ТД «Восход», имеющего адрес ул. Революционная, 20;                                                           2024 год - северо-восточнее здания, имеющего адрес: ул. Новозаводская, д.11;                                                                         2024 год - северо-восточнее здания, имеющего адрес: ул. Новозаводская, д.7
</t>
  </si>
  <si>
    <t>2023-2024</t>
  </si>
  <si>
    <t>190,27/189,27</t>
  </si>
  <si>
    <t>пешеходная дорожка по ул. Кудашева</t>
  </si>
  <si>
    <t>пешеходная и велосипедная дорожка вдоль ул. Родины по лесной зоне до микрорайона Портовый;</t>
  </si>
  <si>
    <t>18 кв., северо-западнее д/с "Ладушки" (б-р Солнечный,3);</t>
  </si>
  <si>
    <t>17 кв., от торца дома 11 по ул.70 лет Октября до ТЦ "Октябрь"</t>
  </si>
  <si>
    <t>1 кв., от б-ра Баумана до д/с "Гусельки" (б-р Баумана, 12);</t>
  </si>
  <si>
    <t xml:space="preserve">ООТ «Телецентр» по пр-ту Степана Разина; </t>
  </si>
  <si>
    <t>2.1.5.1</t>
  </si>
  <si>
    <t>2.1.5.2</t>
  </si>
  <si>
    <t>2.1.5.3</t>
  </si>
  <si>
    <t>2.1.5.4</t>
  </si>
  <si>
    <t>2.1.5.5</t>
  </si>
  <si>
    <t>2.1.5.6</t>
  </si>
  <si>
    <t>2.1.5.7</t>
  </si>
  <si>
    <t>2.1.5.8</t>
  </si>
  <si>
    <t>2.1.5.9</t>
  </si>
  <si>
    <t>2.1.5.10</t>
  </si>
  <si>
    <t>2.1.5.11</t>
  </si>
  <si>
    <t>2.1.5.12</t>
  </si>
  <si>
    <t>2.1.5.13</t>
  </si>
  <si>
    <t>2.1.5.14</t>
  </si>
  <si>
    <t>2.1.5.15</t>
  </si>
  <si>
    <t>2.1.5.16</t>
  </si>
  <si>
    <t>2.1.5.17</t>
  </si>
  <si>
    <t>2.1.5.18</t>
  </si>
  <si>
    <t>2.1.5.19</t>
  </si>
  <si>
    <t>2.1.5.20</t>
  </si>
  <si>
    <t>2.1.5.21</t>
  </si>
  <si>
    <t>2.1.5.22</t>
  </si>
  <si>
    <t>2.1.5.23</t>
  </si>
  <si>
    <t>2.1.5.24</t>
  </si>
  <si>
    <t>2.1.5.25</t>
  </si>
  <si>
    <t>2.1.5.26</t>
  </si>
  <si>
    <t>2.1.5.27</t>
  </si>
  <si>
    <t>2.1.5.28</t>
  </si>
  <si>
    <t>2.1.5.29</t>
  </si>
  <si>
    <t>2.1.5.30</t>
  </si>
  <si>
    <t>2.1.5.31</t>
  </si>
  <si>
    <t>2.1.5.32</t>
  </si>
  <si>
    <t>2.1.5.33</t>
  </si>
  <si>
    <t>2.1.5.34</t>
  </si>
  <si>
    <t>2.1.5.35</t>
  </si>
  <si>
    <t>2.1.5.36</t>
  </si>
  <si>
    <t>2.1.5.37</t>
  </si>
  <si>
    <t>2.1.5.38</t>
  </si>
  <si>
    <t>2.1.5.39</t>
  </si>
  <si>
    <t>2.1.5.40</t>
  </si>
  <si>
    <t>2.1.5.41</t>
  </si>
  <si>
    <t>2.1.5.42</t>
  </si>
  <si>
    <t>2.1.5.43</t>
  </si>
  <si>
    <t>2.1.5.44</t>
  </si>
  <si>
    <t>2.1.5.45</t>
  </si>
  <si>
    <t>2.1.5.46</t>
  </si>
  <si>
    <t>2.1.5.47</t>
  </si>
  <si>
    <t>2.1.5.48</t>
  </si>
  <si>
    <t>2.1.5.49</t>
  </si>
  <si>
    <t>2.1.5.50</t>
  </si>
  <si>
    <t>2.1.5.51</t>
  </si>
  <si>
    <t>2.1.5.52</t>
  </si>
  <si>
    <t>2.1.5.53</t>
  </si>
  <si>
    <t>2.1.5.54</t>
  </si>
  <si>
    <t>2.1.5.55</t>
  </si>
  <si>
    <t>2.1.5.56</t>
  </si>
  <si>
    <t>2.1.5.57</t>
  </si>
  <si>
    <t>2.1.5.58</t>
  </si>
  <si>
    <t>2.1.5.59</t>
  </si>
  <si>
    <t>2.1.5.60</t>
  </si>
  <si>
    <t>2.1.5.61</t>
  </si>
  <si>
    <t>2.1.5.62</t>
  </si>
  <si>
    <t>2.1.5.63</t>
  </si>
  <si>
    <t>2.1.5.64</t>
  </si>
  <si>
    <t>2.1.5.65</t>
  </si>
  <si>
    <t>2.1.5.66</t>
  </si>
  <si>
    <t>2.1.5.67</t>
  </si>
  <si>
    <t>2.1.5.68</t>
  </si>
  <si>
    <t>2.1.5.69</t>
  </si>
  <si>
    <t>2.1.5.70</t>
  </si>
  <si>
    <t>2.1.5.71</t>
  </si>
  <si>
    <t>2.1.5.72</t>
  </si>
  <si>
    <t>2.1.5.73</t>
  </si>
  <si>
    <t>2.1.5.74</t>
  </si>
  <si>
    <t>2.1.5.75</t>
  </si>
  <si>
    <t>2.1.5.76</t>
  </si>
  <si>
    <t>2.1.5.77</t>
  </si>
  <si>
    <t>2.1.5.78</t>
  </si>
  <si>
    <t>2.1.5.79</t>
  </si>
  <si>
    <t>2.1.5.80</t>
  </si>
  <si>
    <t>2.1.5.81</t>
  </si>
  <si>
    <t>2.1.5.82</t>
  </si>
  <si>
    <t>2.1.5.83</t>
  </si>
  <si>
    <t>2.1.5.84</t>
  </si>
  <si>
    <t>2.1.5.85</t>
  </si>
  <si>
    <t>2.1.5.86</t>
  </si>
  <si>
    <t>2.1.5.87</t>
  </si>
  <si>
    <t>2.1.5.88</t>
  </si>
  <si>
    <t>2.1.5.89</t>
  </si>
  <si>
    <t>2.1.5.90</t>
  </si>
  <si>
    <t>2.1.5.91</t>
  </si>
  <si>
    <t>2.1.5.92</t>
  </si>
  <si>
    <t>2.1.5.93</t>
  </si>
  <si>
    <t>2.1.5.94</t>
  </si>
  <si>
    <t>2.1.5.95</t>
  </si>
  <si>
    <t>2.1.5.96</t>
  </si>
  <si>
    <t>2.1.5.97</t>
  </si>
  <si>
    <t>2.1.5.98</t>
  </si>
  <si>
    <t>2.1.5.99</t>
  </si>
  <si>
    <t>2.1.5.100</t>
  </si>
  <si>
    <t>2.1.5.101</t>
  </si>
  <si>
    <t>2.1.5.102</t>
  </si>
  <si>
    <t>2.1.5.103</t>
  </si>
  <si>
    <t>2.1.5.105</t>
  </si>
  <si>
    <t>2.1.5.106</t>
  </si>
  <si>
    <t>2.1.5.107</t>
  </si>
  <si>
    <t>2.1.5.108</t>
  </si>
  <si>
    <t>2.1.5.109</t>
  </si>
  <si>
    <t>2.1.5.110</t>
  </si>
  <si>
    <t>2.1.5.111</t>
  </si>
  <si>
    <t>2.1.5.112</t>
  </si>
  <si>
    <t>2.1.5.113</t>
  </si>
  <si>
    <t>2.1.5.114</t>
  </si>
  <si>
    <t>2.1.5.115</t>
  </si>
  <si>
    <t>2.1.5.116</t>
  </si>
  <si>
    <t>2.1.5.117</t>
  </si>
  <si>
    <t>2.1.5.118</t>
  </si>
  <si>
    <t>2.1.5.119</t>
  </si>
  <si>
    <t>2.1.5.120</t>
  </si>
  <si>
    <t>2.1.5.121</t>
  </si>
  <si>
    <t>2.1.5.122</t>
  </si>
  <si>
    <t>2.1.5.123</t>
  </si>
  <si>
    <t>2.1.5.124</t>
  </si>
  <si>
    <t>2.1.5.125</t>
  </si>
  <si>
    <t>2.1.5.126</t>
  </si>
  <si>
    <t>2.1.5.127</t>
  </si>
  <si>
    <t>2.1.5.128</t>
  </si>
  <si>
    <t>2.1.5.129</t>
  </si>
  <si>
    <t>2.1.5.130</t>
  </si>
  <si>
    <t>2.1.5.131</t>
  </si>
  <si>
    <t>2.1.5.132</t>
  </si>
  <si>
    <t>2.1.5.133</t>
  </si>
  <si>
    <t>2.1.1.1.1</t>
  </si>
  <si>
    <t>2.1.1.1.2</t>
  </si>
  <si>
    <t>2.1.1.1</t>
  </si>
  <si>
    <t>2.1.1.1.3</t>
  </si>
  <si>
    <t>2.1.1.2</t>
  </si>
  <si>
    <t>2.1.1.3</t>
  </si>
  <si>
    <t>2.1.1.4</t>
  </si>
  <si>
    <t>2.1.1.6</t>
  </si>
  <si>
    <t>2.1.1.7</t>
  </si>
  <si>
    <t>2.1.1.8</t>
  </si>
  <si>
    <t>2.1.1.8.1</t>
  </si>
  <si>
    <t>2.1.1.9</t>
  </si>
  <si>
    <t>2.1.1.9.1</t>
  </si>
  <si>
    <t>2.1.1.10</t>
  </si>
  <si>
    <t>2.1.1.11</t>
  </si>
  <si>
    <t>2.1.1.12</t>
  </si>
  <si>
    <t>2.1.1.13</t>
  </si>
  <si>
    <t>2.1.1.13.1</t>
  </si>
  <si>
    <t>2.1.1.13.2</t>
  </si>
  <si>
    <t>2.1.1.13.3</t>
  </si>
  <si>
    <t>2.1.1.14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</si>
  <si>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</si>
  <si>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</si>
  <si>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</si>
  <si>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</si>
  <si>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</si>
  <si>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</si>
  <si>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</si>
  <si>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</si>
  <si>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</si>
  <si>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</si>
  <si>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</si>
  <si>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</si>
  <si>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2.1.3.13</t>
  </si>
  <si>
    <t>2.1.3.14</t>
  </si>
  <si>
    <t>2.1.3.15</t>
  </si>
  <si>
    <t>2.1.3.16</t>
  </si>
  <si>
    <t>2.1.3.17</t>
  </si>
  <si>
    <t>2.1.3.18</t>
  </si>
  <si>
    <t>2.1.3.19</t>
  </si>
  <si>
    <t>2.1.3.20</t>
  </si>
  <si>
    <t>2.1.3.22</t>
  </si>
  <si>
    <t>2.1.3.21</t>
  </si>
  <si>
    <t>2.1.3.24</t>
  </si>
  <si>
    <t>2.1.3.25</t>
  </si>
  <si>
    <t>2.1.3.26</t>
  </si>
  <si>
    <t>2.1.3.27</t>
  </si>
  <si>
    <t>2.1.3.28</t>
  </si>
  <si>
    <t>2.1.3.29</t>
  </si>
  <si>
    <t>2.1.4.1</t>
  </si>
  <si>
    <t>2.1.4.2</t>
  </si>
  <si>
    <t>2.1.4.3</t>
  </si>
  <si>
    <t>2.1.4.4</t>
  </si>
  <si>
    <t>2.1.4.5</t>
  </si>
  <si>
    <t>2.1.4.6</t>
  </si>
  <si>
    <t>2.1.4.7</t>
  </si>
  <si>
    <t>2.1.4.8</t>
  </si>
  <si>
    <t>2.1.4.9</t>
  </si>
  <si>
    <t>2.1.4.10</t>
  </si>
  <si>
    <t>2.1.4.11</t>
  </si>
  <si>
    <t>2.1.4.12</t>
  </si>
  <si>
    <t>2.1.4.13</t>
  </si>
  <si>
    <t>2.1.4.14</t>
  </si>
  <si>
    <t>2.1.4.15</t>
  </si>
  <si>
    <t>2.1.4.16</t>
  </si>
  <si>
    <t>2.1.4.17</t>
  </si>
  <si>
    <t>2.1.4.18</t>
  </si>
  <si>
    <t>2.1.4.19</t>
  </si>
  <si>
    <t>2.1.4.20</t>
  </si>
  <si>
    <t>2.1.4.21</t>
  </si>
  <si>
    <t>2.1.6.1</t>
  </si>
  <si>
    <t>2.1.6.2</t>
  </si>
  <si>
    <t>2.1.7.1</t>
  </si>
  <si>
    <t>2.1.7.2</t>
  </si>
  <si>
    <t>2.1.7.3</t>
  </si>
  <si>
    <t>2.1.7.3.1</t>
  </si>
  <si>
    <t>2.1.7.3.2</t>
  </si>
  <si>
    <t>2.1.7.3.3</t>
  </si>
  <si>
    <t>2.1.7.3.4</t>
  </si>
  <si>
    <t>2.1.7.3.5</t>
  </si>
  <si>
    <t>2.1.7.3.6</t>
  </si>
  <si>
    <t>2.1.7.3.7</t>
  </si>
  <si>
    <t>2.1.7.4</t>
  </si>
  <si>
    <t>2.1.7.5</t>
  </si>
  <si>
    <t>2.1.7.5.1</t>
  </si>
  <si>
    <t>2.1.7.6</t>
  </si>
  <si>
    <t>2.1.7.6.1</t>
  </si>
  <si>
    <t>2.17.7</t>
  </si>
  <si>
    <t>Приложение № 1                                                                                             к  постановлению администрации городского округа Тольятти от______________№ __________</t>
  </si>
  <si>
    <t>Приложение № 2 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</si>
  <si>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3                                                                                            к постановлению администрации городского округа Тольятти                           от______________ №_________</t>
  </si>
  <si>
    <t>Приложение № 4                                                                                                                                                                       к  постановлению администрации городского  округа Тольятти                                                                    от______________ №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</si>
</sst>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  <numFmt numFmtId="171" formatCode="#,##0_ ;\-#,##0\ "/>
    <numFmt numFmtId="172" formatCode="0.00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8" fillId="0" borderId="0"/>
    <xf numFmtId="0" fontId="18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6">
    <xf numFmtId="0" fontId="0" fillId="0" borderId="0" xfId="0"/>
    <xf numFmtId="0" fontId="0" fillId="0" borderId="0" xfId="0" applyFill="1"/>
    <xf numFmtId="0" fontId="25" fillId="0" borderId="0" xfId="0" applyFont="1" applyFill="1" applyAlignment="1">
      <alignment wrapText="1"/>
    </xf>
    <xf numFmtId="0" fontId="0" fillId="0" borderId="6" xfId="0" applyFill="1" applyBorder="1"/>
    <xf numFmtId="0" fontId="5" fillId="0" borderId="0" xfId="0" applyFont="1" applyFill="1"/>
    <xf numFmtId="0" fontId="14" fillId="0" borderId="0" xfId="0" applyFont="1" applyFill="1"/>
    <xf numFmtId="0" fontId="24" fillId="0" borderId="0" xfId="0" applyFont="1" applyFill="1"/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0" fillId="0" borderId="0" xfId="0" applyFont="1" applyFill="1"/>
    <xf numFmtId="0" fontId="19" fillId="0" borderId="0" xfId="0" applyFont="1" applyFill="1" applyAlignment="1">
      <alignment vertical="center"/>
    </xf>
    <xf numFmtId="0" fontId="17" fillId="0" borderId="0" xfId="0" applyFont="1" applyFill="1"/>
    <xf numFmtId="0" fontId="19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4" fontId="9" fillId="0" borderId="0" xfId="0" applyNumberFormat="1" applyFont="1" applyFill="1"/>
    <xf numFmtId="0" fontId="39" fillId="0" borderId="0" xfId="0" applyFont="1" applyFill="1"/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0" fillId="0" borderId="0" xfId="0" applyNumberFormat="1" applyFill="1"/>
    <xf numFmtId="2" fontId="0" fillId="0" borderId="0" xfId="0" applyNumberFormat="1" applyFill="1"/>
    <xf numFmtId="2" fontId="5" fillId="0" borderId="0" xfId="0" applyNumberFormat="1" applyFont="1" applyFill="1"/>
    <xf numFmtId="0" fontId="0" fillId="0" borderId="6" xfId="0" applyFill="1" applyBorder="1" applyAlignment="1">
      <alignment wrapText="1"/>
    </xf>
    <xf numFmtId="2" fontId="0" fillId="0" borderId="6" xfId="0" applyNumberForma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5" fillId="0" borderId="0" xfId="0" applyFont="1" applyFill="1" applyAlignment="1">
      <alignment wrapText="1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/>
    </xf>
    <xf numFmtId="0" fontId="7" fillId="0" borderId="9" xfId="0" applyFont="1" applyFill="1" applyBorder="1" applyAlignment="1">
      <alignment vertical="center"/>
    </xf>
    <xf numFmtId="0" fontId="27" fillId="0" borderId="0" xfId="0" applyFont="1" applyFill="1"/>
    <xf numFmtId="0" fontId="20" fillId="0" borderId="0" xfId="0" applyFont="1" applyFill="1" applyAlignment="1">
      <alignment horizontal="center"/>
    </xf>
    <xf numFmtId="3" fontId="29" fillId="0" borderId="0" xfId="0" applyNumberFormat="1" applyFont="1" applyFill="1" applyAlignment="1">
      <alignment horizontal="center" vertical="center"/>
    </xf>
    <xf numFmtId="0" fontId="0" fillId="0" borderId="3" xfId="0" applyFill="1" applyBorder="1"/>
    <xf numFmtId="0" fontId="5" fillId="0" borderId="3" xfId="0" applyFont="1" applyFill="1" applyBorder="1"/>
    <xf numFmtId="3" fontId="29" fillId="0" borderId="4" xfId="0" applyNumberFormat="1" applyFont="1" applyFill="1" applyBorder="1" applyAlignment="1">
      <alignment horizontal="center" vertical="center"/>
    </xf>
    <xf numFmtId="166" fontId="40" fillId="0" borderId="1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top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2" fontId="7" fillId="0" borderId="0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wrapText="1"/>
    </xf>
    <xf numFmtId="2" fontId="49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justify" vertical="center" wrapText="1"/>
    </xf>
    <xf numFmtId="0" fontId="24" fillId="2" borderId="0" xfId="0" applyFont="1" applyFill="1" applyAlignment="1">
      <alignment horizontal="center"/>
    </xf>
    <xf numFmtId="0" fontId="5" fillId="2" borderId="0" xfId="0" applyFont="1" applyFill="1"/>
    <xf numFmtId="0" fontId="24" fillId="2" borderId="0" xfId="0" applyFont="1" applyFill="1"/>
    <xf numFmtId="0" fontId="0" fillId="2" borderId="0" xfId="0" applyFill="1" applyAlignment="1">
      <alignment wrapText="1"/>
    </xf>
    <xf numFmtId="0" fontId="21" fillId="2" borderId="0" xfId="0" applyFont="1" applyFill="1" applyAlignment="1">
      <alignment horizontal="center"/>
    </xf>
    <xf numFmtId="0" fontId="44" fillId="2" borderId="1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0" fillId="2" borderId="0" xfId="0" applyFont="1" applyFill="1"/>
    <xf numFmtId="0" fontId="19" fillId="2" borderId="3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7" fontId="5" fillId="2" borderId="0" xfId="0" applyNumberFormat="1" applyFont="1" applyFill="1"/>
    <xf numFmtId="0" fontId="17" fillId="2" borderId="0" xfId="0" applyFont="1" applyFill="1"/>
    <xf numFmtId="0" fontId="24" fillId="2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center" vertical="center" wrapText="1"/>
    </xf>
    <xf numFmtId="168" fontId="6" fillId="0" borderId="4" xfId="0" applyNumberFormat="1" applyFont="1" applyFill="1" applyBorder="1" applyAlignment="1">
      <alignment horizontal="center" vertical="top" wrapText="1"/>
    </xf>
    <xf numFmtId="168" fontId="46" fillId="0" borderId="4" xfId="0" applyNumberFormat="1" applyFont="1" applyFill="1" applyBorder="1" applyAlignment="1">
      <alignment horizontal="center" vertical="top" wrapText="1"/>
    </xf>
    <xf numFmtId="169" fontId="6" fillId="0" borderId="1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top" wrapText="1"/>
    </xf>
    <xf numFmtId="168" fontId="6" fillId="0" borderId="1" xfId="0" applyNumberFormat="1" applyFont="1" applyFill="1" applyBorder="1" applyAlignment="1">
      <alignment horizontal="center" vertical="top" wrapText="1"/>
    </xf>
    <xf numFmtId="169" fontId="6" fillId="0" borderId="1" xfId="0" applyNumberFormat="1" applyFont="1" applyFill="1" applyBorder="1" applyAlignment="1">
      <alignment horizontal="center" vertical="top" wrapText="1"/>
    </xf>
    <xf numFmtId="168" fontId="6" fillId="0" borderId="16" xfId="0" applyNumberFormat="1" applyFont="1" applyFill="1" applyBorder="1" applyAlignment="1">
      <alignment horizontal="center" vertical="top" wrapText="1"/>
    </xf>
    <xf numFmtId="168" fontId="6" fillId="0" borderId="13" xfId="0" applyNumberFormat="1" applyFont="1" applyFill="1" applyBorder="1" applyAlignment="1">
      <alignment horizontal="center" vertical="top" wrapText="1"/>
    </xf>
    <xf numFmtId="169" fontId="6" fillId="0" borderId="13" xfId="0" applyNumberFormat="1" applyFont="1" applyFill="1" applyBorder="1" applyAlignment="1">
      <alignment horizontal="center" vertical="top" wrapText="1"/>
    </xf>
    <xf numFmtId="169" fontId="6" fillId="0" borderId="14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169" fontId="6" fillId="0" borderId="5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169" fontId="6" fillId="0" borderId="4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168" fontId="46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168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top" wrapText="1"/>
    </xf>
    <xf numFmtId="170" fontId="6" fillId="0" borderId="1" xfId="0" applyNumberFormat="1" applyFont="1" applyFill="1" applyBorder="1" applyAlignment="1">
      <alignment horizontal="center" vertical="top" wrapText="1"/>
    </xf>
    <xf numFmtId="169" fontId="46" fillId="0" borderId="1" xfId="0" applyNumberFormat="1" applyFont="1" applyFill="1" applyBorder="1" applyAlignment="1">
      <alignment horizontal="center" vertical="top" wrapText="1"/>
    </xf>
    <xf numFmtId="169" fontId="6" fillId="0" borderId="1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167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72" fontId="6" fillId="0" borderId="1" xfId="0" applyNumberFormat="1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46" fillId="0" borderId="1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2" fontId="4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wrapText="1"/>
    </xf>
    <xf numFmtId="0" fontId="25" fillId="2" borderId="0" xfId="0" applyFont="1" applyFill="1" applyAlignment="1">
      <alignment horizontal="center" vertical="center"/>
    </xf>
    <xf numFmtId="0" fontId="14" fillId="2" borderId="0" xfId="0" applyFont="1" applyFill="1"/>
    <xf numFmtId="0" fontId="24" fillId="2" borderId="0" xfId="0" applyFont="1" applyFill="1" applyAlignment="1">
      <alignment horizontal="center" vertical="top" wrapText="1"/>
    </xf>
    <xf numFmtId="165" fontId="0" fillId="2" borderId="0" xfId="0" applyNumberFormat="1" applyFill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left" vertical="center" wrapText="1"/>
    </xf>
    <xf numFmtId="168" fontId="15" fillId="2" borderId="1" xfId="0" applyNumberFormat="1" applyFont="1" applyFill="1" applyBorder="1" applyAlignment="1">
      <alignment horizontal="center" vertical="top"/>
    </xf>
    <xf numFmtId="168" fontId="15" fillId="2" borderId="1" xfId="0" applyNumberFormat="1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168" fontId="15" fillId="2" borderId="5" xfId="0" applyNumberFormat="1" applyFont="1" applyFill="1" applyBorder="1" applyAlignment="1">
      <alignment horizontal="center" vertical="top"/>
    </xf>
    <xf numFmtId="168" fontId="15" fillId="2" borderId="5" xfId="0" applyNumberFormat="1" applyFont="1" applyFill="1" applyBorder="1" applyAlignment="1">
      <alignment horizontal="center" vertical="center"/>
    </xf>
    <xf numFmtId="168" fontId="15" fillId="2" borderId="4" xfId="0" applyNumberFormat="1" applyFont="1" applyFill="1" applyBorder="1" applyAlignment="1">
      <alignment horizontal="center" vertical="top"/>
    </xf>
    <xf numFmtId="168" fontId="15" fillId="2" borderId="15" xfId="0" applyNumberFormat="1" applyFont="1" applyFill="1" applyBorder="1" applyAlignment="1">
      <alignment horizontal="center" vertical="center"/>
    </xf>
    <xf numFmtId="168" fontId="15" fillId="2" borderId="4" xfId="0" applyNumberFormat="1" applyFont="1" applyFill="1" applyBorder="1" applyAlignment="1">
      <alignment horizontal="center" vertical="center"/>
    </xf>
    <xf numFmtId="168" fontId="15" fillId="2" borderId="2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25" fillId="2" borderId="0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left" vertical="center" wrapText="1"/>
    </xf>
    <xf numFmtId="0" fontId="45" fillId="2" borderId="9" xfId="0" applyFont="1" applyFill="1" applyBorder="1" applyAlignment="1">
      <alignment horizontal="left" vertical="center" wrapText="1"/>
    </xf>
    <xf numFmtId="168" fontId="15" fillId="2" borderId="8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168" fontId="34" fillId="2" borderId="8" xfId="0" applyNumberFormat="1" applyFont="1" applyFill="1" applyBorder="1" applyAlignment="1">
      <alignment horizontal="center" vertical="top"/>
    </xf>
    <xf numFmtId="168" fontId="15" fillId="2" borderId="8" xfId="0" applyNumberFormat="1" applyFont="1" applyFill="1" applyBorder="1" applyAlignment="1">
      <alignment horizontal="center" vertical="top"/>
    </xf>
    <xf numFmtId="168" fontId="34" fillId="2" borderId="8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168" fontId="34" fillId="2" borderId="1" xfId="0" applyNumberFormat="1" applyFont="1" applyFill="1" applyBorder="1" applyAlignment="1">
      <alignment horizontal="center" vertical="center"/>
    </xf>
    <xf numFmtId="167" fontId="34" fillId="2" borderId="5" xfId="0" applyNumberFormat="1" applyFont="1" applyFill="1" applyBorder="1" applyAlignment="1">
      <alignment vertical="top"/>
    </xf>
    <xf numFmtId="167" fontId="34" fillId="2" borderId="5" xfId="0" applyNumberFormat="1" applyFont="1" applyFill="1" applyBorder="1" applyAlignment="1">
      <alignment vertical="center"/>
    </xf>
    <xf numFmtId="167" fontId="34" fillId="2" borderId="8" xfId="0" applyNumberFormat="1" applyFont="1" applyFill="1" applyBorder="1" applyAlignment="1">
      <alignment vertical="top"/>
    </xf>
    <xf numFmtId="167" fontId="34" fillId="2" borderId="8" xfId="0" applyNumberFormat="1" applyFont="1" applyFill="1" applyBorder="1" applyAlignment="1">
      <alignment vertical="center"/>
    </xf>
    <xf numFmtId="167" fontId="34" fillId="2" borderId="4" xfId="0" applyNumberFormat="1" applyFont="1" applyFill="1" applyBorder="1" applyAlignment="1">
      <alignment vertical="top"/>
    </xf>
    <xf numFmtId="167" fontId="34" fillId="2" borderId="4" xfId="0" applyNumberFormat="1" applyFont="1" applyFill="1" applyBorder="1" applyAlignment="1">
      <alignment vertical="center"/>
    </xf>
    <xf numFmtId="167" fontId="34" fillId="2" borderId="8" xfId="0" applyNumberFormat="1" applyFont="1" applyFill="1" applyBorder="1" applyAlignment="1">
      <alignment horizontal="center" vertical="top"/>
    </xf>
    <xf numFmtId="167" fontId="34" fillId="2" borderId="8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16" fillId="2" borderId="5" xfId="0" applyFont="1" applyFill="1" applyBorder="1" applyAlignment="1">
      <alignment horizontal="center" vertical="center" wrapText="1"/>
    </xf>
    <xf numFmtId="168" fontId="34" fillId="2" borderId="5" xfId="0" applyNumberFormat="1" applyFont="1" applyFill="1" applyBorder="1" applyAlignment="1">
      <alignment horizontal="center" vertical="center"/>
    </xf>
    <xf numFmtId="167" fontId="34" fillId="2" borderId="5" xfId="0" applyNumberFormat="1" applyFont="1" applyFill="1" applyBorder="1" applyAlignment="1">
      <alignment horizontal="center" vertical="center"/>
    </xf>
    <xf numFmtId="167" fontId="34" fillId="2" borderId="1" xfId="0" applyNumberFormat="1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>
      <alignment vertical="top"/>
    </xf>
    <xf numFmtId="168" fontId="34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top" wrapText="1"/>
    </xf>
    <xf numFmtId="0" fontId="25" fillId="2" borderId="11" xfId="0" applyFont="1" applyFill="1" applyBorder="1" applyAlignment="1">
      <alignment horizontal="left" vertical="center" wrapText="1"/>
    </xf>
    <xf numFmtId="168" fontId="34" fillId="2" borderId="4" xfId="0" applyNumberFormat="1" applyFont="1" applyFill="1" applyBorder="1" applyAlignment="1">
      <alignment vertical="top"/>
    </xf>
    <xf numFmtId="168" fontId="34" fillId="2" borderId="4" xfId="0" applyNumberFormat="1" applyFont="1" applyFill="1" applyBorder="1" applyAlignment="1">
      <alignment vertical="center"/>
    </xf>
    <xf numFmtId="168" fontId="34" fillId="2" borderId="8" xfId="0" applyNumberFormat="1" applyFont="1" applyFill="1" applyBorder="1" applyAlignment="1">
      <alignment vertical="top"/>
    </xf>
    <xf numFmtId="168" fontId="34" fillId="2" borderId="8" xfId="0" applyNumberFormat="1" applyFont="1" applyFill="1" applyBorder="1" applyAlignment="1">
      <alignment vertical="center"/>
    </xf>
    <xf numFmtId="168" fontId="15" fillId="2" borderId="8" xfId="0" applyNumberFormat="1" applyFont="1" applyFill="1" applyBorder="1" applyAlignment="1">
      <alignment vertical="top"/>
    </xf>
    <xf numFmtId="0" fontId="16" fillId="2" borderId="8" xfId="0" applyFont="1" applyFill="1" applyBorder="1" applyAlignment="1">
      <alignment horizontal="center" vertical="top" wrapText="1"/>
    </xf>
    <xf numFmtId="0" fontId="56" fillId="2" borderId="8" xfId="0" applyFont="1" applyFill="1" applyBorder="1" applyAlignment="1">
      <alignment horizontal="left" vertical="center" wrapText="1"/>
    </xf>
    <xf numFmtId="168" fontId="34" fillId="2" borderId="1" xfId="0" applyNumberFormat="1" applyFont="1" applyFill="1" applyBorder="1" applyAlignment="1">
      <alignment horizontal="center" vertical="top"/>
    </xf>
    <xf numFmtId="0" fontId="25" fillId="2" borderId="17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wrapText="1"/>
    </xf>
    <xf numFmtId="0" fontId="25" fillId="2" borderId="11" xfId="0" applyFont="1" applyFill="1" applyBorder="1"/>
    <xf numFmtId="0" fontId="10" fillId="2" borderId="1" xfId="0" applyFont="1" applyFill="1" applyBorder="1" applyAlignment="1">
      <alignment horizontal="center" vertical="center"/>
    </xf>
    <xf numFmtId="3" fontId="34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5" fillId="2" borderId="6" xfId="0" applyFont="1" applyFill="1" applyBorder="1"/>
    <xf numFmtId="0" fontId="19" fillId="2" borderId="0" xfId="0" applyFont="1" applyFill="1" applyAlignment="1">
      <alignment vertical="center" wrapText="1"/>
    </xf>
    <xf numFmtId="2" fontId="19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51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 shrinkToFit="1"/>
    </xf>
    <xf numFmtId="4" fontId="13" fillId="2" borderId="1" xfId="0" applyNumberFormat="1" applyFont="1" applyFill="1" applyBorder="1" applyAlignment="1">
      <alignment vertical="center" wrapText="1" shrinkToFit="1"/>
    </xf>
    <xf numFmtId="2" fontId="7" fillId="2" borderId="1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4" fontId="11" fillId="2" borderId="1" xfId="0" applyNumberFormat="1" applyFont="1" applyFill="1" applyBorder="1" applyAlignment="1">
      <alignment vertical="center" wrapText="1" shrinkToFit="1"/>
    </xf>
    <xf numFmtId="2" fontId="6" fillId="2" borderId="1" xfId="0" applyNumberFormat="1" applyFont="1" applyFill="1" applyBorder="1" applyAlignment="1">
      <alignment horizontal="center" vertical="center" wrapText="1" shrinkToFit="1"/>
    </xf>
    <xf numFmtId="3" fontId="6" fillId="2" borderId="1" xfId="0" applyNumberFormat="1" applyFont="1" applyFill="1" applyBorder="1" applyAlignment="1">
      <alignment horizontal="center" vertical="center" wrapText="1" shrinkToFit="1"/>
    </xf>
    <xf numFmtId="2" fontId="6" fillId="2" borderId="1" xfId="0" applyNumberFormat="1" applyFont="1" applyFill="1" applyBorder="1" applyAlignment="1">
      <alignment horizontal="center" vertical="center" shrinkToFit="1"/>
    </xf>
    <xf numFmtId="3" fontId="6" fillId="2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shrinkToFit="1"/>
    </xf>
    <xf numFmtId="4" fontId="8" fillId="2" borderId="1" xfId="0" applyNumberFormat="1" applyFont="1" applyFill="1" applyBorder="1" applyAlignment="1">
      <alignment horizontal="center" vertical="center" wrapText="1" shrinkToFit="1"/>
    </xf>
    <xf numFmtId="4" fontId="31" fillId="2" borderId="1" xfId="0" applyNumberFormat="1" applyFont="1" applyFill="1" applyBorder="1" applyAlignment="1">
      <alignment vertical="center" wrapText="1" shrinkToFit="1"/>
    </xf>
    <xf numFmtId="2" fontId="8" fillId="2" borderId="1" xfId="0" applyNumberFormat="1" applyFont="1" applyFill="1" applyBorder="1" applyAlignment="1">
      <alignment horizontal="center" vertical="center" wrapText="1" shrinkToFit="1"/>
    </xf>
    <xf numFmtId="3" fontId="8" fillId="2" borderId="1" xfId="0" applyNumberFormat="1" applyFont="1" applyFill="1" applyBorder="1" applyAlignment="1">
      <alignment horizontal="center" vertical="center" wrapText="1" shrinkToFit="1"/>
    </xf>
    <xf numFmtId="2" fontId="57" fillId="2" borderId="1" xfId="0" applyNumberFormat="1" applyFont="1" applyFill="1" applyBorder="1" applyAlignment="1">
      <alignment horizontal="center" vertical="center" wrapText="1" shrinkToFit="1"/>
    </xf>
    <xf numFmtId="4" fontId="10" fillId="2" borderId="1" xfId="0" applyNumberFormat="1" applyFont="1" applyFill="1" applyBorder="1" applyAlignment="1">
      <alignment horizontal="center" vertical="center" wrapText="1" shrinkToFit="1"/>
    </xf>
    <xf numFmtId="4" fontId="13" fillId="2" borderId="1" xfId="0" applyNumberFormat="1" applyFont="1" applyFill="1" applyBorder="1" applyAlignment="1">
      <alignment horizontal="left" vertical="center" wrapText="1" shrinkToFit="1"/>
    </xf>
    <xf numFmtId="4" fontId="11" fillId="2" borderId="1" xfId="0" applyNumberFormat="1" applyFont="1" applyFill="1" applyBorder="1" applyAlignment="1">
      <alignment horizontal="left" vertical="center" wrapText="1" shrinkToFit="1"/>
    </xf>
    <xf numFmtId="4" fontId="35" fillId="2" borderId="1" xfId="0" applyNumberFormat="1" applyFont="1" applyFill="1" applyBorder="1" applyAlignment="1">
      <alignment horizontal="center" vertical="center" wrapText="1" shrinkToFit="1"/>
    </xf>
    <xf numFmtId="4" fontId="31" fillId="2" borderId="1" xfId="0" applyNumberFormat="1" applyFont="1" applyFill="1" applyBorder="1" applyAlignment="1">
      <alignment horizontal="left" vertical="center" wrapText="1" shrinkToFit="1"/>
    </xf>
    <xf numFmtId="4" fontId="39" fillId="2" borderId="0" xfId="0" applyNumberFormat="1" applyFont="1" applyFill="1"/>
    <xf numFmtId="4" fontId="10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4" fontId="11" fillId="2" borderId="1" xfId="0" applyNumberFormat="1" applyFont="1" applyFill="1" applyBorder="1" applyAlignment="1">
      <alignment horizontal="left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46" fillId="2" borderId="1" xfId="1" applyNumberFormat="1" applyFont="1" applyFill="1" applyBorder="1" applyAlignment="1">
      <alignment horizontal="center" vertical="center" wrapText="1"/>
    </xf>
    <xf numFmtId="4" fontId="49" fillId="2" borderId="1" xfId="1" applyNumberFormat="1" applyFont="1" applyFill="1" applyBorder="1" applyAlignment="1">
      <alignment horizontal="left" vertical="center" wrapText="1"/>
    </xf>
    <xf numFmtId="2" fontId="46" fillId="2" borderId="1" xfId="0" applyNumberFormat="1" applyFont="1" applyFill="1" applyBorder="1" applyAlignment="1">
      <alignment horizontal="center" vertical="center" wrapText="1"/>
    </xf>
    <xf numFmtId="2" fontId="46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2" fontId="11" fillId="2" borderId="1" xfId="1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2" fontId="8" fillId="2" borderId="1" xfId="1" applyNumberFormat="1" applyFont="1" applyFill="1" applyBorder="1" applyAlignment="1">
      <alignment horizontal="left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65" fontId="31" fillId="2" borderId="1" xfId="0" applyNumberFormat="1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 shrinkToFit="1"/>
    </xf>
    <xf numFmtId="4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55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left" vertical="center" wrapText="1"/>
    </xf>
    <xf numFmtId="165" fontId="13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171" fontId="6" fillId="2" borderId="1" xfId="4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168" fontId="25" fillId="2" borderId="1" xfId="0" applyNumberFormat="1" applyFont="1" applyFill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167" fontId="25" fillId="2" borderId="1" xfId="0" applyNumberFormat="1" applyFont="1" applyFill="1" applyBorder="1" applyAlignment="1">
      <alignment horizontal="center" vertical="center" wrapText="1"/>
    </xf>
    <xf numFmtId="3" fontId="53" fillId="2" borderId="1" xfId="0" applyNumberFormat="1" applyFont="1" applyFill="1" applyBorder="1" applyAlignment="1">
      <alignment horizontal="center" vertical="center"/>
    </xf>
    <xf numFmtId="3" fontId="54" fillId="2" borderId="1" xfId="0" applyNumberFormat="1" applyFont="1" applyFill="1" applyBorder="1" applyAlignment="1">
      <alignment horizontal="center" vertical="center"/>
    </xf>
    <xf numFmtId="0" fontId="56" fillId="2" borderId="7" xfId="0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68" fontId="29" fillId="2" borderId="1" xfId="0" applyNumberFormat="1" applyFont="1" applyFill="1" applyBorder="1" applyAlignment="1">
      <alignment vertical="center"/>
    </xf>
    <xf numFmtId="166" fontId="16" fillId="2" borderId="1" xfId="0" applyNumberFormat="1" applyFont="1" applyFill="1" applyBorder="1" applyAlignment="1">
      <alignment horizontal="center" vertical="center"/>
    </xf>
    <xf numFmtId="167" fontId="22" fillId="2" borderId="1" xfId="8" applyNumberFormat="1" applyFont="1" applyFill="1" applyBorder="1" applyAlignment="1">
      <alignment horizontal="center" vertical="center" wrapText="1"/>
    </xf>
    <xf numFmtId="3" fontId="28" fillId="2" borderId="1" xfId="4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/>
    <xf numFmtId="3" fontId="24" fillId="2" borderId="0" xfId="0" applyNumberFormat="1" applyFont="1" applyFill="1"/>
    <xf numFmtId="3" fontId="29" fillId="2" borderId="1" xfId="4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16" fontId="19" fillId="2" borderId="1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vertical="center"/>
    </xf>
    <xf numFmtId="168" fontId="0" fillId="2" borderId="0" xfId="0" applyNumberFormat="1" applyFill="1"/>
    <xf numFmtId="0" fontId="6" fillId="2" borderId="7" xfId="0" applyFont="1" applyFill="1" applyBorder="1" applyAlignment="1">
      <alignment horizontal="left" vertical="top" wrapText="1"/>
    </xf>
    <xf numFmtId="167" fontId="2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25" fillId="2" borderId="1" xfId="6" applyNumberFormat="1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25" fillId="2" borderId="1" xfId="6" applyFont="1" applyFill="1" applyBorder="1" applyAlignment="1">
      <alignment horizontal="center" vertical="center" wrapText="1"/>
    </xf>
    <xf numFmtId="3" fontId="29" fillId="2" borderId="1" xfId="6" applyNumberFormat="1" applyFont="1" applyFill="1" applyBorder="1" applyAlignment="1">
      <alignment horizontal="center" vertical="center"/>
    </xf>
    <xf numFmtId="3" fontId="28" fillId="2" borderId="1" xfId="6" applyNumberFormat="1" applyFont="1" applyFill="1" applyBorder="1" applyAlignment="1">
      <alignment horizontal="center" vertical="center"/>
    </xf>
    <xf numFmtId="3" fontId="53" fillId="2" borderId="1" xfId="6" applyNumberFormat="1" applyFont="1" applyFill="1" applyBorder="1" applyAlignment="1">
      <alignment horizontal="center" vertical="center"/>
    </xf>
    <xf numFmtId="3" fontId="54" fillId="2" borderId="1" xfId="6" applyNumberFormat="1" applyFont="1" applyFill="1" applyBorder="1" applyAlignment="1">
      <alignment horizontal="center" vertical="center"/>
    </xf>
    <xf numFmtId="165" fontId="25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6" fillId="2" borderId="1" xfId="0" applyNumberFormat="1" applyFont="1" applyFill="1" applyBorder="1" applyAlignment="1">
      <alignment horizontal="center" vertical="center"/>
    </xf>
    <xf numFmtId="165" fontId="25" fillId="2" borderId="3" xfId="0" applyNumberFormat="1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top" wrapText="1"/>
    </xf>
    <xf numFmtId="0" fontId="16" fillId="2" borderId="7" xfId="0" applyFont="1" applyFill="1" applyBorder="1" applyAlignment="1">
      <alignment wrapText="1"/>
    </xf>
    <xf numFmtId="0" fontId="16" fillId="2" borderId="3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168" fontId="15" fillId="2" borderId="5" xfId="0" applyNumberFormat="1" applyFont="1" applyFill="1" applyBorder="1" applyAlignment="1">
      <alignment horizontal="center" vertical="top"/>
    </xf>
    <xf numFmtId="168" fontId="15" fillId="2" borderId="8" xfId="0" applyNumberFormat="1" applyFont="1" applyFill="1" applyBorder="1" applyAlignment="1">
      <alignment horizontal="center" vertical="top"/>
    </xf>
    <xf numFmtId="168" fontId="15" fillId="2" borderId="4" xfId="0" applyNumberFormat="1" applyFont="1" applyFill="1" applyBorder="1" applyAlignment="1">
      <alignment horizontal="center" vertical="top"/>
    </xf>
    <xf numFmtId="168" fontId="34" fillId="2" borderId="5" xfId="0" applyNumberFormat="1" applyFont="1" applyFill="1" applyBorder="1" applyAlignment="1">
      <alignment horizontal="center" vertical="top"/>
    </xf>
    <xf numFmtId="168" fontId="34" fillId="2" borderId="8" xfId="0" applyNumberFormat="1" applyFont="1" applyFill="1" applyBorder="1" applyAlignment="1">
      <alignment horizontal="center" vertical="top"/>
    </xf>
    <xf numFmtId="168" fontId="34" fillId="2" borderId="4" xfId="0" applyNumberFormat="1" applyFont="1" applyFill="1" applyBorder="1" applyAlignment="1">
      <alignment horizontal="center" vertical="top"/>
    </xf>
    <xf numFmtId="168" fontId="15" fillId="2" borderId="8" xfId="0" applyNumberFormat="1" applyFont="1" applyFill="1" applyBorder="1" applyAlignment="1">
      <alignment horizontal="center" vertical="center"/>
    </xf>
    <xf numFmtId="168" fontId="34" fillId="2" borderId="8" xfId="0" applyNumberFormat="1" applyFont="1" applyFill="1" applyBorder="1" applyAlignment="1">
      <alignment horizontal="center" vertical="center"/>
    </xf>
    <xf numFmtId="168" fontId="34" fillId="2" borderId="17" xfId="0" applyNumberFormat="1" applyFont="1" applyFill="1" applyBorder="1" applyAlignment="1">
      <alignment horizontal="center" vertical="top"/>
    </xf>
    <xf numFmtId="168" fontId="15" fillId="2" borderId="4" xfId="0" applyNumberFormat="1" applyFont="1" applyFill="1" applyBorder="1" applyAlignment="1">
      <alignment horizontal="center" vertical="center"/>
    </xf>
    <xf numFmtId="168" fontId="34" fillId="2" borderId="4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168" fontId="16" fillId="2" borderId="5" xfId="0" applyNumberFormat="1" applyFont="1" applyFill="1" applyBorder="1" applyAlignment="1">
      <alignment horizontal="center" vertical="top" wrapText="1"/>
    </xf>
    <xf numFmtId="168" fontId="16" fillId="2" borderId="8" xfId="0" applyNumberFormat="1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center" wrapText="1"/>
    </xf>
    <xf numFmtId="168" fontId="34" fillId="2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168" fontId="15" fillId="2" borderId="1" xfId="0" applyNumberFormat="1" applyFont="1" applyFill="1" applyBorder="1" applyAlignment="1">
      <alignment horizontal="center" vertical="top"/>
    </xf>
    <xf numFmtId="168" fontId="34" fillId="2" borderId="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51" fillId="2" borderId="7" xfId="0" applyFont="1" applyFill="1" applyBorder="1" applyAlignment="1">
      <alignment horizontal="left" vertical="center" wrapText="1"/>
    </xf>
    <xf numFmtId="0" fontId="51" fillId="2" borderId="3" xfId="0" applyFont="1" applyFill="1" applyBorder="1" applyAlignment="1">
      <alignment horizontal="left" vertical="center" wrapText="1"/>
    </xf>
    <xf numFmtId="0" fontId="51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8" fillId="2" borderId="6" xfId="0" applyFont="1" applyFill="1" applyBorder="1"/>
    <xf numFmtId="0" fontId="19" fillId="2" borderId="1" xfId="0" applyFont="1" applyFill="1" applyBorder="1" applyAlignment="1">
      <alignment horizontal="center" vertical="center" wrapText="1"/>
    </xf>
    <xf numFmtId="168" fontId="15" fillId="2" borderId="9" xfId="0" applyNumberFormat="1" applyFont="1" applyFill="1" applyBorder="1" applyAlignment="1">
      <alignment horizontal="center" vertical="top"/>
    </xf>
    <xf numFmtId="168" fontId="34" fillId="2" borderId="11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left" wrapText="1"/>
    </xf>
    <xf numFmtId="2" fontId="10" fillId="2" borderId="7" xfId="1" applyNumberFormat="1" applyFont="1" applyFill="1" applyBorder="1" applyAlignment="1">
      <alignment horizontal="left" vertical="center" wrapText="1"/>
    </xf>
    <xf numFmtId="2" fontId="10" fillId="2" borderId="3" xfId="1" applyNumberFormat="1" applyFont="1" applyFill="1" applyBorder="1" applyAlignment="1">
      <alignment horizontal="left" vertical="center" wrapText="1"/>
    </xf>
    <xf numFmtId="2" fontId="10" fillId="2" borderId="2" xfId="1" applyNumberFormat="1" applyFont="1" applyFill="1" applyBorder="1" applyAlignment="1">
      <alignment horizontal="left" vertical="center" wrapText="1"/>
    </xf>
    <xf numFmtId="4" fontId="10" fillId="2" borderId="7" xfId="1" applyNumberFormat="1" applyFont="1" applyFill="1" applyBorder="1" applyAlignment="1">
      <alignment horizontal="left" vertical="center" wrapText="1"/>
    </xf>
    <xf numFmtId="4" fontId="10" fillId="2" borderId="3" xfId="1" applyNumberFormat="1" applyFont="1" applyFill="1" applyBorder="1" applyAlignment="1">
      <alignment horizontal="left" vertical="center" wrapText="1"/>
    </xf>
    <xf numFmtId="4" fontId="10" fillId="2" borderId="2" xfId="1" applyNumberFormat="1" applyFont="1" applyFill="1" applyBorder="1" applyAlignment="1">
      <alignment horizontal="left" vertical="center" wrapText="1"/>
    </xf>
    <xf numFmtId="165" fontId="10" fillId="2" borderId="7" xfId="1" applyNumberFormat="1" applyFont="1" applyFill="1" applyBorder="1" applyAlignment="1">
      <alignment horizontal="left" vertical="center" wrapText="1"/>
    </xf>
    <xf numFmtId="165" fontId="10" fillId="2" borderId="3" xfId="1" applyNumberFormat="1" applyFont="1" applyFill="1" applyBorder="1" applyAlignment="1">
      <alignment horizontal="left" vertical="center" wrapText="1"/>
    </xf>
    <xf numFmtId="165" fontId="10" fillId="2" borderId="2" xfId="1" applyNumberFormat="1" applyFont="1" applyFill="1" applyBorder="1" applyAlignment="1">
      <alignment horizontal="left" vertic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2" borderId="7" xfId="0" applyNumberFormat="1" applyFont="1" applyFill="1" applyBorder="1" applyAlignment="1">
      <alignment horizontal="left" vertical="center" wrapText="1" shrinkToFit="1"/>
    </xf>
    <xf numFmtId="4" fontId="10" fillId="2" borderId="3" xfId="0" applyNumberFormat="1" applyFont="1" applyFill="1" applyBorder="1" applyAlignment="1">
      <alignment horizontal="left" vertical="center" wrapText="1" shrinkToFit="1"/>
    </xf>
    <xf numFmtId="4" fontId="10" fillId="2" borderId="2" xfId="0" applyNumberFormat="1" applyFont="1" applyFill="1" applyBorder="1" applyAlignment="1">
      <alignment horizontal="left" vertical="center" wrapText="1" shrinkToFit="1"/>
    </xf>
    <xf numFmtId="2" fontId="7" fillId="2" borderId="1" xfId="0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2" fontId="10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/>
    <xf numFmtId="0" fontId="41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left" vertical="center"/>
    </xf>
    <xf numFmtId="0" fontId="44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165" fontId="25" fillId="2" borderId="1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left" vertical="center" wrapText="1"/>
    </xf>
    <xf numFmtId="0" fontId="19" fillId="2" borderId="3" xfId="0" applyNumberFormat="1" applyFont="1" applyFill="1" applyBorder="1" applyAlignment="1">
      <alignment horizontal="left" vertical="center" wrapText="1"/>
    </xf>
    <xf numFmtId="0" fontId="19" fillId="2" borderId="2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6" fillId="0" borderId="5" xfId="0" applyFont="1" applyFill="1" applyBorder="1" applyAlignment="1">
      <alignment horizontal="left" vertical="top" wrapText="1"/>
    </xf>
    <xf numFmtId="0" fontId="4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7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4" fontId="6" fillId="0" borderId="5" xfId="0" applyNumberFormat="1" applyFont="1" applyFill="1" applyBorder="1" applyAlignment="1">
      <alignment horizontal="center" vertical="top"/>
    </xf>
    <xf numFmtId="14" fontId="6" fillId="0" borderId="4" xfId="0" applyNumberFormat="1" applyFont="1" applyFill="1" applyBorder="1" applyAlignment="1">
      <alignment horizontal="center" vertical="top"/>
    </xf>
  </cellXfs>
  <cellStyles count="16">
    <cellStyle name="Обычный" xfId="0" builtinId="0"/>
    <cellStyle name="Обычный 2" xfId="1"/>
    <cellStyle name="Обычный 2 2" xfId="6"/>
    <cellStyle name="Обычный 2 3" xfId="7"/>
    <cellStyle name="Обычный 2 4" xfId="10"/>
    <cellStyle name="Обычный 2 4 2" xfId="14"/>
    <cellStyle name="Обычный 2 5" xfId="12"/>
    <cellStyle name="Обычный 3" xfId="2"/>
    <cellStyle name="Обычный 3 2" xfId="11"/>
    <cellStyle name="Обычный 3 2 2" xfId="15"/>
    <cellStyle name="Обычный 3 3" xfId="13"/>
    <cellStyle name="Обычный 4" xfId="3"/>
    <cellStyle name="Финансовый" xfId="4" builtinId="3"/>
    <cellStyle name="Финансовый 2" xfId="5"/>
    <cellStyle name="Финансовый 3" xfId="8"/>
    <cellStyle name="Финансовый 4" xfId="9"/>
  </cellStyles>
  <dxfs count="0"/>
  <tableStyles count="0" defaultTableStyle="TableStyleMedium2" defaultPivotStyle="PivotStyleLight16"/>
  <colors>
    <mruColors>
      <color rgb="FFFFFF66"/>
      <color rgb="FFFFFF00"/>
      <color rgb="FFFFFF99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netshare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&#1088;&#1077;&#1096;.1137\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6"/>
  <sheetViews>
    <sheetView view="pageBreakPreview" topLeftCell="A16" zoomScale="90" zoomScaleNormal="85" zoomScaleSheetLayoutView="90" zoomScalePageLayoutView="130" workbookViewId="0">
      <selection activeCell="B1" sqref="B1"/>
    </sheetView>
  </sheetViews>
  <sheetFormatPr defaultRowHeight="12.75" x14ac:dyDescent="0.2"/>
  <cols>
    <col min="1" max="1" width="4.85546875" style="1" customWidth="1"/>
    <col min="2" max="2" width="35.140625" style="1" customWidth="1"/>
    <col min="3" max="3" width="11.5703125" style="1" customWidth="1"/>
    <col min="4" max="4" width="8.85546875" style="1"/>
    <col min="5" max="6" width="10.85546875" style="1" customWidth="1"/>
    <col min="7" max="7" width="11.5703125" style="1" customWidth="1"/>
    <col min="8" max="8" width="11" style="1" customWidth="1"/>
    <col min="9" max="9" width="12.42578125" style="1" customWidth="1"/>
    <col min="10" max="10" width="18.5703125" style="1" customWidth="1"/>
    <col min="11" max="16384" width="9.140625" style="1"/>
  </cols>
  <sheetData>
    <row r="1" spans="1:11" ht="84" customHeight="1" x14ac:dyDescent="0.25">
      <c r="A1" s="56"/>
      <c r="B1" s="56"/>
      <c r="C1" s="56"/>
      <c r="D1" s="56"/>
      <c r="E1" s="372" t="s">
        <v>598</v>
      </c>
      <c r="F1" s="372"/>
      <c r="G1" s="372"/>
      <c r="H1" s="372"/>
      <c r="I1" s="372"/>
      <c r="J1" s="2"/>
      <c r="K1" s="2"/>
    </row>
    <row r="2" spans="1:11" ht="40.15" customHeight="1" x14ac:dyDescent="0.2">
      <c r="A2" s="371" t="s">
        <v>306</v>
      </c>
      <c r="B2" s="371"/>
      <c r="C2" s="371"/>
      <c r="D2" s="371"/>
      <c r="E2" s="371"/>
      <c r="F2" s="371"/>
      <c r="G2" s="371"/>
      <c r="H2" s="371"/>
      <c r="I2" s="371"/>
    </row>
    <row r="3" spans="1:11" ht="31.5" customHeight="1" x14ac:dyDescent="0.2">
      <c r="A3" s="378" t="s">
        <v>75</v>
      </c>
      <c r="B3" s="378" t="s">
        <v>181</v>
      </c>
      <c r="C3" s="378" t="s">
        <v>182</v>
      </c>
      <c r="D3" s="378" t="s">
        <v>101</v>
      </c>
      <c r="E3" s="378" t="s">
        <v>183</v>
      </c>
      <c r="F3" s="378"/>
      <c r="G3" s="378"/>
      <c r="H3" s="378"/>
      <c r="I3" s="378"/>
    </row>
    <row r="4" spans="1:11" ht="27" customHeight="1" x14ac:dyDescent="0.2">
      <c r="A4" s="378"/>
      <c r="B4" s="378"/>
      <c r="C4" s="378"/>
      <c r="D4" s="378"/>
      <c r="E4" s="57" t="s">
        <v>518</v>
      </c>
      <c r="F4" s="57" t="s">
        <v>519</v>
      </c>
      <c r="G4" s="57" t="s">
        <v>520</v>
      </c>
      <c r="H4" s="57" t="s">
        <v>521</v>
      </c>
      <c r="I4" s="57" t="s">
        <v>522</v>
      </c>
    </row>
    <row r="5" spans="1:11" ht="15" x14ac:dyDescent="0.2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</row>
    <row r="6" spans="1:11" ht="101.25" customHeight="1" x14ac:dyDescent="0.2">
      <c r="A6" s="59">
        <v>1</v>
      </c>
      <c r="B6" s="60" t="s">
        <v>200</v>
      </c>
      <c r="C6" s="47" t="s">
        <v>117</v>
      </c>
      <c r="D6" s="47">
        <v>2.5</v>
      </c>
      <c r="E6" s="47">
        <v>2.4500000000000002</v>
      </c>
      <c r="F6" s="55">
        <v>2.4</v>
      </c>
      <c r="G6" s="55">
        <v>2.35</v>
      </c>
      <c r="H6" s="55" t="s">
        <v>104</v>
      </c>
      <c r="I6" s="47" t="s">
        <v>104</v>
      </c>
    </row>
    <row r="7" spans="1:11" ht="85.5" customHeight="1" x14ac:dyDescent="0.2">
      <c r="A7" s="59">
        <v>2</v>
      </c>
      <c r="B7" s="60" t="s">
        <v>201</v>
      </c>
      <c r="C7" s="47" t="s">
        <v>178</v>
      </c>
      <c r="D7" s="47">
        <v>789</v>
      </c>
      <c r="E7" s="47">
        <v>788</v>
      </c>
      <c r="F7" s="47">
        <v>785</v>
      </c>
      <c r="G7" s="47">
        <v>780</v>
      </c>
      <c r="H7" s="47">
        <v>775</v>
      </c>
      <c r="I7" s="47">
        <v>770</v>
      </c>
    </row>
    <row r="8" spans="1:11" ht="126.75" customHeight="1" x14ac:dyDescent="0.2">
      <c r="A8" s="59">
        <v>3</v>
      </c>
      <c r="B8" s="60" t="s">
        <v>403</v>
      </c>
      <c r="C8" s="47" t="s">
        <v>120</v>
      </c>
      <c r="D8" s="47">
        <v>711.9</v>
      </c>
      <c r="E8" s="46">
        <v>730.5</v>
      </c>
      <c r="F8" s="54">
        <v>755.75</v>
      </c>
      <c r="G8" s="54">
        <f>763.95-3.61+3.44-3.11</f>
        <v>760.67000000000007</v>
      </c>
      <c r="H8" s="54">
        <f>810.3-44.18-1.53+4.25</f>
        <v>768.84</v>
      </c>
      <c r="I8" s="47">
        <f>817.5-50.61</f>
        <v>766.89</v>
      </c>
    </row>
    <row r="9" spans="1:11" ht="139.5" customHeight="1" x14ac:dyDescent="0.2">
      <c r="A9" s="59">
        <v>4</v>
      </c>
      <c r="B9" s="61" t="s">
        <v>404</v>
      </c>
      <c r="C9" s="47" t="s">
        <v>117</v>
      </c>
      <c r="D9" s="47" t="s">
        <v>104</v>
      </c>
      <c r="E9" s="55">
        <v>0.35</v>
      </c>
      <c r="F9" s="54">
        <v>0.02</v>
      </c>
      <c r="G9" s="54">
        <f>0+0.19-0.17</f>
        <v>1.999999999999999E-2</v>
      </c>
      <c r="H9" s="54">
        <v>0.18</v>
      </c>
      <c r="I9" s="55" t="s">
        <v>104</v>
      </c>
    </row>
    <row r="10" spans="1:11" ht="156.75" customHeight="1" x14ac:dyDescent="0.2">
      <c r="A10" s="59">
        <v>5</v>
      </c>
      <c r="B10" s="61" t="s">
        <v>405</v>
      </c>
      <c r="C10" s="47" t="s">
        <v>117</v>
      </c>
      <c r="D10" s="47" t="s">
        <v>104</v>
      </c>
      <c r="E10" s="55">
        <v>0.1</v>
      </c>
      <c r="F10" s="54">
        <v>0.05</v>
      </c>
      <c r="G10" s="54">
        <f>100/868.09*1.96</f>
        <v>0.22578304092893592</v>
      </c>
      <c r="H10" s="47" t="s">
        <v>104</v>
      </c>
      <c r="I10" s="47" t="s">
        <v>104</v>
      </c>
    </row>
    <row r="11" spans="1:11" ht="155.25" customHeight="1" x14ac:dyDescent="0.2">
      <c r="A11" s="59">
        <v>6</v>
      </c>
      <c r="B11" s="60" t="s">
        <v>406</v>
      </c>
      <c r="C11" s="47" t="s">
        <v>117</v>
      </c>
      <c r="D11" s="47" t="s">
        <v>104</v>
      </c>
      <c r="E11" s="55">
        <v>0.05</v>
      </c>
      <c r="F11" s="54">
        <f>1.41-0.92</f>
        <v>0.48999999999999988</v>
      </c>
      <c r="G11" s="54" t="s">
        <v>104</v>
      </c>
      <c r="H11" s="55">
        <v>0.49</v>
      </c>
      <c r="I11" s="55" t="s">
        <v>104</v>
      </c>
    </row>
    <row r="12" spans="1:11" ht="195.75" customHeight="1" x14ac:dyDescent="0.2">
      <c r="A12" s="59">
        <v>7</v>
      </c>
      <c r="B12" s="60" t="s">
        <v>179</v>
      </c>
      <c r="C12" s="47" t="s">
        <v>117</v>
      </c>
      <c r="D12" s="47">
        <v>43.8</v>
      </c>
      <c r="E12" s="47">
        <v>3</v>
      </c>
      <c r="F12" s="62">
        <v>0.61</v>
      </c>
      <c r="G12" s="62">
        <f>2.34-0.17-0.18</f>
        <v>1.99</v>
      </c>
      <c r="H12" s="47">
        <f>2.16-0.29-0.12</f>
        <v>1.75</v>
      </c>
      <c r="I12" s="47" t="s">
        <v>104</v>
      </c>
    </row>
    <row r="13" spans="1:11" ht="52.15" customHeight="1" x14ac:dyDescent="0.2">
      <c r="A13" s="59">
        <v>8</v>
      </c>
      <c r="B13" s="60" t="s">
        <v>180</v>
      </c>
      <c r="C13" s="47" t="s">
        <v>117</v>
      </c>
      <c r="D13" s="47">
        <v>40</v>
      </c>
      <c r="E13" s="47">
        <v>45</v>
      </c>
      <c r="F13" s="47">
        <v>49</v>
      </c>
      <c r="G13" s="47">
        <v>50</v>
      </c>
      <c r="H13" s="47">
        <v>55</v>
      </c>
      <c r="I13" s="47">
        <v>60</v>
      </c>
    </row>
    <row r="14" spans="1:11" ht="48.75" customHeight="1" x14ac:dyDescent="0.2">
      <c r="A14" s="59">
        <v>9</v>
      </c>
      <c r="B14" s="63" t="s">
        <v>186</v>
      </c>
      <c r="C14" s="47" t="s">
        <v>117</v>
      </c>
      <c r="D14" s="47">
        <v>20.5</v>
      </c>
      <c r="E14" s="47">
        <v>38.700000000000003</v>
      </c>
      <c r="F14" s="47">
        <v>18.8</v>
      </c>
      <c r="G14" s="47">
        <f>24.2+4.7-3.6</f>
        <v>25.299999999999997</v>
      </c>
      <c r="H14" s="47">
        <f>24.2+4.7</f>
        <v>28.9</v>
      </c>
      <c r="I14" s="47">
        <f>24.2+4.7</f>
        <v>28.9</v>
      </c>
    </row>
    <row r="15" spans="1:11" ht="51.75" customHeight="1" x14ac:dyDescent="0.2">
      <c r="A15" s="59">
        <v>10</v>
      </c>
      <c r="B15" s="63" t="s">
        <v>187</v>
      </c>
      <c r="C15" s="47" t="s">
        <v>117</v>
      </c>
      <c r="D15" s="47">
        <v>77.5</v>
      </c>
      <c r="E15" s="47">
        <v>50.6</v>
      </c>
      <c r="F15" s="47">
        <v>54.8</v>
      </c>
      <c r="G15" s="47">
        <f>54.8+2.6</f>
        <v>57.4</v>
      </c>
      <c r="H15" s="47">
        <f>54.8+2.6</f>
        <v>57.4</v>
      </c>
      <c r="I15" s="47">
        <f>54.8+2.6</f>
        <v>57.4</v>
      </c>
    </row>
    <row r="16" spans="1:11" ht="50.25" customHeight="1" x14ac:dyDescent="0.2">
      <c r="A16" s="59">
        <v>11</v>
      </c>
      <c r="B16" s="63" t="s">
        <v>222</v>
      </c>
      <c r="C16" s="47" t="s">
        <v>117</v>
      </c>
      <c r="D16" s="47">
        <v>90.1</v>
      </c>
      <c r="E16" s="46">
        <v>94</v>
      </c>
      <c r="F16" s="46">
        <v>95.1</v>
      </c>
      <c r="G16" s="46">
        <f>95.4+0.4-0.2</f>
        <v>95.600000000000009</v>
      </c>
      <c r="H16" s="46">
        <f>95.4+0.4</f>
        <v>95.800000000000011</v>
      </c>
      <c r="I16" s="46">
        <f>95.4+0.4</f>
        <v>95.800000000000011</v>
      </c>
    </row>
    <row r="17" spans="1:9" ht="51" customHeight="1" x14ac:dyDescent="0.2">
      <c r="A17" s="59">
        <v>12</v>
      </c>
      <c r="B17" s="63" t="s">
        <v>188</v>
      </c>
      <c r="C17" s="47" t="s">
        <v>117</v>
      </c>
      <c r="D17" s="47">
        <v>81.3</v>
      </c>
      <c r="E17" s="47">
        <v>82.3</v>
      </c>
      <c r="F17" s="46">
        <v>89</v>
      </c>
      <c r="G17" s="46">
        <f>89+2.2</f>
        <v>91.2</v>
      </c>
      <c r="H17" s="46">
        <f>89+2.2</f>
        <v>91.2</v>
      </c>
      <c r="I17" s="46">
        <f>89+2.2</f>
        <v>91.2</v>
      </c>
    </row>
    <row r="18" spans="1:9" ht="13.5" x14ac:dyDescent="0.25">
      <c r="A18" s="376" t="s">
        <v>443</v>
      </c>
      <c r="B18" s="377"/>
      <c r="C18" s="377"/>
      <c r="D18" s="377"/>
      <c r="E18" s="377"/>
      <c r="F18" s="377"/>
      <c r="G18" s="377"/>
      <c r="H18" s="377"/>
      <c r="I18" s="377"/>
    </row>
    <row r="19" spans="1:9" ht="34.5" customHeight="1" x14ac:dyDescent="0.2">
      <c r="A19" s="59">
        <v>13</v>
      </c>
      <c r="B19" s="61" t="s">
        <v>184</v>
      </c>
      <c r="C19" s="47" t="s">
        <v>185</v>
      </c>
      <c r="D19" s="46">
        <v>1115.1470999999999</v>
      </c>
      <c r="E19" s="47">
        <v>1115.5</v>
      </c>
      <c r="F19" s="46">
        <v>1115.75</v>
      </c>
      <c r="G19" s="46">
        <v>1116</v>
      </c>
      <c r="H19" s="46">
        <v>1116.25</v>
      </c>
      <c r="I19" s="47">
        <v>1116.5</v>
      </c>
    </row>
    <row r="20" spans="1:9" ht="29.25" customHeight="1" x14ac:dyDescent="0.25">
      <c r="A20" s="373" t="s">
        <v>442</v>
      </c>
      <c r="B20" s="374"/>
      <c r="C20" s="374"/>
      <c r="D20" s="374"/>
      <c r="E20" s="374"/>
      <c r="F20" s="374"/>
      <c r="G20" s="374"/>
      <c r="H20" s="374"/>
      <c r="I20" s="375"/>
    </row>
    <row r="21" spans="1:9" ht="66.75" customHeight="1" x14ac:dyDescent="0.2">
      <c r="A21" s="59">
        <v>14</v>
      </c>
      <c r="B21" s="64" t="s">
        <v>191</v>
      </c>
      <c r="C21" s="47" t="s">
        <v>117</v>
      </c>
      <c r="D21" s="46" t="s">
        <v>104</v>
      </c>
      <c r="E21" s="46">
        <v>74.66</v>
      </c>
      <c r="F21" s="46">
        <f>80.1+0.6</f>
        <v>80.699999999999989</v>
      </c>
      <c r="G21" s="55">
        <f>84.14+0.22-0.22</f>
        <v>84.14</v>
      </c>
      <c r="H21" s="46">
        <v>88.4</v>
      </c>
      <c r="I21" s="46">
        <v>87</v>
      </c>
    </row>
    <row r="22" spans="1:9" ht="77.25" customHeight="1" x14ac:dyDescent="0.2">
      <c r="A22" s="59">
        <v>15</v>
      </c>
      <c r="B22" s="61" t="s">
        <v>662</v>
      </c>
      <c r="C22" s="47" t="s">
        <v>117</v>
      </c>
      <c r="D22" s="47" t="s">
        <v>104</v>
      </c>
      <c r="E22" s="47">
        <v>10</v>
      </c>
      <c r="F22" s="47">
        <v>20</v>
      </c>
      <c r="G22" s="47">
        <v>30</v>
      </c>
      <c r="H22" s="47">
        <v>40</v>
      </c>
      <c r="I22" s="47" t="s">
        <v>104</v>
      </c>
    </row>
    <row r="23" spans="1:9" ht="51.75" customHeight="1" x14ac:dyDescent="0.2">
      <c r="A23" s="59">
        <v>16</v>
      </c>
      <c r="B23" s="61" t="s">
        <v>350</v>
      </c>
      <c r="C23" s="47" t="s">
        <v>117</v>
      </c>
      <c r="D23" s="47" t="s">
        <v>104</v>
      </c>
      <c r="E23" s="47">
        <v>62</v>
      </c>
      <c r="F23" s="47">
        <v>64</v>
      </c>
      <c r="G23" s="47">
        <v>66</v>
      </c>
      <c r="H23" s="47">
        <v>70</v>
      </c>
      <c r="I23" s="47" t="s">
        <v>104</v>
      </c>
    </row>
    <row r="24" spans="1:9" ht="51.75" customHeight="1" x14ac:dyDescent="0.2">
      <c r="A24" s="59">
        <v>17</v>
      </c>
      <c r="B24" s="61" t="s">
        <v>663</v>
      </c>
      <c r="C24" s="47" t="s">
        <v>117</v>
      </c>
      <c r="D24" s="47" t="s">
        <v>104</v>
      </c>
      <c r="E24" s="47" t="s">
        <v>104</v>
      </c>
      <c r="F24" s="47" t="s">
        <v>104</v>
      </c>
      <c r="G24" s="47" t="s">
        <v>104</v>
      </c>
      <c r="H24" s="47">
        <v>2.67</v>
      </c>
      <c r="I24" s="47" t="s">
        <v>104</v>
      </c>
    </row>
    <row r="25" spans="1:9" ht="30.75" customHeight="1" x14ac:dyDescent="0.2"/>
    <row r="26" spans="1:9" ht="27" customHeight="1" x14ac:dyDescent="0.2">
      <c r="D26" s="3"/>
      <c r="E26" s="3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2" firstPageNumber="5" fitToHeight="0" orientation="portrait" useFirstPageNumber="1" r:id="rId1"/>
  <headerFooter>
    <oddHeader>&amp;C&amp;P</oddHeader>
  </headerFooter>
  <rowBreaks count="2" manualBreakCount="2">
    <brk id="10" max="8" man="1"/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67"/>
  <sheetViews>
    <sheetView view="pageBreakPreview" zoomScale="70" zoomScaleNormal="50" zoomScaleSheetLayoutView="70" workbookViewId="0">
      <selection activeCell="D2" sqref="D2"/>
    </sheetView>
  </sheetViews>
  <sheetFormatPr defaultColWidth="9.140625" defaultRowHeight="42" customHeight="1" outlineLevelCol="2" x14ac:dyDescent="0.2"/>
  <cols>
    <col min="1" max="1" width="6.42578125" style="56" customWidth="1"/>
    <col min="2" max="2" width="110.7109375" style="65" customWidth="1"/>
    <col min="3" max="3" width="11.140625" style="66" customWidth="1"/>
    <col min="4" max="4" width="16.5703125" style="56" customWidth="1"/>
    <col min="5" max="5" width="10.42578125" style="56" hidden="1" customWidth="1" outlineLevel="1"/>
    <col min="6" max="6" width="11.7109375" style="56" hidden="1" customWidth="1" outlineLevel="1"/>
    <col min="7" max="7" width="13" style="56" hidden="1" customWidth="1" outlineLevel="1"/>
    <col min="8" max="8" width="10.85546875" style="66" customWidth="1" collapsed="1"/>
    <col min="9" max="9" width="15.42578125" style="56" customWidth="1"/>
    <col min="10" max="10" width="10.140625" style="56" hidden="1" customWidth="1" outlineLevel="2"/>
    <col min="11" max="11" width="12.42578125" style="56" hidden="1" customWidth="1" outlineLevel="2"/>
    <col min="12" max="12" width="0.140625" style="56" customWidth="1" outlineLevel="2"/>
    <col min="13" max="13" width="10.7109375" style="66" customWidth="1"/>
    <col min="14" max="14" width="16.7109375" style="56" customWidth="1"/>
    <col min="15" max="15" width="10.28515625" style="56" hidden="1" customWidth="1" outlineLevel="1"/>
    <col min="16" max="16" width="12.5703125" style="56" hidden="1" customWidth="1" outlineLevel="1"/>
    <col min="17" max="17" width="2.140625" style="56" hidden="1" customWidth="1" outlineLevel="1"/>
    <col min="18" max="18" width="12.85546875" style="66" customWidth="1" collapsed="1"/>
    <col min="19" max="19" width="16.85546875" style="56" customWidth="1"/>
    <col min="20" max="20" width="9.5703125" style="56" hidden="1" customWidth="1" outlineLevel="1"/>
    <col min="21" max="21" width="11.28515625" style="56" hidden="1" customWidth="1" outlineLevel="1"/>
    <col min="22" max="22" width="13" style="56" hidden="1" customWidth="1" outlineLevel="1"/>
    <col min="23" max="23" width="12.5703125" style="66" customWidth="1" collapsed="1"/>
    <col min="24" max="24" width="15.85546875" style="56" customWidth="1"/>
    <col min="25" max="25" width="10.42578125" style="56" hidden="1" customWidth="1" outlineLevel="1"/>
    <col min="26" max="26" width="11.42578125" style="56" hidden="1" customWidth="1" outlineLevel="1"/>
    <col min="27" max="27" width="14" style="56" hidden="1" customWidth="1" outlineLevel="1"/>
    <col min="28" max="28" width="11.5703125" style="78" customWidth="1" collapsed="1"/>
    <col min="29" max="29" width="14.5703125" style="56" bestFit="1" customWidth="1"/>
    <col min="30" max="30" width="11" style="56" bestFit="1" customWidth="1"/>
    <col min="31" max="16384" width="9.140625" style="56"/>
  </cols>
  <sheetData>
    <row r="1" spans="1:30" ht="80.25" customHeight="1" x14ac:dyDescent="0.25">
      <c r="S1" s="148"/>
      <c r="T1" s="148" t="s">
        <v>221</v>
      </c>
      <c r="U1" s="148" t="s">
        <v>221</v>
      </c>
      <c r="V1" s="148" t="s">
        <v>221</v>
      </c>
      <c r="W1" s="426" t="s">
        <v>1392</v>
      </c>
      <c r="X1" s="426"/>
      <c r="Y1" s="426"/>
      <c r="Z1" s="426"/>
      <c r="AA1" s="426"/>
      <c r="AB1" s="426"/>
    </row>
    <row r="2" spans="1:30" s="67" customFormat="1" ht="118.5" customHeight="1" x14ac:dyDescent="0.25">
      <c r="A2" s="149"/>
      <c r="B2" s="149"/>
      <c r="C2" s="150"/>
      <c r="H2" s="151"/>
      <c r="I2" s="68"/>
      <c r="J2" s="68"/>
      <c r="K2" s="68"/>
      <c r="L2" s="68"/>
      <c r="M2" s="56"/>
      <c r="N2" s="56"/>
      <c r="O2" s="152"/>
      <c r="P2" s="56"/>
      <c r="Q2" s="56"/>
      <c r="R2" s="56"/>
      <c r="S2" s="153"/>
      <c r="T2" s="153" t="s">
        <v>138</v>
      </c>
      <c r="U2" s="153" t="s">
        <v>138</v>
      </c>
      <c r="V2" s="153" t="s">
        <v>138</v>
      </c>
      <c r="W2" s="427" t="s">
        <v>411</v>
      </c>
      <c r="X2" s="427"/>
      <c r="Y2" s="427"/>
      <c r="Z2" s="427"/>
      <c r="AA2" s="427"/>
      <c r="AB2" s="427"/>
    </row>
    <row r="3" spans="1:30" ht="55.5" customHeight="1" x14ac:dyDescent="0.35">
      <c r="A3" s="154"/>
      <c r="B3" s="428" t="s">
        <v>213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</row>
    <row r="4" spans="1:30" ht="27.6" customHeight="1" x14ac:dyDescent="0.2">
      <c r="A4" s="419" t="s">
        <v>75</v>
      </c>
      <c r="B4" s="420" t="s">
        <v>97</v>
      </c>
      <c r="C4" s="422" t="s">
        <v>96</v>
      </c>
      <c r="D4" s="422"/>
      <c r="E4" s="422"/>
      <c r="F4" s="422"/>
      <c r="G4" s="422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30" t="s">
        <v>71</v>
      </c>
    </row>
    <row r="5" spans="1:30" ht="27.6" customHeight="1" x14ac:dyDescent="0.2">
      <c r="A5" s="419"/>
      <c r="B5" s="421"/>
      <c r="C5" s="415" t="s">
        <v>70</v>
      </c>
      <c r="D5" s="415"/>
      <c r="E5" s="415"/>
      <c r="F5" s="415"/>
      <c r="G5" s="415"/>
      <c r="H5" s="415" t="s">
        <v>69</v>
      </c>
      <c r="I5" s="415"/>
      <c r="J5" s="415"/>
      <c r="K5" s="415"/>
      <c r="L5" s="415"/>
      <c r="M5" s="415" t="s">
        <v>68</v>
      </c>
      <c r="N5" s="415"/>
      <c r="O5" s="415"/>
      <c r="P5" s="415"/>
      <c r="Q5" s="415"/>
      <c r="R5" s="415" t="s">
        <v>67</v>
      </c>
      <c r="S5" s="415"/>
      <c r="T5" s="415"/>
      <c r="U5" s="415"/>
      <c r="V5" s="415"/>
      <c r="W5" s="415" t="s">
        <v>66</v>
      </c>
      <c r="X5" s="415"/>
      <c r="Y5" s="415"/>
      <c r="Z5" s="415"/>
      <c r="AA5" s="415"/>
      <c r="AB5" s="430"/>
    </row>
    <row r="6" spans="1:30" ht="24.6" customHeight="1" x14ac:dyDescent="0.2">
      <c r="A6" s="419"/>
      <c r="B6" s="421"/>
      <c r="C6" s="155" t="s">
        <v>65</v>
      </c>
      <c r="D6" s="59" t="s">
        <v>94</v>
      </c>
      <c r="E6" s="59" t="s">
        <v>63</v>
      </c>
      <c r="F6" s="59" t="s">
        <v>62</v>
      </c>
      <c r="G6" s="59" t="s">
        <v>61</v>
      </c>
      <c r="H6" s="155" t="s">
        <v>65</v>
      </c>
      <c r="I6" s="59" t="s">
        <v>94</v>
      </c>
      <c r="J6" s="59" t="s">
        <v>63</v>
      </c>
      <c r="K6" s="59" t="s">
        <v>62</v>
      </c>
      <c r="L6" s="59" t="s">
        <v>61</v>
      </c>
      <c r="M6" s="155" t="s">
        <v>65</v>
      </c>
      <c r="N6" s="59" t="s">
        <v>94</v>
      </c>
      <c r="O6" s="59" t="s">
        <v>63</v>
      </c>
      <c r="P6" s="59" t="s">
        <v>62</v>
      </c>
      <c r="Q6" s="59" t="s">
        <v>61</v>
      </c>
      <c r="R6" s="155" t="s">
        <v>65</v>
      </c>
      <c r="S6" s="59" t="s">
        <v>94</v>
      </c>
      <c r="T6" s="59" t="s">
        <v>63</v>
      </c>
      <c r="U6" s="59" t="s">
        <v>62</v>
      </c>
      <c r="V6" s="59" t="s">
        <v>61</v>
      </c>
      <c r="W6" s="155" t="s">
        <v>65</v>
      </c>
      <c r="X6" s="59" t="s">
        <v>94</v>
      </c>
      <c r="Y6" s="59" t="s">
        <v>63</v>
      </c>
      <c r="Z6" s="59" t="s">
        <v>62</v>
      </c>
      <c r="AA6" s="59" t="s">
        <v>61</v>
      </c>
      <c r="AB6" s="430"/>
    </row>
    <row r="7" spans="1:30" s="69" customFormat="1" ht="21.6" customHeight="1" x14ac:dyDescent="0.2">
      <c r="A7" s="156">
        <v>1</v>
      </c>
      <c r="B7" s="156">
        <v>2</v>
      </c>
      <c r="C7" s="156">
        <v>3</v>
      </c>
      <c r="D7" s="156">
        <v>4</v>
      </c>
      <c r="E7" s="156">
        <v>5</v>
      </c>
      <c r="F7" s="156">
        <v>6</v>
      </c>
      <c r="G7" s="156">
        <v>7</v>
      </c>
      <c r="H7" s="156">
        <v>5</v>
      </c>
      <c r="I7" s="156">
        <v>6</v>
      </c>
      <c r="J7" s="156">
        <v>10</v>
      </c>
      <c r="K7" s="156">
        <v>11</v>
      </c>
      <c r="L7" s="156">
        <v>12</v>
      </c>
      <c r="M7" s="156">
        <v>7</v>
      </c>
      <c r="N7" s="156">
        <v>8</v>
      </c>
      <c r="O7" s="156">
        <v>15</v>
      </c>
      <c r="P7" s="156">
        <v>16</v>
      </c>
      <c r="Q7" s="156">
        <v>17</v>
      </c>
      <c r="R7" s="156">
        <v>9</v>
      </c>
      <c r="S7" s="156">
        <v>10</v>
      </c>
      <c r="T7" s="156">
        <v>20</v>
      </c>
      <c r="U7" s="156">
        <v>21</v>
      </c>
      <c r="V7" s="156">
        <v>22</v>
      </c>
      <c r="W7" s="156">
        <v>11</v>
      </c>
      <c r="X7" s="156">
        <v>12</v>
      </c>
      <c r="Y7" s="156">
        <v>25</v>
      </c>
      <c r="Z7" s="156">
        <v>26</v>
      </c>
      <c r="AA7" s="156">
        <v>27</v>
      </c>
      <c r="AB7" s="156">
        <v>13</v>
      </c>
    </row>
    <row r="8" spans="1:30" s="69" customFormat="1" ht="29.25" customHeight="1" x14ac:dyDescent="0.2">
      <c r="A8" s="416" t="s">
        <v>691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8"/>
      <c r="AC8" s="70"/>
      <c r="AD8" s="70"/>
    </row>
    <row r="9" spans="1:30" s="69" customFormat="1" ht="34.5" customHeight="1" x14ac:dyDescent="0.2">
      <c r="A9" s="157" t="s">
        <v>1</v>
      </c>
      <c r="B9" s="424" t="s">
        <v>458</v>
      </c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71"/>
      <c r="AD9" s="72"/>
    </row>
    <row r="10" spans="1:30" s="73" customFormat="1" ht="13.9" customHeight="1" x14ac:dyDescent="0.2">
      <c r="A10" s="400" t="s">
        <v>8</v>
      </c>
      <c r="B10" s="158" t="s">
        <v>364</v>
      </c>
      <c r="C10" s="382">
        <f>D10+E10+F10+G10</f>
        <v>67429</v>
      </c>
      <c r="D10" s="379">
        <v>67429</v>
      </c>
      <c r="E10" s="159">
        <v>0</v>
      </c>
      <c r="F10" s="159">
        <v>0</v>
      </c>
      <c r="G10" s="159">
        <v>0</v>
      </c>
      <c r="H10" s="382">
        <f>I10+J10+K10+L10</f>
        <v>19781</v>
      </c>
      <c r="I10" s="379">
        <f>6885+12896</f>
        <v>19781</v>
      </c>
      <c r="J10" s="159">
        <v>0</v>
      </c>
      <c r="K10" s="159">
        <v>0</v>
      </c>
      <c r="L10" s="159">
        <v>0</v>
      </c>
      <c r="M10" s="382">
        <f>N10</f>
        <v>757</v>
      </c>
      <c r="N10" s="379">
        <f>30758-12896-17501-30+426</f>
        <v>757</v>
      </c>
      <c r="O10" s="160">
        <v>0</v>
      </c>
      <c r="P10" s="160">
        <v>0</v>
      </c>
      <c r="Q10" s="160">
        <v>0</v>
      </c>
      <c r="R10" s="382">
        <f>S10</f>
        <v>20213</v>
      </c>
      <c r="S10" s="379">
        <f>30758-22399-1128-23+13546-541</f>
        <v>20213</v>
      </c>
      <c r="T10" s="159">
        <v>0</v>
      </c>
      <c r="U10" s="159">
        <v>0</v>
      </c>
      <c r="V10" s="159">
        <v>0</v>
      </c>
      <c r="W10" s="382">
        <f>X10</f>
        <v>37613</v>
      </c>
      <c r="X10" s="379">
        <f>34182+3431</f>
        <v>37613</v>
      </c>
      <c r="Y10" s="159">
        <v>0</v>
      </c>
      <c r="Z10" s="159">
        <v>0</v>
      </c>
      <c r="AA10" s="159">
        <v>0</v>
      </c>
      <c r="AB10" s="382">
        <f>C10+H10+M10+R10+W10</f>
        <v>145793</v>
      </c>
    </row>
    <row r="11" spans="1:30" s="73" customFormat="1" ht="15.75" customHeight="1" x14ac:dyDescent="0.2">
      <c r="A11" s="400"/>
      <c r="B11" s="161" t="s">
        <v>147</v>
      </c>
      <c r="C11" s="383"/>
      <c r="D11" s="380"/>
      <c r="E11" s="159"/>
      <c r="F11" s="159"/>
      <c r="G11" s="159"/>
      <c r="H11" s="383"/>
      <c r="I11" s="380"/>
      <c r="J11" s="159"/>
      <c r="K11" s="159"/>
      <c r="L11" s="159"/>
      <c r="M11" s="383"/>
      <c r="N11" s="380"/>
      <c r="O11" s="160"/>
      <c r="P11" s="160"/>
      <c r="Q11" s="160"/>
      <c r="R11" s="383"/>
      <c r="S11" s="380">
        <f t="shared" ref="S11:S28" si="0">30758-22399</f>
        <v>8359</v>
      </c>
      <c r="T11" s="159"/>
      <c r="U11" s="159"/>
      <c r="V11" s="159"/>
      <c r="W11" s="383"/>
      <c r="X11" s="380">
        <v>34182</v>
      </c>
      <c r="Y11" s="159"/>
      <c r="Z11" s="159"/>
      <c r="AA11" s="159"/>
      <c r="AB11" s="383"/>
    </row>
    <row r="12" spans="1:30" s="73" customFormat="1" ht="13.9" customHeight="1" x14ac:dyDescent="0.2">
      <c r="A12" s="400"/>
      <c r="B12" s="162" t="s">
        <v>149</v>
      </c>
      <c r="C12" s="383"/>
      <c r="D12" s="380"/>
      <c r="E12" s="159"/>
      <c r="F12" s="159"/>
      <c r="G12" s="159"/>
      <c r="H12" s="383"/>
      <c r="I12" s="380"/>
      <c r="J12" s="159"/>
      <c r="K12" s="159"/>
      <c r="L12" s="159"/>
      <c r="M12" s="383"/>
      <c r="N12" s="380"/>
      <c r="O12" s="160"/>
      <c r="P12" s="160"/>
      <c r="Q12" s="160"/>
      <c r="R12" s="383"/>
      <c r="S12" s="380">
        <f t="shared" si="0"/>
        <v>8359</v>
      </c>
      <c r="T12" s="159"/>
      <c r="U12" s="159"/>
      <c r="V12" s="159"/>
      <c r="W12" s="383"/>
      <c r="X12" s="380">
        <v>34182</v>
      </c>
      <c r="Y12" s="159"/>
      <c r="Z12" s="159"/>
      <c r="AA12" s="159"/>
      <c r="AB12" s="383"/>
    </row>
    <row r="13" spans="1:30" s="73" customFormat="1" ht="13.9" customHeight="1" x14ac:dyDescent="0.2">
      <c r="A13" s="400"/>
      <c r="B13" s="162" t="s">
        <v>150</v>
      </c>
      <c r="C13" s="383"/>
      <c r="D13" s="380"/>
      <c r="E13" s="159"/>
      <c r="F13" s="159"/>
      <c r="G13" s="159"/>
      <c r="H13" s="383"/>
      <c r="I13" s="380"/>
      <c r="J13" s="159"/>
      <c r="K13" s="159"/>
      <c r="L13" s="159"/>
      <c r="M13" s="383"/>
      <c r="N13" s="380"/>
      <c r="O13" s="160"/>
      <c r="P13" s="160"/>
      <c r="Q13" s="160"/>
      <c r="R13" s="383"/>
      <c r="S13" s="380">
        <f t="shared" si="0"/>
        <v>8359</v>
      </c>
      <c r="T13" s="159"/>
      <c r="U13" s="159"/>
      <c r="V13" s="159"/>
      <c r="W13" s="383"/>
      <c r="X13" s="380">
        <v>34182</v>
      </c>
      <c r="Y13" s="159"/>
      <c r="Z13" s="159"/>
      <c r="AA13" s="159"/>
      <c r="AB13" s="383"/>
    </row>
    <row r="14" spans="1:30" s="73" customFormat="1" ht="13.9" customHeight="1" x14ac:dyDescent="0.2">
      <c r="A14" s="400"/>
      <c r="B14" s="162" t="s">
        <v>151</v>
      </c>
      <c r="C14" s="383"/>
      <c r="D14" s="380"/>
      <c r="E14" s="159"/>
      <c r="F14" s="159"/>
      <c r="G14" s="159"/>
      <c r="H14" s="383"/>
      <c r="I14" s="380"/>
      <c r="J14" s="159"/>
      <c r="K14" s="159"/>
      <c r="L14" s="159"/>
      <c r="M14" s="383"/>
      <c r="N14" s="380"/>
      <c r="O14" s="160"/>
      <c r="P14" s="160"/>
      <c r="Q14" s="160"/>
      <c r="R14" s="383"/>
      <c r="S14" s="380">
        <f t="shared" si="0"/>
        <v>8359</v>
      </c>
      <c r="T14" s="159"/>
      <c r="U14" s="159"/>
      <c r="V14" s="159"/>
      <c r="W14" s="383"/>
      <c r="X14" s="380">
        <v>34182</v>
      </c>
      <c r="Y14" s="159"/>
      <c r="Z14" s="159"/>
      <c r="AA14" s="159"/>
      <c r="AB14" s="383"/>
    </row>
    <row r="15" spans="1:30" s="73" customFormat="1" ht="13.9" customHeight="1" x14ac:dyDescent="0.2">
      <c r="A15" s="400"/>
      <c r="B15" s="162" t="s">
        <v>152</v>
      </c>
      <c r="C15" s="383"/>
      <c r="D15" s="380"/>
      <c r="E15" s="159"/>
      <c r="F15" s="159"/>
      <c r="G15" s="159"/>
      <c r="H15" s="383"/>
      <c r="I15" s="380"/>
      <c r="J15" s="159"/>
      <c r="K15" s="159"/>
      <c r="L15" s="159"/>
      <c r="M15" s="383"/>
      <c r="N15" s="380"/>
      <c r="O15" s="160"/>
      <c r="P15" s="160"/>
      <c r="Q15" s="160"/>
      <c r="R15" s="383"/>
      <c r="S15" s="380">
        <f t="shared" si="0"/>
        <v>8359</v>
      </c>
      <c r="T15" s="159"/>
      <c r="U15" s="159"/>
      <c r="V15" s="159"/>
      <c r="W15" s="383"/>
      <c r="X15" s="380">
        <v>34182</v>
      </c>
      <c r="Y15" s="159"/>
      <c r="Z15" s="159"/>
      <c r="AA15" s="159"/>
      <c r="AB15" s="383"/>
    </row>
    <row r="16" spans="1:30" s="73" customFormat="1" ht="13.9" customHeight="1" x14ac:dyDescent="0.2">
      <c r="A16" s="400"/>
      <c r="B16" s="162" t="s">
        <v>692</v>
      </c>
      <c r="C16" s="383"/>
      <c r="D16" s="380"/>
      <c r="E16" s="159"/>
      <c r="F16" s="159"/>
      <c r="G16" s="159"/>
      <c r="H16" s="383"/>
      <c r="I16" s="380"/>
      <c r="J16" s="159"/>
      <c r="K16" s="159"/>
      <c r="L16" s="159"/>
      <c r="M16" s="383"/>
      <c r="N16" s="380"/>
      <c r="O16" s="160"/>
      <c r="P16" s="160"/>
      <c r="Q16" s="160"/>
      <c r="R16" s="383"/>
      <c r="S16" s="380">
        <f t="shared" si="0"/>
        <v>8359</v>
      </c>
      <c r="T16" s="159"/>
      <c r="U16" s="159"/>
      <c r="V16" s="159"/>
      <c r="W16" s="383"/>
      <c r="X16" s="380">
        <v>34182</v>
      </c>
      <c r="Y16" s="159"/>
      <c r="Z16" s="159"/>
      <c r="AA16" s="159"/>
      <c r="AB16" s="383"/>
    </row>
    <row r="17" spans="1:28" s="73" customFormat="1" ht="13.9" customHeight="1" x14ac:dyDescent="0.2">
      <c r="A17" s="400"/>
      <c r="B17" s="162" t="s">
        <v>203</v>
      </c>
      <c r="C17" s="383"/>
      <c r="D17" s="380"/>
      <c r="E17" s="159"/>
      <c r="F17" s="159"/>
      <c r="G17" s="159"/>
      <c r="H17" s="383"/>
      <c r="I17" s="380"/>
      <c r="J17" s="159"/>
      <c r="K17" s="159"/>
      <c r="L17" s="159"/>
      <c r="M17" s="383"/>
      <c r="N17" s="380"/>
      <c r="O17" s="160"/>
      <c r="P17" s="160"/>
      <c r="Q17" s="160"/>
      <c r="R17" s="383"/>
      <c r="S17" s="380">
        <f t="shared" si="0"/>
        <v>8359</v>
      </c>
      <c r="T17" s="159"/>
      <c r="U17" s="159"/>
      <c r="V17" s="159"/>
      <c r="W17" s="383"/>
      <c r="X17" s="380">
        <v>34182</v>
      </c>
      <c r="Y17" s="159"/>
      <c r="Z17" s="159"/>
      <c r="AA17" s="159"/>
      <c r="AB17" s="383"/>
    </row>
    <row r="18" spans="1:28" s="73" customFormat="1" ht="15.75" customHeight="1" x14ac:dyDescent="0.2">
      <c r="A18" s="400"/>
      <c r="B18" s="161" t="s">
        <v>148</v>
      </c>
      <c r="C18" s="383"/>
      <c r="D18" s="380"/>
      <c r="E18" s="159"/>
      <c r="F18" s="159"/>
      <c r="G18" s="159"/>
      <c r="H18" s="383"/>
      <c r="I18" s="380"/>
      <c r="J18" s="159"/>
      <c r="K18" s="159"/>
      <c r="L18" s="159"/>
      <c r="M18" s="383"/>
      <c r="N18" s="380"/>
      <c r="O18" s="160"/>
      <c r="P18" s="160"/>
      <c r="Q18" s="160"/>
      <c r="R18" s="383"/>
      <c r="S18" s="380">
        <f t="shared" si="0"/>
        <v>8359</v>
      </c>
      <c r="T18" s="159"/>
      <c r="U18" s="159"/>
      <c r="V18" s="159"/>
      <c r="W18" s="383"/>
      <c r="X18" s="380">
        <v>34182</v>
      </c>
      <c r="Y18" s="159"/>
      <c r="Z18" s="159"/>
      <c r="AA18" s="159"/>
      <c r="AB18" s="383"/>
    </row>
    <row r="19" spans="1:28" s="73" customFormat="1" ht="17.25" customHeight="1" x14ac:dyDescent="0.2">
      <c r="A19" s="400"/>
      <c r="B19" s="163" t="s">
        <v>381</v>
      </c>
      <c r="C19" s="383"/>
      <c r="D19" s="380"/>
      <c r="E19" s="159"/>
      <c r="F19" s="159"/>
      <c r="G19" s="159"/>
      <c r="H19" s="383"/>
      <c r="I19" s="380"/>
      <c r="J19" s="159"/>
      <c r="K19" s="159"/>
      <c r="L19" s="159"/>
      <c r="M19" s="383"/>
      <c r="N19" s="380"/>
      <c r="O19" s="160"/>
      <c r="P19" s="160"/>
      <c r="Q19" s="160"/>
      <c r="R19" s="383"/>
      <c r="S19" s="380">
        <f t="shared" si="0"/>
        <v>8359</v>
      </c>
      <c r="T19" s="159"/>
      <c r="U19" s="159"/>
      <c r="V19" s="159"/>
      <c r="W19" s="383"/>
      <c r="X19" s="380">
        <v>34182</v>
      </c>
      <c r="Y19" s="159"/>
      <c r="Z19" s="159"/>
      <c r="AA19" s="159"/>
      <c r="AB19" s="383"/>
    </row>
    <row r="20" spans="1:28" s="73" customFormat="1" ht="15.75" customHeight="1" x14ac:dyDescent="0.2">
      <c r="A20" s="400"/>
      <c r="B20" s="164" t="s">
        <v>329</v>
      </c>
      <c r="C20" s="383"/>
      <c r="D20" s="380"/>
      <c r="E20" s="159"/>
      <c r="F20" s="159"/>
      <c r="G20" s="159"/>
      <c r="H20" s="383"/>
      <c r="I20" s="380"/>
      <c r="J20" s="159"/>
      <c r="K20" s="159"/>
      <c r="L20" s="159"/>
      <c r="M20" s="383"/>
      <c r="N20" s="380"/>
      <c r="O20" s="160"/>
      <c r="P20" s="160"/>
      <c r="Q20" s="160"/>
      <c r="R20" s="383"/>
      <c r="S20" s="380">
        <f t="shared" si="0"/>
        <v>8359</v>
      </c>
      <c r="T20" s="159"/>
      <c r="U20" s="159"/>
      <c r="V20" s="159"/>
      <c r="W20" s="383"/>
      <c r="X20" s="380">
        <v>34182</v>
      </c>
      <c r="Y20" s="159"/>
      <c r="Z20" s="159"/>
      <c r="AA20" s="159"/>
      <c r="AB20" s="383"/>
    </row>
    <row r="21" spans="1:28" s="73" customFormat="1" ht="15.75" customHeight="1" x14ac:dyDescent="0.2">
      <c r="A21" s="400"/>
      <c r="B21" s="163" t="s">
        <v>693</v>
      </c>
      <c r="C21" s="383"/>
      <c r="D21" s="380"/>
      <c r="E21" s="165"/>
      <c r="F21" s="165"/>
      <c r="G21" s="165"/>
      <c r="H21" s="383"/>
      <c r="I21" s="380"/>
      <c r="J21" s="165"/>
      <c r="K21" s="165"/>
      <c r="L21" s="165"/>
      <c r="M21" s="383"/>
      <c r="N21" s="380"/>
      <c r="O21" s="166"/>
      <c r="P21" s="166"/>
      <c r="Q21" s="166"/>
      <c r="R21" s="383"/>
      <c r="S21" s="380"/>
      <c r="T21" s="165"/>
      <c r="U21" s="165"/>
      <c r="V21" s="165"/>
      <c r="W21" s="383"/>
      <c r="X21" s="380"/>
      <c r="Y21" s="165"/>
      <c r="Z21" s="165"/>
      <c r="AA21" s="165"/>
      <c r="AB21" s="383"/>
    </row>
    <row r="22" spans="1:28" s="73" customFormat="1" ht="15.75" customHeight="1" x14ac:dyDescent="0.2">
      <c r="A22" s="400"/>
      <c r="B22" s="162" t="s">
        <v>389</v>
      </c>
      <c r="C22" s="383"/>
      <c r="D22" s="380"/>
      <c r="E22" s="165"/>
      <c r="F22" s="165"/>
      <c r="G22" s="165"/>
      <c r="H22" s="383"/>
      <c r="I22" s="380"/>
      <c r="J22" s="165"/>
      <c r="K22" s="165"/>
      <c r="L22" s="165"/>
      <c r="M22" s="383"/>
      <c r="N22" s="380"/>
      <c r="O22" s="166"/>
      <c r="P22" s="166"/>
      <c r="Q22" s="166"/>
      <c r="R22" s="383"/>
      <c r="S22" s="380">
        <f t="shared" si="0"/>
        <v>8359</v>
      </c>
      <c r="T22" s="165"/>
      <c r="U22" s="165"/>
      <c r="V22" s="165"/>
      <c r="W22" s="383"/>
      <c r="X22" s="380">
        <v>34182</v>
      </c>
      <c r="Y22" s="165"/>
      <c r="Z22" s="165"/>
      <c r="AA22" s="165"/>
      <c r="AB22" s="383"/>
    </row>
    <row r="23" spans="1:28" s="73" customFormat="1" ht="15.75" customHeight="1" x14ac:dyDescent="0.2">
      <c r="A23" s="400"/>
      <c r="B23" s="164" t="s">
        <v>382</v>
      </c>
      <c r="C23" s="383"/>
      <c r="D23" s="380"/>
      <c r="E23" s="165"/>
      <c r="F23" s="165"/>
      <c r="G23" s="165"/>
      <c r="H23" s="383"/>
      <c r="I23" s="380"/>
      <c r="J23" s="165"/>
      <c r="K23" s="165"/>
      <c r="L23" s="165"/>
      <c r="M23" s="383"/>
      <c r="N23" s="380"/>
      <c r="O23" s="166"/>
      <c r="P23" s="166"/>
      <c r="Q23" s="166"/>
      <c r="R23" s="383"/>
      <c r="S23" s="380">
        <f t="shared" si="0"/>
        <v>8359</v>
      </c>
      <c r="T23" s="165"/>
      <c r="U23" s="165"/>
      <c r="V23" s="165"/>
      <c r="W23" s="383"/>
      <c r="X23" s="380">
        <v>34182</v>
      </c>
      <c r="Y23" s="165"/>
      <c r="Z23" s="165"/>
      <c r="AA23" s="165"/>
      <c r="AB23" s="383"/>
    </row>
    <row r="24" spans="1:28" s="73" customFormat="1" ht="15.75" customHeight="1" x14ac:dyDescent="0.2">
      <c r="A24" s="400"/>
      <c r="B24" s="163" t="s">
        <v>660</v>
      </c>
      <c r="C24" s="383"/>
      <c r="D24" s="380"/>
      <c r="E24" s="165"/>
      <c r="F24" s="165"/>
      <c r="G24" s="165"/>
      <c r="H24" s="383"/>
      <c r="I24" s="380"/>
      <c r="J24" s="165"/>
      <c r="K24" s="165"/>
      <c r="L24" s="165"/>
      <c r="M24" s="383"/>
      <c r="N24" s="380"/>
      <c r="O24" s="166"/>
      <c r="P24" s="166"/>
      <c r="Q24" s="166"/>
      <c r="R24" s="383"/>
      <c r="S24" s="380"/>
      <c r="T24" s="165"/>
      <c r="U24" s="165"/>
      <c r="V24" s="165"/>
      <c r="W24" s="383"/>
      <c r="X24" s="380"/>
      <c r="Y24" s="165"/>
      <c r="Z24" s="165"/>
      <c r="AA24" s="165"/>
      <c r="AB24" s="383"/>
    </row>
    <row r="25" spans="1:28" s="73" customFormat="1" ht="15.75" customHeight="1" x14ac:dyDescent="0.2">
      <c r="A25" s="400"/>
      <c r="B25" s="163" t="s">
        <v>379</v>
      </c>
      <c r="C25" s="383"/>
      <c r="D25" s="380"/>
      <c r="E25" s="165"/>
      <c r="F25" s="165"/>
      <c r="G25" s="165"/>
      <c r="H25" s="383"/>
      <c r="I25" s="380"/>
      <c r="J25" s="165"/>
      <c r="K25" s="165"/>
      <c r="L25" s="165"/>
      <c r="M25" s="383"/>
      <c r="N25" s="380"/>
      <c r="O25" s="166"/>
      <c r="P25" s="166"/>
      <c r="Q25" s="166"/>
      <c r="R25" s="383"/>
      <c r="S25" s="380"/>
      <c r="T25" s="165"/>
      <c r="U25" s="165"/>
      <c r="V25" s="165"/>
      <c r="W25" s="383"/>
      <c r="X25" s="380"/>
      <c r="Y25" s="165"/>
      <c r="Z25" s="165"/>
      <c r="AA25" s="165"/>
      <c r="AB25" s="383"/>
    </row>
    <row r="26" spans="1:28" s="73" customFormat="1" ht="15.75" customHeight="1" x14ac:dyDescent="0.2">
      <c r="A26" s="400"/>
      <c r="B26" s="162" t="s">
        <v>694</v>
      </c>
      <c r="C26" s="383"/>
      <c r="D26" s="380"/>
      <c r="E26" s="165"/>
      <c r="F26" s="165"/>
      <c r="G26" s="165"/>
      <c r="H26" s="383"/>
      <c r="I26" s="380"/>
      <c r="J26" s="165"/>
      <c r="K26" s="165"/>
      <c r="L26" s="165"/>
      <c r="M26" s="383"/>
      <c r="N26" s="380"/>
      <c r="O26" s="166"/>
      <c r="P26" s="166"/>
      <c r="Q26" s="166"/>
      <c r="R26" s="383"/>
      <c r="S26" s="380"/>
      <c r="T26" s="165"/>
      <c r="U26" s="165"/>
      <c r="V26" s="165"/>
      <c r="W26" s="383"/>
      <c r="X26" s="380"/>
      <c r="Y26" s="165"/>
      <c r="Z26" s="165"/>
      <c r="AA26" s="165"/>
      <c r="AB26" s="383"/>
    </row>
    <row r="27" spans="1:28" s="73" customFormat="1" ht="15.75" customHeight="1" x14ac:dyDescent="0.2">
      <c r="A27" s="400"/>
      <c r="B27" s="164" t="s">
        <v>421</v>
      </c>
      <c r="C27" s="383"/>
      <c r="D27" s="380"/>
      <c r="E27" s="165"/>
      <c r="F27" s="165"/>
      <c r="G27" s="165"/>
      <c r="H27" s="383"/>
      <c r="I27" s="380"/>
      <c r="J27" s="165"/>
      <c r="K27" s="165"/>
      <c r="L27" s="165"/>
      <c r="M27" s="383"/>
      <c r="N27" s="380"/>
      <c r="O27" s="166"/>
      <c r="P27" s="166"/>
      <c r="Q27" s="166"/>
      <c r="R27" s="383"/>
      <c r="S27" s="380"/>
      <c r="T27" s="165"/>
      <c r="U27" s="165"/>
      <c r="V27" s="165"/>
      <c r="W27" s="383"/>
      <c r="X27" s="380"/>
      <c r="Y27" s="165"/>
      <c r="Z27" s="165"/>
      <c r="AA27" s="165"/>
      <c r="AB27" s="383"/>
    </row>
    <row r="28" spans="1:28" s="73" customFormat="1" ht="15.75" customHeight="1" x14ac:dyDescent="0.2">
      <c r="A28" s="400"/>
      <c r="B28" s="163" t="s">
        <v>380</v>
      </c>
      <c r="C28" s="383"/>
      <c r="D28" s="380"/>
      <c r="E28" s="165"/>
      <c r="F28" s="165"/>
      <c r="G28" s="165"/>
      <c r="H28" s="383"/>
      <c r="I28" s="380"/>
      <c r="J28" s="165"/>
      <c r="K28" s="165"/>
      <c r="L28" s="165"/>
      <c r="M28" s="383"/>
      <c r="N28" s="381"/>
      <c r="O28" s="166"/>
      <c r="P28" s="166"/>
      <c r="Q28" s="166"/>
      <c r="R28" s="383"/>
      <c r="S28" s="380">
        <f t="shared" si="0"/>
        <v>8359</v>
      </c>
      <c r="T28" s="165"/>
      <c r="U28" s="165"/>
      <c r="V28" s="165"/>
      <c r="W28" s="383"/>
      <c r="X28" s="380">
        <v>34182</v>
      </c>
      <c r="Y28" s="165"/>
      <c r="Z28" s="165"/>
      <c r="AA28" s="165"/>
      <c r="AB28" s="383"/>
    </row>
    <row r="29" spans="1:28" s="73" customFormat="1" ht="31.5" customHeight="1" x14ac:dyDescent="0.2">
      <c r="A29" s="400" t="s">
        <v>15</v>
      </c>
      <c r="B29" s="158" t="s">
        <v>362</v>
      </c>
      <c r="C29" s="382">
        <f>D29+E29+F29+G29</f>
        <v>1235</v>
      </c>
      <c r="D29" s="379">
        <v>1235</v>
      </c>
      <c r="E29" s="159">
        <v>0</v>
      </c>
      <c r="F29" s="159">
        <v>0</v>
      </c>
      <c r="G29" s="159">
        <v>0</v>
      </c>
      <c r="H29" s="382">
        <f>I29+J29+K29+L29</f>
        <v>741</v>
      </c>
      <c r="I29" s="379">
        <v>741</v>
      </c>
      <c r="J29" s="159">
        <v>0</v>
      </c>
      <c r="K29" s="159">
        <v>0</v>
      </c>
      <c r="L29" s="159">
        <v>0</v>
      </c>
      <c r="M29" s="382">
        <f>N29+O29+P29+Q29</f>
        <v>115</v>
      </c>
      <c r="N29" s="379">
        <f>0+115</f>
        <v>115</v>
      </c>
      <c r="O29" s="160">
        <v>0</v>
      </c>
      <c r="P29" s="160">
        <v>0</v>
      </c>
      <c r="Q29" s="160">
        <v>0</v>
      </c>
      <c r="R29" s="382">
        <f>S29+T29+U29+V29</f>
        <v>1095</v>
      </c>
      <c r="S29" s="379">
        <f>23+119+71+882</f>
        <v>1095</v>
      </c>
      <c r="T29" s="159">
        <v>0</v>
      </c>
      <c r="U29" s="159">
        <v>0</v>
      </c>
      <c r="V29" s="159">
        <v>0</v>
      </c>
      <c r="W29" s="382">
        <f>X29+Y29+Z29+AA29</f>
        <v>0</v>
      </c>
      <c r="X29" s="379">
        <v>0</v>
      </c>
      <c r="Y29" s="159">
        <v>0</v>
      </c>
      <c r="Z29" s="159">
        <v>0</v>
      </c>
      <c r="AA29" s="159">
        <v>0</v>
      </c>
      <c r="AB29" s="382">
        <f>C29+H29+M29+R29+W29</f>
        <v>3186</v>
      </c>
    </row>
    <row r="30" spans="1:28" s="73" customFormat="1" ht="14.25" customHeight="1" x14ac:dyDescent="0.2">
      <c r="A30" s="400"/>
      <c r="B30" s="161" t="s">
        <v>410</v>
      </c>
      <c r="C30" s="383"/>
      <c r="D30" s="380"/>
      <c r="E30" s="159"/>
      <c r="F30" s="159"/>
      <c r="G30" s="159"/>
      <c r="H30" s="383"/>
      <c r="I30" s="380"/>
      <c r="J30" s="159"/>
      <c r="K30" s="159"/>
      <c r="L30" s="159"/>
      <c r="M30" s="383"/>
      <c r="N30" s="380"/>
      <c r="O30" s="160"/>
      <c r="P30" s="160"/>
      <c r="Q30" s="160"/>
      <c r="R30" s="383"/>
      <c r="S30" s="380"/>
      <c r="T30" s="159"/>
      <c r="U30" s="159"/>
      <c r="V30" s="159"/>
      <c r="W30" s="383"/>
      <c r="X30" s="380"/>
      <c r="Y30" s="159"/>
      <c r="Z30" s="159"/>
      <c r="AA30" s="159"/>
      <c r="AB30" s="383"/>
    </row>
    <row r="31" spans="1:28" s="73" customFormat="1" ht="14.25" customHeight="1" x14ac:dyDescent="0.2">
      <c r="A31" s="400"/>
      <c r="B31" s="162" t="s">
        <v>151</v>
      </c>
      <c r="C31" s="383"/>
      <c r="D31" s="380"/>
      <c r="E31" s="159"/>
      <c r="F31" s="159"/>
      <c r="G31" s="159"/>
      <c r="H31" s="383"/>
      <c r="I31" s="380"/>
      <c r="J31" s="159"/>
      <c r="K31" s="159"/>
      <c r="L31" s="159"/>
      <c r="M31" s="383"/>
      <c r="N31" s="380"/>
      <c r="O31" s="160"/>
      <c r="P31" s="160"/>
      <c r="Q31" s="160"/>
      <c r="R31" s="383"/>
      <c r="S31" s="380"/>
      <c r="T31" s="159"/>
      <c r="U31" s="159"/>
      <c r="V31" s="159"/>
      <c r="W31" s="383"/>
      <c r="X31" s="380"/>
      <c r="Y31" s="159"/>
      <c r="Z31" s="159"/>
      <c r="AA31" s="159"/>
      <c r="AB31" s="383"/>
    </row>
    <row r="32" spans="1:28" s="73" customFormat="1" ht="14.25" customHeight="1" x14ac:dyDescent="0.2">
      <c r="A32" s="400"/>
      <c r="B32" s="164" t="s">
        <v>329</v>
      </c>
      <c r="C32" s="383"/>
      <c r="D32" s="380"/>
      <c r="E32" s="159"/>
      <c r="F32" s="159"/>
      <c r="G32" s="159"/>
      <c r="H32" s="383"/>
      <c r="I32" s="380"/>
      <c r="J32" s="159"/>
      <c r="K32" s="159"/>
      <c r="L32" s="159"/>
      <c r="M32" s="383"/>
      <c r="N32" s="380"/>
      <c r="O32" s="160"/>
      <c r="P32" s="160"/>
      <c r="Q32" s="160"/>
      <c r="R32" s="383"/>
      <c r="S32" s="380"/>
      <c r="T32" s="159"/>
      <c r="U32" s="159"/>
      <c r="V32" s="159"/>
      <c r="W32" s="383"/>
      <c r="X32" s="380"/>
      <c r="Y32" s="159"/>
      <c r="Z32" s="159"/>
      <c r="AA32" s="159"/>
      <c r="AB32" s="383"/>
    </row>
    <row r="33" spans="1:28" s="73" customFormat="1" ht="14.25" customHeight="1" x14ac:dyDescent="0.2">
      <c r="A33" s="400"/>
      <c r="B33" s="163" t="s">
        <v>695</v>
      </c>
      <c r="C33" s="383"/>
      <c r="D33" s="380"/>
      <c r="E33" s="159"/>
      <c r="F33" s="159"/>
      <c r="G33" s="159"/>
      <c r="H33" s="383"/>
      <c r="I33" s="380"/>
      <c r="J33" s="159"/>
      <c r="K33" s="159"/>
      <c r="L33" s="159"/>
      <c r="M33" s="383"/>
      <c r="N33" s="380"/>
      <c r="O33" s="160"/>
      <c r="P33" s="160"/>
      <c r="Q33" s="160"/>
      <c r="R33" s="383"/>
      <c r="S33" s="380"/>
      <c r="T33" s="159"/>
      <c r="U33" s="159"/>
      <c r="V33" s="159"/>
      <c r="W33" s="383"/>
      <c r="X33" s="380"/>
      <c r="Y33" s="159"/>
      <c r="Z33" s="159"/>
      <c r="AA33" s="159"/>
      <c r="AB33" s="383"/>
    </row>
    <row r="34" spans="1:28" s="73" customFormat="1" ht="14.25" customHeight="1" x14ac:dyDescent="0.2">
      <c r="A34" s="400"/>
      <c r="B34" s="163" t="s">
        <v>696</v>
      </c>
      <c r="C34" s="383"/>
      <c r="D34" s="380"/>
      <c r="E34" s="159"/>
      <c r="F34" s="159"/>
      <c r="G34" s="159"/>
      <c r="H34" s="383"/>
      <c r="I34" s="380"/>
      <c r="J34" s="159"/>
      <c r="K34" s="159"/>
      <c r="L34" s="159"/>
      <c r="M34" s="383"/>
      <c r="N34" s="380"/>
      <c r="O34" s="160"/>
      <c r="P34" s="160"/>
      <c r="Q34" s="160"/>
      <c r="R34" s="383"/>
      <c r="S34" s="380"/>
      <c r="T34" s="159"/>
      <c r="U34" s="159"/>
      <c r="V34" s="159"/>
      <c r="W34" s="383"/>
      <c r="X34" s="380"/>
      <c r="Y34" s="159"/>
      <c r="Z34" s="159"/>
      <c r="AA34" s="159"/>
      <c r="AB34" s="383"/>
    </row>
    <row r="35" spans="1:28" s="73" customFormat="1" ht="14.25" customHeight="1" x14ac:dyDescent="0.2">
      <c r="A35" s="400"/>
      <c r="B35" s="164" t="s">
        <v>382</v>
      </c>
      <c r="C35" s="383"/>
      <c r="D35" s="380"/>
      <c r="E35" s="159"/>
      <c r="F35" s="159"/>
      <c r="G35" s="159"/>
      <c r="H35" s="383"/>
      <c r="I35" s="380"/>
      <c r="J35" s="159"/>
      <c r="K35" s="159"/>
      <c r="L35" s="159"/>
      <c r="M35" s="383"/>
      <c r="N35" s="380"/>
      <c r="O35" s="160"/>
      <c r="P35" s="160"/>
      <c r="Q35" s="160"/>
      <c r="R35" s="383"/>
      <c r="S35" s="380"/>
      <c r="T35" s="159"/>
      <c r="U35" s="159"/>
      <c r="V35" s="159"/>
      <c r="W35" s="383"/>
      <c r="X35" s="380"/>
      <c r="Y35" s="159"/>
      <c r="Z35" s="159"/>
      <c r="AA35" s="159"/>
      <c r="AB35" s="383"/>
    </row>
    <row r="36" spans="1:28" s="73" customFormat="1" ht="14.25" customHeight="1" x14ac:dyDescent="0.2">
      <c r="A36" s="400"/>
      <c r="B36" s="163" t="s">
        <v>695</v>
      </c>
      <c r="C36" s="383"/>
      <c r="D36" s="380"/>
      <c r="E36" s="159"/>
      <c r="F36" s="159"/>
      <c r="G36" s="159"/>
      <c r="H36" s="383"/>
      <c r="I36" s="380"/>
      <c r="J36" s="159"/>
      <c r="K36" s="159"/>
      <c r="L36" s="159"/>
      <c r="M36" s="383"/>
      <c r="N36" s="380"/>
      <c r="O36" s="160"/>
      <c r="P36" s="160"/>
      <c r="Q36" s="160"/>
      <c r="R36" s="383"/>
      <c r="S36" s="380"/>
      <c r="T36" s="159"/>
      <c r="U36" s="159"/>
      <c r="V36" s="159"/>
      <c r="W36" s="383"/>
      <c r="X36" s="380"/>
      <c r="Y36" s="159"/>
      <c r="Z36" s="159"/>
      <c r="AA36" s="159"/>
      <c r="AB36" s="383"/>
    </row>
    <row r="37" spans="1:28" s="73" customFormat="1" ht="14.25" customHeight="1" x14ac:dyDescent="0.2">
      <c r="A37" s="400"/>
      <c r="B37" s="163" t="s">
        <v>696</v>
      </c>
      <c r="C37" s="383"/>
      <c r="D37" s="380"/>
      <c r="E37" s="159"/>
      <c r="F37" s="159"/>
      <c r="G37" s="159"/>
      <c r="H37" s="383"/>
      <c r="I37" s="380"/>
      <c r="J37" s="159"/>
      <c r="K37" s="159"/>
      <c r="L37" s="159"/>
      <c r="M37" s="383"/>
      <c r="N37" s="380"/>
      <c r="O37" s="160"/>
      <c r="P37" s="160"/>
      <c r="Q37" s="160"/>
      <c r="R37" s="383"/>
      <c r="S37" s="380"/>
      <c r="T37" s="159"/>
      <c r="U37" s="159"/>
      <c r="V37" s="159"/>
      <c r="W37" s="383"/>
      <c r="X37" s="380"/>
      <c r="Y37" s="159"/>
      <c r="Z37" s="159"/>
      <c r="AA37" s="159"/>
      <c r="AB37" s="383"/>
    </row>
    <row r="38" spans="1:28" s="73" customFormat="1" ht="14.25" customHeight="1" x14ac:dyDescent="0.2">
      <c r="A38" s="400"/>
      <c r="B38" s="163" t="s">
        <v>697</v>
      </c>
      <c r="C38" s="383"/>
      <c r="D38" s="380"/>
      <c r="E38" s="159"/>
      <c r="F38" s="159"/>
      <c r="G38" s="159"/>
      <c r="H38" s="383"/>
      <c r="I38" s="380"/>
      <c r="J38" s="159"/>
      <c r="K38" s="159"/>
      <c r="L38" s="159"/>
      <c r="M38" s="383"/>
      <c r="N38" s="380"/>
      <c r="O38" s="160"/>
      <c r="P38" s="160"/>
      <c r="Q38" s="160"/>
      <c r="R38" s="383"/>
      <c r="S38" s="380"/>
      <c r="T38" s="159"/>
      <c r="U38" s="159"/>
      <c r="V38" s="159"/>
      <c r="W38" s="383"/>
      <c r="X38" s="380"/>
      <c r="Y38" s="159"/>
      <c r="Z38" s="159"/>
      <c r="AA38" s="159"/>
      <c r="AB38" s="383"/>
    </row>
    <row r="39" spans="1:28" s="73" customFormat="1" ht="14.25" customHeight="1" x14ac:dyDescent="0.2">
      <c r="A39" s="400"/>
      <c r="B39" s="163" t="s">
        <v>1167</v>
      </c>
      <c r="C39" s="383"/>
      <c r="D39" s="380"/>
      <c r="E39" s="159"/>
      <c r="F39" s="159"/>
      <c r="G39" s="159"/>
      <c r="H39" s="383"/>
      <c r="I39" s="380"/>
      <c r="J39" s="159"/>
      <c r="K39" s="159"/>
      <c r="L39" s="159"/>
      <c r="M39" s="383"/>
      <c r="N39" s="380"/>
      <c r="O39" s="160"/>
      <c r="P39" s="160"/>
      <c r="Q39" s="160"/>
      <c r="R39" s="383"/>
      <c r="S39" s="380"/>
      <c r="T39" s="159"/>
      <c r="U39" s="159"/>
      <c r="V39" s="159"/>
      <c r="W39" s="383"/>
      <c r="X39" s="380"/>
      <c r="Y39" s="159"/>
      <c r="Z39" s="159"/>
      <c r="AA39" s="159"/>
      <c r="AB39" s="383"/>
    </row>
    <row r="40" spans="1:28" s="73" customFormat="1" ht="14.25" customHeight="1" x14ac:dyDescent="0.2">
      <c r="A40" s="400"/>
      <c r="B40" s="163" t="s">
        <v>1166</v>
      </c>
      <c r="C40" s="383"/>
      <c r="D40" s="380"/>
      <c r="E40" s="159"/>
      <c r="F40" s="159"/>
      <c r="G40" s="159"/>
      <c r="H40" s="383"/>
      <c r="I40" s="380"/>
      <c r="J40" s="159"/>
      <c r="K40" s="159"/>
      <c r="L40" s="159"/>
      <c r="M40" s="383"/>
      <c r="N40" s="380"/>
      <c r="O40" s="160"/>
      <c r="P40" s="160"/>
      <c r="Q40" s="160"/>
      <c r="R40" s="383"/>
      <c r="S40" s="380"/>
      <c r="T40" s="159"/>
      <c r="U40" s="159"/>
      <c r="V40" s="159"/>
      <c r="W40" s="383"/>
      <c r="X40" s="380"/>
      <c r="Y40" s="159"/>
      <c r="Z40" s="159"/>
      <c r="AA40" s="159"/>
      <c r="AB40" s="383"/>
    </row>
    <row r="41" spans="1:28" ht="17.25" customHeight="1" x14ac:dyDescent="0.2">
      <c r="A41" s="400" t="s">
        <v>26</v>
      </c>
      <c r="B41" s="158" t="s">
        <v>146</v>
      </c>
      <c r="C41" s="399">
        <f>D41+E41+F41+G41</f>
        <v>1644</v>
      </c>
      <c r="D41" s="401">
        <v>1644</v>
      </c>
      <c r="E41" s="159">
        <v>0</v>
      </c>
      <c r="F41" s="159">
        <v>0</v>
      </c>
      <c r="G41" s="159">
        <v>0</v>
      </c>
      <c r="H41" s="399">
        <f>I41+J41+K41+L41</f>
        <v>1472</v>
      </c>
      <c r="I41" s="401">
        <v>1472</v>
      </c>
      <c r="J41" s="159">
        <v>0</v>
      </c>
      <c r="K41" s="159">
        <v>0</v>
      </c>
      <c r="L41" s="159">
        <v>0</v>
      </c>
      <c r="M41" s="399">
        <f>N41</f>
        <v>4212</v>
      </c>
      <c r="N41" s="379">
        <f>1368-668+1946+117-708+676+1409+418+253+200-396-403</f>
        <v>4212</v>
      </c>
      <c r="O41" s="160">
        <v>0</v>
      </c>
      <c r="P41" s="160">
        <v>0</v>
      </c>
      <c r="Q41" s="160">
        <v>0</v>
      </c>
      <c r="R41" s="399">
        <f>S41</f>
        <v>8875</v>
      </c>
      <c r="S41" s="401">
        <f>1368+3232-3797+8055+17</f>
        <v>8875</v>
      </c>
      <c r="T41" s="159">
        <v>0</v>
      </c>
      <c r="U41" s="159">
        <v>0</v>
      </c>
      <c r="V41" s="159">
        <v>0</v>
      </c>
      <c r="W41" s="399">
        <f>X41</f>
        <v>1364</v>
      </c>
      <c r="X41" s="401">
        <f>4463-3099</f>
        <v>1364</v>
      </c>
      <c r="Y41" s="159">
        <v>0</v>
      </c>
      <c r="Z41" s="159">
        <v>0</v>
      </c>
      <c r="AA41" s="159">
        <v>0</v>
      </c>
      <c r="AB41" s="399">
        <f>C41+H41+M41+R41+W41</f>
        <v>17567</v>
      </c>
    </row>
    <row r="42" spans="1:28" ht="16.5" customHeight="1" x14ac:dyDescent="0.2">
      <c r="A42" s="400"/>
      <c r="B42" s="161" t="s">
        <v>147</v>
      </c>
      <c r="C42" s="399"/>
      <c r="D42" s="401"/>
      <c r="E42" s="159"/>
      <c r="F42" s="159"/>
      <c r="G42" s="159"/>
      <c r="H42" s="399"/>
      <c r="I42" s="401"/>
      <c r="J42" s="159"/>
      <c r="K42" s="159"/>
      <c r="L42" s="159"/>
      <c r="M42" s="399"/>
      <c r="N42" s="380"/>
      <c r="O42" s="160"/>
      <c r="P42" s="160"/>
      <c r="Q42" s="160"/>
      <c r="R42" s="399"/>
      <c r="S42" s="401"/>
      <c r="T42" s="159"/>
      <c r="U42" s="159"/>
      <c r="V42" s="159"/>
      <c r="W42" s="399"/>
      <c r="X42" s="401"/>
      <c r="Y42" s="159"/>
      <c r="Z42" s="159"/>
      <c r="AA42" s="159"/>
      <c r="AB42" s="399"/>
    </row>
    <row r="43" spans="1:28" ht="33.75" customHeight="1" x14ac:dyDescent="0.2">
      <c r="A43" s="400"/>
      <c r="B43" s="162" t="s">
        <v>698</v>
      </c>
      <c r="C43" s="399"/>
      <c r="D43" s="401"/>
      <c r="E43" s="159"/>
      <c r="F43" s="159"/>
      <c r="G43" s="159"/>
      <c r="H43" s="399"/>
      <c r="I43" s="401"/>
      <c r="J43" s="159"/>
      <c r="K43" s="159"/>
      <c r="L43" s="159"/>
      <c r="M43" s="399"/>
      <c r="N43" s="380"/>
      <c r="O43" s="160"/>
      <c r="P43" s="160"/>
      <c r="Q43" s="160"/>
      <c r="R43" s="399"/>
      <c r="S43" s="401"/>
      <c r="T43" s="159"/>
      <c r="U43" s="159"/>
      <c r="V43" s="159"/>
      <c r="W43" s="399"/>
      <c r="X43" s="401"/>
      <c r="Y43" s="159"/>
      <c r="Z43" s="159"/>
      <c r="AA43" s="159"/>
      <c r="AB43" s="399"/>
    </row>
    <row r="44" spans="1:28" ht="21.75" customHeight="1" x14ac:dyDescent="0.2">
      <c r="A44" s="400"/>
      <c r="B44" s="162" t="s">
        <v>699</v>
      </c>
      <c r="C44" s="399"/>
      <c r="D44" s="401"/>
      <c r="E44" s="159"/>
      <c r="F44" s="159"/>
      <c r="G44" s="159"/>
      <c r="H44" s="399"/>
      <c r="I44" s="401"/>
      <c r="J44" s="159"/>
      <c r="K44" s="159"/>
      <c r="L44" s="159"/>
      <c r="M44" s="399"/>
      <c r="N44" s="380"/>
      <c r="O44" s="160"/>
      <c r="P44" s="160"/>
      <c r="Q44" s="160"/>
      <c r="R44" s="399"/>
      <c r="S44" s="401"/>
      <c r="T44" s="159"/>
      <c r="U44" s="159"/>
      <c r="V44" s="159"/>
      <c r="W44" s="399"/>
      <c r="X44" s="401"/>
      <c r="Y44" s="159"/>
      <c r="Z44" s="159"/>
      <c r="AA44" s="159"/>
      <c r="AB44" s="399"/>
    </row>
    <row r="45" spans="1:28" ht="32.25" customHeight="1" x14ac:dyDescent="0.2">
      <c r="A45" s="400"/>
      <c r="B45" s="162" t="s">
        <v>700</v>
      </c>
      <c r="C45" s="399"/>
      <c r="D45" s="401"/>
      <c r="E45" s="159"/>
      <c r="F45" s="159"/>
      <c r="G45" s="159"/>
      <c r="H45" s="399"/>
      <c r="I45" s="401"/>
      <c r="J45" s="159"/>
      <c r="K45" s="159"/>
      <c r="L45" s="159"/>
      <c r="M45" s="399"/>
      <c r="N45" s="380"/>
      <c r="O45" s="160"/>
      <c r="P45" s="160"/>
      <c r="Q45" s="160"/>
      <c r="R45" s="399"/>
      <c r="S45" s="401"/>
      <c r="T45" s="159"/>
      <c r="U45" s="159"/>
      <c r="V45" s="159"/>
      <c r="W45" s="399"/>
      <c r="X45" s="401"/>
      <c r="Y45" s="159"/>
      <c r="Z45" s="159"/>
      <c r="AA45" s="159"/>
      <c r="AB45" s="399"/>
    </row>
    <row r="46" spans="1:28" ht="21.75" customHeight="1" x14ac:dyDescent="0.2">
      <c r="A46" s="400"/>
      <c r="B46" s="162" t="s">
        <v>701</v>
      </c>
      <c r="C46" s="399"/>
      <c r="D46" s="401"/>
      <c r="E46" s="159"/>
      <c r="F46" s="159"/>
      <c r="G46" s="159"/>
      <c r="H46" s="399"/>
      <c r="I46" s="401"/>
      <c r="J46" s="159"/>
      <c r="K46" s="159"/>
      <c r="L46" s="159"/>
      <c r="M46" s="399"/>
      <c r="N46" s="380"/>
      <c r="O46" s="160"/>
      <c r="P46" s="160"/>
      <c r="Q46" s="160"/>
      <c r="R46" s="399"/>
      <c r="S46" s="401"/>
      <c r="T46" s="159"/>
      <c r="U46" s="159"/>
      <c r="V46" s="159"/>
      <c r="W46" s="399"/>
      <c r="X46" s="401"/>
      <c r="Y46" s="159"/>
      <c r="Z46" s="159"/>
      <c r="AA46" s="159"/>
      <c r="AB46" s="399"/>
    </row>
    <row r="47" spans="1:28" ht="18" customHeight="1" x14ac:dyDescent="0.2">
      <c r="A47" s="400"/>
      <c r="B47" s="162" t="s">
        <v>702</v>
      </c>
      <c r="C47" s="399"/>
      <c r="D47" s="401"/>
      <c r="E47" s="159"/>
      <c r="F47" s="159"/>
      <c r="G47" s="159"/>
      <c r="H47" s="399"/>
      <c r="I47" s="401"/>
      <c r="J47" s="159"/>
      <c r="K47" s="159"/>
      <c r="L47" s="159"/>
      <c r="M47" s="399"/>
      <c r="N47" s="380"/>
      <c r="O47" s="160"/>
      <c r="P47" s="160"/>
      <c r="Q47" s="160"/>
      <c r="R47" s="399"/>
      <c r="S47" s="401"/>
      <c r="T47" s="159"/>
      <c r="U47" s="159"/>
      <c r="V47" s="159"/>
      <c r="W47" s="399"/>
      <c r="X47" s="401"/>
      <c r="Y47" s="159"/>
      <c r="Z47" s="159"/>
      <c r="AA47" s="159"/>
      <c r="AB47" s="399"/>
    </row>
    <row r="48" spans="1:28" ht="33.75" customHeight="1" x14ac:dyDescent="0.2">
      <c r="A48" s="400"/>
      <c r="B48" s="162" t="s">
        <v>703</v>
      </c>
      <c r="C48" s="399"/>
      <c r="D48" s="401"/>
      <c r="E48" s="159"/>
      <c r="F48" s="159"/>
      <c r="G48" s="159"/>
      <c r="H48" s="399"/>
      <c r="I48" s="401"/>
      <c r="J48" s="159"/>
      <c r="K48" s="159"/>
      <c r="L48" s="159"/>
      <c r="M48" s="399"/>
      <c r="N48" s="380"/>
      <c r="O48" s="160"/>
      <c r="P48" s="160"/>
      <c r="Q48" s="160"/>
      <c r="R48" s="399"/>
      <c r="S48" s="401"/>
      <c r="T48" s="159"/>
      <c r="U48" s="159"/>
      <c r="V48" s="159"/>
      <c r="W48" s="399"/>
      <c r="X48" s="401"/>
      <c r="Y48" s="159"/>
      <c r="Z48" s="159"/>
      <c r="AA48" s="159"/>
      <c r="AB48" s="399"/>
    </row>
    <row r="49" spans="1:28" ht="37.9" customHeight="1" x14ac:dyDescent="0.2">
      <c r="A49" s="393"/>
      <c r="B49" s="162" t="s">
        <v>704</v>
      </c>
      <c r="C49" s="382"/>
      <c r="D49" s="379"/>
      <c r="E49" s="159"/>
      <c r="F49" s="159"/>
      <c r="G49" s="159"/>
      <c r="H49" s="382"/>
      <c r="I49" s="379"/>
      <c r="J49" s="159"/>
      <c r="K49" s="159"/>
      <c r="L49" s="159"/>
      <c r="M49" s="382"/>
      <c r="N49" s="380"/>
      <c r="O49" s="160"/>
      <c r="P49" s="160"/>
      <c r="Q49" s="160"/>
      <c r="R49" s="382"/>
      <c r="S49" s="379"/>
      <c r="T49" s="159"/>
      <c r="U49" s="159"/>
      <c r="V49" s="159"/>
      <c r="W49" s="382"/>
      <c r="X49" s="379"/>
      <c r="Y49" s="159"/>
      <c r="Z49" s="159"/>
      <c r="AA49" s="159"/>
      <c r="AB49" s="382"/>
    </row>
    <row r="50" spans="1:28" ht="33" customHeight="1" x14ac:dyDescent="0.2">
      <c r="A50" s="390"/>
      <c r="B50" s="162" t="s">
        <v>705</v>
      </c>
      <c r="C50" s="383"/>
      <c r="D50" s="380"/>
      <c r="E50" s="159"/>
      <c r="F50" s="159"/>
      <c r="G50" s="159"/>
      <c r="H50" s="383"/>
      <c r="I50" s="380"/>
      <c r="J50" s="159"/>
      <c r="K50" s="159"/>
      <c r="L50" s="159"/>
      <c r="M50" s="383"/>
      <c r="N50" s="431"/>
      <c r="O50" s="160"/>
      <c r="P50" s="160"/>
      <c r="Q50" s="160"/>
      <c r="R50" s="386"/>
      <c r="S50" s="385"/>
      <c r="T50" s="160"/>
      <c r="U50" s="160"/>
      <c r="V50" s="160"/>
      <c r="W50" s="385"/>
      <c r="X50" s="385"/>
      <c r="Y50" s="160"/>
      <c r="Z50" s="160"/>
      <c r="AA50" s="160"/>
      <c r="AB50" s="386"/>
    </row>
    <row r="51" spans="1:28" ht="18" customHeight="1" x14ac:dyDescent="0.2">
      <c r="A51" s="390"/>
      <c r="B51" s="162" t="s">
        <v>706</v>
      </c>
      <c r="C51" s="383"/>
      <c r="D51" s="380"/>
      <c r="E51" s="167"/>
      <c r="F51" s="167"/>
      <c r="G51" s="167"/>
      <c r="H51" s="383"/>
      <c r="I51" s="380"/>
      <c r="J51" s="167"/>
      <c r="K51" s="167"/>
      <c r="L51" s="167"/>
      <c r="M51" s="383"/>
      <c r="N51" s="431"/>
      <c r="O51" s="168"/>
      <c r="P51" s="169"/>
      <c r="Q51" s="169"/>
      <c r="R51" s="386"/>
      <c r="S51" s="385"/>
      <c r="T51" s="169"/>
      <c r="U51" s="169"/>
      <c r="V51" s="169"/>
      <c r="W51" s="385"/>
      <c r="X51" s="385"/>
      <c r="Y51" s="169"/>
      <c r="Z51" s="169"/>
      <c r="AA51" s="169"/>
      <c r="AB51" s="386"/>
    </row>
    <row r="52" spans="1:28" ht="20.25" customHeight="1" x14ac:dyDescent="0.2">
      <c r="A52" s="390"/>
      <c r="B52" s="162" t="s">
        <v>707</v>
      </c>
      <c r="C52" s="383"/>
      <c r="D52" s="380"/>
      <c r="E52" s="159"/>
      <c r="F52" s="159"/>
      <c r="G52" s="159"/>
      <c r="H52" s="383"/>
      <c r="I52" s="380"/>
      <c r="J52" s="159"/>
      <c r="K52" s="159"/>
      <c r="L52" s="159"/>
      <c r="M52" s="383"/>
      <c r="N52" s="431"/>
      <c r="O52" s="170"/>
      <c r="P52" s="160"/>
      <c r="Q52" s="160"/>
      <c r="R52" s="386"/>
      <c r="S52" s="385"/>
      <c r="T52" s="160"/>
      <c r="U52" s="160"/>
      <c r="V52" s="160"/>
      <c r="W52" s="385"/>
      <c r="X52" s="385"/>
      <c r="Y52" s="160"/>
      <c r="Z52" s="160"/>
      <c r="AA52" s="160"/>
      <c r="AB52" s="386"/>
    </row>
    <row r="53" spans="1:28" ht="18.75" customHeight="1" x14ac:dyDescent="0.2">
      <c r="A53" s="390"/>
      <c r="B53" s="162" t="s">
        <v>708</v>
      </c>
      <c r="C53" s="383"/>
      <c r="D53" s="380"/>
      <c r="E53" s="167"/>
      <c r="F53" s="167"/>
      <c r="G53" s="167"/>
      <c r="H53" s="383"/>
      <c r="I53" s="380"/>
      <c r="J53" s="167"/>
      <c r="K53" s="167"/>
      <c r="L53" s="167"/>
      <c r="M53" s="383"/>
      <c r="N53" s="431"/>
      <c r="O53" s="168"/>
      <c r="P53" s="169"/>
      <c r="Q53" s="169"/>
      <c r="R53" s="386"/>
      <c r="S53" s="385"/>
      <c r="T53" s="169"/>
      <c r="U53" s="169"/>
      <c r="V53" s="169"/>
      <c r="W53" s="385"/>
      <c r="X53" s="385"/>
      <c r="Y53" s="169"/>
      <c r="Z53" s="169"/>
      <c r="AA53" s="169"/>
      <c r="AB53" s="386"/>
    </row>
    <row r="54" spans="1:28" ht="18" customHeight="1" x14ac:dyDescent="0.2">
      <c r="A54" s="390"/>
      <c r="B54" s="161" t="s">
        <v>148</v>
      </c>
      <c r="C54" s="383"/>
      <c r="D54" s="380"/>
      <c r="E54" s="159"/>
      <c r="F54" s="159"/>
      <c r="G54" s="159"/>
      <c r="H54" s="383"/>
      <c r="I54" s="380"/>
      <c r="J54" s="159"/>
      <c r="K54" s="159"/>
      <c r="L54" s="159"/>
      <c r="M54" s="383"/>
      <c r="N54" s="431"/>
      <c r="O54" s="170"/>
      <c r="P54" s="160"/>
      <c r="Q54" s="160"/>
      <c r="R54" s="386"/>
      <c r="S54" s="385"/>
      <c r="T54" s="160"/>
      <c r="U54" s="160"/>
      <c r="V54" s="160"/>
      <c r="W54" s="385"/>
      <c r="X54" s="385"/>
      <c r="Y54" s="160"/>
      <c r="Z54" s="160"/>
      <c r="AA54" s="160"/>
      <c r="AB54" s="386"/>
    </row>
    <row r="55" spans="1:28" ht="18" customHeight="1" x14ac:dyDescent="0.2">
      <c r="A55" s="390"/>
      <c r="B55" s="162" t="s">
        <v>709</v>
      </c>
      <c r="C55" s="383"/>
      <c r="D55" s="380"/>
      <c r="E55" s="159"/>
      <c r="F55" s="159"/>
      <c r="G55" s="159"/>
      <c r="H55" s="383"/>
      <c r="I55" s="380"/>
      <c r="J55" s="159"/>
      <c r="K55" s="159"/>
      <c r="L55" s="159"/>
      <c r="M55" s="383"/>
      <c r="N55" s="431"/>
      <c r="O55" s="170"/>
      <c r="P55" s="160"/>
      <c r="Q55" s="160"/>
      <c r="R55" s="386"/>
      <c r="S55" s="385"/>
      <c r="T55" s="160"/>
      <c r="U55" s="160"/>
      <c r="V55" s="160"/>
      <c r="W55" s="385"/>
      <c r="X55" s="385"/>
      <c r="Y55" s="160"/>
      <c r="Z55" s="160"/>
      <c r="AA55" s="160"/>
      <c r="AB55" s="386"/>
    </row>
    <row r="56" spans="1:28" ht="18" customHeight="1" x14ac:dyDescent="0.2">
      <c r="A56" s="390"/>
      <c r="B56" s="162" t="s">
        <v>710</v>
      </c>
      <c r="C56" s="383"/>
      <c r="D56" s="380"/>
      <c r="E56" s="159"/>
      <c r="F56" s="159"/>
      <c r="G56" s="159"/>
      <c r="H56" s="383"/>
      <c r="I56" s="380"/>
      <c r="J56" s="159"/>
      <c r="K56" s="159"/>
      <c r="L56" s="159"/>
      <c r="M56" s="383"/>
      <c r="N56" s="431"/>
      <c r="O56" s="170"/>
      <c r="P56" s="160"/>
      <c r="Q56" s="160"/>
      <c r="R56" s="386"/>
      <c r="S56" s="385"/>
      <c r="T56" s="160"/>
      <c r="U56" s="160"/>
      <c r="V56" s="160"/>
      <c r="W56" s="385"/>
      <c r="X56" s="385"/>
      <c r="Y56" s="160"/>
      <c r="Z56" s="160"/>
      <c r="AA56" s="160"/>
      <c r="AB56" s="386"/>
    </row>
    <row r="57" spans="1:28" ht="18" customHeight="1" x14ac:dyDescent="0.2">
      <c r="A57" s="390"/>
      <c r="B57" s="162" t="s">
        <v>711</v>
      </c>
      <c r="C57" s="383"/>
      <c r="D57" s="380"/>
      <c r="E57" s="159"/>
      <c r="F57" s="159"/>
      <c r="G57" s="159"/>
      <c r="H57" s="383"/>
      <c r="I57" s="380"/>
      <c r="J57" s="159"/>
      <c r="K57" s="159"/>
      <c r="L57" s="159"/>
      <c r="M57" s="383"/>
      <c r="N57" s="431"/>
      <c r="O57" s="170"/>
      <c r="P57" s="160"/>
      <c r="Q57" s="160"/>
      <c r="R57" s="386"/>
      <c r="S57" s="385"/>
      <c r="T57" s="160"/>
      <c r="U57" s="160"/>
      <c r="V57" s="160"/>
      <c r="W57" s="385"/>
      <c r="X57" s="385"/>
      <c r="Y57" s="160"/>
      <c r="Z57" s="160"/>
      <c r="AA57" s="160"/>
      <c r="AB57" s="386"/>
    </row>
    <row r="58" spans="1:28" ht="18" customHeight="1" x14ac:dyDescent="0.2">
      <c r="A58" s="390"/>
      <c r="B58" s="162" t="s">
        <v>712</v>
      </c>
      <c r="C58" s="383"/>
      <c r="D58" s="380"/>
      <c r="E58" s="159"/>
      <c r="F58" s="159"/>
      <c r="G58" s="159"/>
      <c r="H58" s="383"/>
      <c r="I58" s="380"/>
      <c r="J58" s="159"/>
      <c r="K58" s="159"/>
      <c r="L58" s="159"/>
      <c r="M58" s="383"/>
      <c r="N58" s="431"/>
      <c r="O58" s="170"/>
      <c r="P58" s="160"/>
      <c r="Q58" s="160"/>
      <c r="R58" s="386"/>
      <c r="S58" s="385"/>
      <c r="T58" s="160"/>
      <c r="U58" s="160"/>
      <c r="V58" s="160"/>
      <c r="W58" s="385"/>
      <c r="X58" s="385"/>
      <c r="Y58" s="160"/>
      <c r="Z58" s="160"/>
      <c r="AA58" s="160"/>
      <c r="AB58" s="386"/>
    </row>
    <row r="59" spans="1:28" ht="18" customHeight="1" x14ac:dyDescent="0.2">
      <c r="A59" s="390"/>
      <c r="B59" s="162" t="s">
        <v>713</v>
      </c>
      <c r="C59" s="383"/>
      <c r="D59" s="380"/>
      <c r="E59" s="159"/>
      <c r="F59" s="159"/>
      <c r="G59" s="159"/>
      <c r="H59" s="383"/>
      <c r="I59" s="380"/>
      <c r="J59" s="159"/>
      <c r="K59" s="159"/>
      <c r="L59" s="159"/>
      <c r="M59" s="383"/>
      <c r="N59" s="431"/>
      <c r="O59" s="170"/>
      <c r="P59" s="160"/>
      <c r="Q59" s="160"/>
      <c r="R59" s="386"/>
      <c r="S59" s="385"/>
      <c r="T59" s="160"/>
      <c r="U59" s="160"/>
      <c r="V59" s="160"/>
      <c r="W59" s="385"/>
      <c r="X59" s="385"/>
      <c r="Y59" s="160"/>
      <c r="Z59" s="160"/>
      <c r="AA59" s="160"/>
      <c r="AB59" s="386"/>
    </row>
    <row r="60" spans="1:28" ht="18" customHeight="1" x14ac:dyDescent="0.2">
      <c r="A60" s="390"/>
      <c r="B60" s="162" t="s">
        <v>714</v>
      </c>
      <c r="C60" s="383"/>
      <c r="D60" s="380"/>
      <c r="E60" s="159"/>
      <c r="F60" s="159"/>
      <c r="G60" s="159"/>
      <c r="H60" s="383"/>
      <c r="I60" s="380"/>
      <c r="J60" s="159"/>
      <c r="K60" s="159"/>
      <c r="L60" s="159"/>
      <c r="M60" s="383"/>
      <c r="N60" s="431"/>
      <c r="O60" s="170"/>
      <c r="P60" s="160"/>
      <c r="Q60" s="160"/>
      <c r="R60" s="386"/>
      <c r="S60" s="385"/>
      <c r="T60" s="160"/>
      <c r="U60" s="160"/>
      <c r="V60" s="160"/>
      <c r="W60" s="385"/>
      <c r="X60" s="385"/>
      <c r="Y60" s="160"/>
      <c r="Z60" s="160"/>
      <c r="AA60" s="160"/>
      <c r="AB60" s="386"/>
    </row>
    <row r="61" spans="1:28" ht="18" customHeight="1" x14ac:dyDescent="0.2">
      <c r="A61" s="390"/>
      <c r="B61" s="162" t="s">
        <v>715</v>
      </c>
      <c r="C61" s="383"/>
      <c r="D61" s="380"/>
      <c r="E61" s="159"/>
      <c r="F61" s="159"/>
      <c r="G61" s="159"/>
      <c r="H61" s="383"/>
      <c r="I61" s="380"/>
      <c r="J61" s="159"/>
      <c r="K61" s="159"/>
      <c r="L61" s="159"/>
      <c r="M61" s="383"/>
      <c r="N61" s="431"/>
      <c r="O61" s="170"/>
      <c r="P61" s="160"/>
      <c r="Q61" s="160"/>
      <c r="R61" s="386"/>
      <c r="S61" s="385"/>
      <c r="T61" s="160"/>
      <c r="U61" s="160"/>
      <c r="V61" s="160"/>
      <c r="W61" s="385"/>
      <c r="X61" s="385"/>
      <c r="Y61" s="160"/>
      <c r="Z61" s="160"/>
      <c r="AA61" s="160"/>
      <c r="AB61" s="386"/>
    </row>
    <row r="62" spans="1:28" ht="18" customHeight="1" x14ac:dyDescent="0.2">
      <c r="A62" s="390"/>
      <c r="B62" s="162" t="s">
        <v>716</v>
      </c>
      <c r="C62" s="383"/>
      <c r="D62" s="380"/>
      <c r="E62" s="159"/>
      <c r="F62" s="159"/>
      <c r="G62" s="159"/>
      <c r="H62" s="383"/>
      <c r="I62" s="380"/>
      <c r="J62" s="159"/>
      <c r="K62" s="159"/>
      <c r="L62" s="159"/>
      <c r="M62" s="383"/>
      <c r="N62" s="431"/>
      <c r="O62" s="170"/>
      <c r="P62" s="160"/>
      <c r="Q62" s="160"/>
      <c r="R62" s="386"/>
      <c r="S62" s="385"/>
      <c r="T62" s="160"/>
      <c r="U62" s="160"/>
      <c r="V62" s="160"/>
      <c r="W62" s="385"/>
      <c r="X62" s="385"/>
      <c r="Y62" s="160"/>
      <c r="Z62" s="160"/>
      <c r="AA62" s="160"/>
      <c r="AB62" s="386"/>
    </row>
    <row r="63" spans="1:28" ht="18" customHeight="1" x14ac:dyDescent="0.2">
      <c r="A63" s="390"/>
      <c r="B63" s="162" t="s">
        <v>717</v>
      </c>
      <c r="C63" s="383"/>
      <c r="D63" s="380"/>
      <c r="E63" s="159"/>
      <c r="F63" s="159"/>
      <c r="G63" s="159"/>
      <c r="H63" s="383"/>
      <c r="I63" s="380"/>
      <c r="J63" s="159"/>
      <c r="K63" s="159"/>
      <c r="L63" s="159"/>
      <c r="M63" s="383"/>
      <c r="N63" s="431"/>
      <c r="O63" s="170"/>
      <c r="P63" s="160"/>
      <c r="Q63" s="160"/>
      <c r="R63" s="386"/>
      <c r="S63" s="385"/>
      <c r="T63" s="160"/>
      <c r="U63" s="160"/>
      <c r="V63" s="160"/>
      <c r="W63" s="385"/>
      <c r="X63" s="385"/>
      <c r="Y63" s="160"/>
      <c r="Z63" s="160"/>
      <c r="AA63" s="160"/>
      <c r="AB63" s="386"/>
    </row>
    <row r="64" spans="1:28" ht="18" customHeight="1" x14ac:dyDescent="0.2">
      <c r="A64" s="390"/>
      <c r="B64" s="162" t="s">
        <v>718</v>
      </c>
      <c r="C64" s="383"/>
      <c r="D64" s="380"/>
      <c r="E64" s="159"/>
      <c r="F64" s="159"/>
      <c r="G64" s="159"/>
      <c r="H64" s="383"/>
      <c r="I64" s="380"/>
      <c r="J64" s="159"/>
      <c r="K64" s="159"/>
      <c r="L64" s="159"/>
      <c r="M64" s="383"/>
      <c r="N64" s="431"/>
      <c r="O64" s="170"/>
      <c r="P64" s="160"/>
      <c r="Q64" s="160"/>
      <c r="R64" s="386"/>
      <c r="S64" s="385"/>
      <c r="T64" s="160"/>
      <c r="U64" s="160"/>
      <c r="V64" s="160"/>
      <c r="W64" s="385"/>
      <c r="X64" s="385"/>
      <c r="Y64" s="160"/>
      <c r="Z64" s="160"/>
      <c r="AA64" s="160"/>
      <c r="AB64" s="386"/>
    </row>
    <row r="65" spans="1:28" ht="18" customHeight="1" x14ac:dyDescent="0.2">
      <c r="A65" s="390"/>
      <c r="B65" s="162" t="s">
        <v>719</v>
      </c>
      <c r="C65" s="383"/>
      <c r="D65" s="380"/>
      <c r="E65" s="159"/>
      <c r="F65" s="159"/>
      <c r="G65" s="159"/>
      <c r="H65" s="383"/>
      <c r="I65" s="380"/>
      <c r="J65" s="159"/>
      <c r="K65" s="159"/>
      <c r="L65" s="159"/>
      <c r="M65" s="383"/>
      <c r="N65" s="431"/>
      <c r="O65" s="170"/>
      <c r="P65" s="160"/>
      <c r="Q65" s="160"/>
      <c r="R65" s="386"/>
      <c r="S65" s="385"/>
      <c r="T65" s="160"/>
      <c r="U65" s="160"/>
      <c r="V65" s="160"/>
      <c r="W65" s="385"/>
      <c r="X65" s="385"/>
      <c r="Y65" s="160"/>
      <c r="Z65" s="160"/>
      <c r="AA65" s="160"/>
      <c r="AB65" s="386"/>
    </row>
    <row r="66" spans="1:28" ht="18" customHeight="1" x14ac:dyDescent="0.2">
      <c r="A66" s="390"/>
      <c r="B66" s="161" t="s">
        <v>329</v>
      </c>
      <c r="C66" s="383"/>
      <c r="D66" s="380"/>
      <c r="E66" s="159"/>
      <c r="F66" s="159"/>
      <c r="G66" s="159"/>
      <c r="H66" s="383"/>
      <c r="I66" s="380"/>
      <c r="J66" s="159"/>
      <c r="K66" s="159"/>
      <c r="L66" s="159"/>
      <c r="M66" s="383"/>
      <c r="N66" s="431"/>
      <c r="O66" s="170"/>
      <c r="P66" s="160"/>
      <c r="Q66" s="160"/>
      <c r="R66" s="386"/>
      <c r="S66" s="385"/>
      <c r="T66" s="160"/>
      <c r="U66" s="160"/>
      <c r="V66" s="160"/>
      <c r="W66" s="385"/>
      <c r="X66" s="385"/>
      <c r="Y66" s="160"/>
      <c r="Z66" s="160"/>
      <c r="AA66" s="160"/>
      <c r="AB66" s="386"/>
    </row>
    <row r="67" spans="1:28" ht="18" customHeight="1" x14ac:dyDescent="0.2">
      <c r="A67" s="390"/>
      <c r="B67" s="163" t="s">
        <v>720</v>
      </c>
      <c r="C67" s="383"/>
      <c r="D67" s="380"/>
      <c r="E67" s="159"/>
      <c r="F67" s="159"/>
      <c r="G67" s="159"/>
      <c r="H67" s="383"/>
      <c r="I67" s="380"/>
      <c r="J67" s="159"/>
      <c r="K67" s="159"/>
      <c r="L67" s="159"/>
      <c r="M67" s="383"/>
      <c r="N67" s="431"/>
      <c r="O67" s="170"/>
      <c r="P67" s="160"/>
      <c r="Q67" s="160"/>
      <c r="R67" s="386"/>
      <c r="S67" s="385"/>
      <c r="T67" s="160"/>
      <c r="U67" s="160"/>
      <c r="V67" s="160"/>
      <c r="W67" s="385"/>
      <c r="X67" s="385"/>
      <c r="Y67" s="160"/>
      <c r="Z67" s="160"/>
      <c r="AA67" s="160"/>
      <c r="AB67" s="386"/>
    </row>
    <row r="68" spans="1:28" ht="18" customHeight="1" x14ac:dyDescent="0.2">
      <c r="A68" s="390"/>
      <c r="B68" s="163" t="s">
        <v>721</v>
      </c>
      <c r="C68" s="383"/>
      <c r="D68" s="380"/>
      <c r="E68" s="159"/>
      <c r="F68" s="159"/>
      <c r="G68" s="159"/>
      <c r="H68" s="383"/>
      <c r="I68" s="380"/>
      <c r="J68" s="159"/>
      <c r="K68" s="159"/>
      <c r="L68" s="159"/>
      <c r="M68" s="383"/>
      <c r="N68" s="431"/>
      <c r="O68" s="170"/>
      <c r="P68" s="160"/>
      <c r="Q68" s="160"/>
      <c r="R68" s="386"/>
      <c r="S68" s="385"/>
      <c r="T68" s="160"/>
      <c r="U68" s="160"/>
      <c r="V68" s="160"/>
      <c r="W68" s="385"/>
      <c r="X68" s="385"/>
      <c r="Y68" s="160"/>
      <c r="Z68" s="160"/>
      <c r="AA68" s="160"/>
      <c r="AB68" s="386"/>
    </row>
    <row r="69" spans="1:28" ht="18" customHeight="1" x14ac:dyDescent="0.2">
      <c r="A69" s="390"/>
      <c r="B69" s="163" t="s">
        <v>722</v>
      </c>
      <c r="C69" s="383"/>
      <c r="D69" s="380"/>
      <c r="E69" s="159"/>
      <c r="F69" s="159"/>
      <c r="G69" s="159"/>
      <c r="H69" s="383"/>
      <c r="I69" s="380"/>
      <c r="J69" s="159"/>
      <c r="K69" s="159"/>
      <c r="L69" s="159"/>
      <c r="M69" s="383"/>
      <c r="N69" s="431"/>
      <c r="O69" s="170"/>
      <c r="P69" s="160"/>
      <c r="Q69" s="160"/>
      <c r="R69" s="386"/>
      <c r="S69" s="385"/>
      <c r="T69" s="160"/>
      <c r="U69" s="160"/>
      <c r="V69" s="160"/>
      <c r="W69" s="385"/>
      <c r="X69" s="385"/>
      <c r="Y69" s="160"/>
      <c r="Z69" s="160"/>
      <c r="AA69" s="160"/>
      <c r="AB69" s="386"/>
    </row>
    <row r="70" spans="1:28" ht="31.5" customHeight="1" x14ac:dyDescent="0.2">
      <c r="A70" s="390"/>
      <c r="B70" s="163" t="s">
        <v>723</v>
      </c>
      <c r="C70" s="383"/>
      <c r="D70" s="380"/>
      <c r="E70" s="159"/>
      <c r="F70" s="159"/>
      <c r="G70" s="159"/>
      <c r="H70" s="383"/>
      <c r="I70" s="380"/>
      <c r="J70" s="159"/>
      <c r="K70" s="159"/>
      <c r="L70" s="159"/>
      <c r="M70" s="383"/>
      <c r="N70" s="431"/>
      <c r="O70" s="170"/>
      <c r="P70" s="160"/>
      <c r="Q70" s="160"/>
      <c r="R70" s="386"/>
      <c r="S70" s="385"/>
      <c r="T70" s="160"/>
      <c r="U70" s="160"/>
      <c r="V70" s="160"/>
      <c r="W70" s="385"/>
      <c r="X70" s="385"/>
      <c r="Y70" s="160"/>
      <c r="Z70" s="160"/>
      <c r="AA70" s="160"/>
      <c r="AB70" s="386"/>
    </row>
    <row r="71" spans="1:28" ht="18" customHeight="1" x14ac:dyDescent="0.2">
      <c r="A71" s="390"/>
      <c r="B71" s="163" t="s">
        <v>724</v>
      </c>
      <c r="C71" s="383"/>
      <c r="D71" s="380"/>
      <c r="E71" s="159"/>
      <c r="F71" s="159"/>
      <c r="G71" s="159"/>
      <c r="H71" s="383"/>
      <c r="I71" s="380"/>
      <c r="J71" s="159"/>
      <c r="K71" s="159"/>
      <c r="L71" s="159"/>
      <c r="M71" s="383"/>
      <c r="N71" s="431"/>
      <c r="O71" s="170"/>
      <c r="P71" s="160"/>
      <c r="Q71" s="160"/>
      <c r="R71" s="386"/>
      <c r="S71" s="385"/>
      <c r="T71" s="160"/>
      <c r="U71" s="160"/>
      <c r="V71" s="160"/>
      <c r="W71" s="385"/>
      <c r="X71" s="385"/>
      <c r="Y71" s="160"/>
      <c r="Z71" s="160"/>
      <c r="AA71" s="160"/>
      <c r="AB71" s="386"/>
    </row>
    <row r="72" spans="1:28" ht="32.25" customHeight="1" x14ac:dyDescent="0.2">
      <c r="A72" s="390"/>
      <c r="B72" s="163" t="s">
        <v>725</v>
      </c>
      <c r="C72" s="383"/>
      <c r="D72" s="380"/>
      <c r="E72" s="159"/>
      <c r="F72" s="159"/>
      <c r="G72" s="159"/>
      <c r="H72" s="383"/>
      <c r="I72" s="380"/>
      <c r="J72" s="159"/>
      <c r="K72" s="159"/>
      <c r="L72" s="159"/>
      <c r="M72" s="383"/>
      <c r="N72" s="431"/>
      <c r="O72" s="170"/>
      <c r="P72" s="160"/>
      <c r="Q72" s="160"/>
      <c r="R72" s="386"/>
      <c r="S72" s="385"/>
      <c r="T72" s="160"/>
      <c r="U72" s="160"/>
      <c r="V72" s="160"/>
      <c r="W72" s="385"/>
      <c r="X72" s="385"/>
      <c r="Y72" s="160"/>
      <c r="Z72" s="160"/>
      <c r="AA72" s="160"/>
      <c r="AB72" s="386"/>
    </row>
    <row r="73" spans="1:28" ht="18" customHeight="1" x14ac:dyDescent="0.2">
      <c r="A73" s="390"/>
      <c r="B73" s="163" t="s">
        <v>726</v>
      </c>
      <c r="C73" s="383"/>
      <c r="D73" s="380"/>
      <c r="E73" s="159"/>
      <c r="F73" s="159"/>
      <c r="G73" s="159"/>
      <c r="H73" s="383"/>
      <c r="I73" s="380"/>
      <c r="J73" s="159"/>
      <c r="K73" s="159"/>
      <c r="L73" s="159"/>
      <c r="M73" s="383"/>
      <c r="N73" s="431"/>
      <c r="O73" s="170"/>
      <c r="P73" s="160"/>
      <c r="Q73" s="160"/>
      <c r="R73" s="386"/>
      <c r="S73" s="385"/>
      <c r="T73" s="160"/>
      <c r="U73" s="160"/>
      <c r="V73" s="160"/>
      <c r="W73" s="385"/>
      <c r="X73" s="385"/>
      <c r="Y73" s="160"/>
      <c r="Z73" s="160"/>
      <c r="AA73" s="160"/>
      <c r="AB73" s="386"/>
    </row>
    <row r="74" spans="1:28" ht="18" customHeight="1" x14ac:dyDescent="0.2">
      <c r="A74" s="390"/>
      <c r="B74" s="163" t="s">
        <v>727</v>
      </c>
      <c r="C74" s="383"/>
      <c r="D74" s="380"/>
      <c r="E74" s="159"/>
      <c r="F74" s="159"/>
      <c r="G74" s="159"/>
      <c r="H74" s="383"/>
      <c r="I74" s="380"/>
      <c r="J74" s="159"/>
      <c r="K74" s="159"/>
      <c r="L74" s="159"/>
      <c r="M74" s="383"/>
      <c r="N74" s="431"/>
      <c r="O74" s="170"/>
      <c r="P74" s="160"/>
      <c r="Q74" s="160"/>
      <c r="R74" s="386"/>
      <c r="S74" s="385"/>
      <c r="T74" s="160"/>
      <c r="U74" s="160"/>
      <c r="V74" s="160"/>
      <c r="W74" s="385"/>
      <c r="X74" s="385"/>
      <c r="Y74" s="160"/>
      <c r="Z74" s="160"/>
      <c r="AA74" s="160"/>
      <c r="AB74" s="386"/>
    </row>
    <row r="75" spans="1:28" ht="18" customHeight="1" x14ac:dyDescent="0.2">
      <c r="A75" s="390"/>
      <c r="B75" s="163" t="s">
        <v>728</v>
      </c>
      <c r="C75" s="383"/>
      <c r="D75" s="380"/>
      <c r="E75" s="159"/>
      <c r="F75" s="159"/>
      <c r="G75" s="159"/>
      <c r="H75" s="383"/>
      <c r="I75" s="380"/>
      <c r="J75" s="159"/>
      <c r="K75" s="159"/>
      <c r="L75" s="159"/>
      <c r="M75" s="383"/>
      <c r="N75" s="431"/>
      <c r="O75" s="170"/>
      <c r="P75" s="160"/>
      <c r="Q75" s="160"/>
      <c r="R75" s="386"/>
      <c r="S75" s="385"/>
      <c r="T75" s="160"/>
      <c r="U75" s="160"/>
      <c r="V75" s="160"/>
      <c r="W75" s="385"/>
      <c r="X75" s="385"/>
      <c r="Y75" s="160"/>
      <c r="Z75" s="160"/>
      <c r="AA75" s="160"/>
      <c r="AB75" s="386"/>
    </row>
    <row r="76" spans="1:28" ht="18" customHeight="1" x14ac:dyDescent="0.2">
      <c r="A76" s="390"/>
      <c r="B76" s="163" t="s">
        <v>729</v>
      </c>
      <c r="C76" s="383"/>
      <c r="D76" s="380"/>
      <c r="E76" s="159"/>
      <c r="F76" s="159"/>
      <c r="G76" s="159"/>
      <c r="H76" s="383"/>
      <c r="I76" s="380"/>
      <c r="J76" s="159"/>
      <c r="K76" s="159"/>
      <c r="L76" s="159"/>
      <c r="M76" s="383"/>
      <c r="N76" s="431"/>
      <c r="O76" s="170"/>
      <c r="P76" s="160"/>
      <c r="Q76" s="160"/>
      <c r="R76" s="386"/>
      <c r="S76" s="385"/>
      <c r="T76" s="160"/>
      <c r="U76" s="160"/>
      <c r="V76" s="160"/>
      <c r="W76" s="385"/>
      <c r="X76" s="385"/>
      <c r="Y76" s="160"/>
      <c r="Z76" s="160"/>
      <c r="AA76" s="160"/>
      <c r="AB76" s="386"/>
    </row>
    <row r="77" spans="1:28" ht="18" customHeight="1" x14ac:dyDescent="0.2">
      <c r="A77" s="390"/>
      <c r="B77" s="163" t="s">
        <v>730</v>
      </c>
      <c r="C77" s="383"/>
      <c r="D77" s="380"/>
      <c r="E77" s="159"/>
      <c r="F77" s="159"/>
      <c r="G77" s="159"/>
      <c r="H77" s="383"/>
      <c r="I77" s="380"/>
      <c r="J77" s="159"/>
      <c r="K77" s="159"/>
      <c r="L77" s="159"/>
      <c r="M77" s="383"/>
      <c r="N77" s="431"/>
      <c r="O77" s="170"/>
      <c r="P77" s="160"/>
      <c r="Q77" s="160"/>
      <c r="R77" s="386"/>
      <c r="S77" s="385"/>
      <c r="T77" s="160"/>
      <c r="U77" s="160"/>
      <c r="V77" s="160"/>
      <c r="W77" s="385"/>
      <c r="X77" s="385"/>
      <c r="Y77" s="160"/>
      <c r="Z77" s="160"/>
      <c r="AA77" s="160"/>
      <c r="AB77" s="386"/>
    </row>
    <row r="78" spans="1:28" ht="18" customHeight="1" x14ac:dyDescent="0.2">
      <c r="A78" s="390"/>
      <c r="B78" s="163" t="s">
        <v>731</v>
      </c>
      <c r="C78" s="383"/>
      <c r="D78" s="380"/>
      <c r="E78" s="159"/>
      <c r="F78" s="159"/>
      <c r="G78" s="159"/>
      <c r="H78" s="383"/>
      <c r="I78" s="380"/>
      <c r="J78" s="159"/>
      <c r="K78" s="159"/>
      <c r="L78" s="159"/>
      <c r="M78" s="383"/>
      <c r="N78" s="431"/>
      <c r="O78" s="170"/>
      <c r="P78" s="160"/>
      <c r="Q78" s="160"/>
      <c r="R78" s="386"/>
      <c r="S78" s="385"/>
      <c r="T78" s="160"/>
      <c r="U78" s="160"/>
      <c r="V78" s="160"/>
      <c r="W78" s="385"/>
      <c r="X78" s="385"/>
      <c r="Y78" s="160"/>
      <c r="Z78" s="160"/>
      <c r="AA78" s="160"/>
      <c r="AB78" s="386"/>
    </row>
    <row r="79" spans="1:28" ht="18" customHeight="1" x14ac:dyDescent="0.2">
      <c r="A79" s="390"/>
      <c r="B79" s="163" t="s">
        <v>732</v>
      </c>
      <c r="C79" s="383"/>
      <c r="D79" s="380"/>
      <c r="E79" s="159"/>
      <c r="F79" s="159"/>
      <c r="G79" s="159"/>
      <c r="H79" s="383"/>
      <c r="I79" s="380"/>
      <c r="J79" s="159"/>
      <c r="K79" s="159"/>
      <c r="L79" s="159"/>
      <c r="M79" s="383"/>
      <c r="N79" s="431"/>
      <c r="O79" s="170"/>
      <c r="P79" s="160"/>
      <c r="Q79" s="160"/>
      <c r="R79" s="386"/>
      <c r="S79" s="385"/>
      <c r="T79" s="160"/>
      <c r="U79" s="160"/>
      <c r="V79" s="160"/>
      <c r="W79" s="385"/>
      <c r="X79" s="385"/>
      <c r="Y79" s="160"/>
      <c r="Z79" s="160"/>
      <c r="AA79" s="160"/>
      <c r="AB79" s="386"/>
    </row>
    <row r="80" spans="1:28" ht="20.25" customHeight="1" x14ac:dyDescent="0.2">
      <c r="A80" s="390"/>
      <c r="B80" s="163" t="s">
        <v>733</v>
      </c>
      <c r="C80" s="383"/>
      <c r="D80" s="380"/>
      <c r="E80" s="159"/>
      <c r="F80" s="159"/>
      <c r="G80" s="159"/>
      <c r="H80" s="383"/>
      <c r="I80" s="380"/>
      <c r="J80" s="159"/>
      <c r="K80" s="159"/>
      <c r="L80" s="159"/>
      <c r="M80" s="383"/>
      <c r="N80" s="431"/>
      <c r="O80" s="170"/>
      <c r="P80" s="160"/>
      <c r="Q80" s="160"/>
      <c r="R80" s="386"/>
      <c r="S80" s="385"/>
      <c r="T80" s="160"/>
      <c r="U80" s="160"/>
      <c r="V80" s="160"/>
      <c r="W80" s="385"/>
      <c r="X80" s="385"/>
      <c r="Y80" s="160"/>
      <c r="Z80" s="160"/>
      <c r="AA80" s="160"/>
      <c r="AB80" s="386"/>
    </row>
    <row r="81" spans="1:28" ht="18" customHeight="1" x14ac:dyDescent="0.25">
      <c r="A81" s="390"/>
      <c r="B81" s="171" t="s">
        <v>734</v>
      </c>
      <c r="C81" s="383"/>
      <c r="D81" s="380"/>
      <c r="E81" s="159"/>
      <c r="F81" s="159"/>
      <c r="G81" s="159"/>
      <c r="H81" s="383"/>
      <c r="I81" s="380"/>
      <c r="J81" s="159"/>
      <c r="K81" s="159"/>
      <c r="L81" s="159"/>
      <c r="M81" s="383"/>
      <c r="N81" s="431"/>
      <c r="O81" s="170"/>
      <c r="P81" s="160"/>
      <c r="Q81" s="160"/>
      <c r="R81" s="386"/>
      <c r="S81" s="385"/>
      <c r="T81" s="160"/>
      <c r="U81" s="160"/>
      <c r="V81" s="160"/>
      <c r="W81" s="385"/>
      <c r="X81" s="385"/>
      <c r="Y81" s="160"/>
      <c r="Z81" s="160"/>
      <c r="AA81" s="160"/>
      <c r="AB81" s="386"/>
    </row>
    <row r="82" spans="1:28" ht="18" customHeight="1" x14ac:dyDescent="0.2">
      <c r="A82" s="390"/>
      <c r="B82" s="163" t="s">
        <v>735</v>
      </c>
      <c r="C82" s="383"/>
      <c r="D82" s="380"/>
      <c r="E82" s="159"/>
      <c r="F82" s="159"/>
      <c r="G82" s="159"/>
      <c r="H82" s="383"/>
      <c r="I82" s="380"/>
      <c r="J82" s="159"/>
      <c r="K82" s="159"/>
      <c r="L82" s="159"/>
      <c r="M82" s="383"/>
      <c r="N82" s="431"/>
      <c r="O82" s="170"/>
      <c r="P82" s="160"/>
      <c r="Q82" s="160"/>
      <c r="R82" s="386"/>
      <c r="S82" s="385"/>
      <c r="T82" s="160"/>
      <c r="U82" s="160"/>
      <c r="V82" s="160"/>
      <c r="W82" s="385"/>
      <c r="X82" s="385"/>
      <c r="Y82" s="160"/>
      <c r="Z82" s="160"/>
      <c r="AA82" s="160"/>
      <c r="AB82" s="386"/>
    </row>
    <row r="83" spans="1:28" ht="20.25" customHeight="1" x14ac:dyDescent="0.2">
      <c r="A83" s="390"/>
      <c r="B83" s="163" t="s">
        <v>736</v>
      </c>
      <c r="C83" s="383"/>
      <c r="D83" s="380"/>
      <c r="E83" s="159"/>
      <c r="F83" s="159"/>
      <c r="G83" s="159"/>
      <c r="H83" s="383"/>
      <c r="I83" s="380"/>
      <c r="J83" s="159"/>
      <c r="K83" s="159"/>
      <c r="L83" s="159"/>
      <c r="M83" s="383"/>
      <c r="N83" s="431"/>
      <c r="O83" s="170"/>
      <c r="P83" s="160"/>
      <c r="Q83" s="160"/>
      <c r="R83" s="386"/>
      <c r="S83" s="385"/>
      <c r="T83" s="160"/>
      <c r="U83" s="160"/>
      <c r="V83" s="160"/>
      <c r="W83" s="385"/>
      <c r="X83" s="385"/>
      <c r="Y83" s="160"/>
      <c r="Z83" s="160"/>
      <c r="AA83" s="160"/>
      <c r="AB83" s="386"/>
    </row>
    <row r="84" spans="1:28" ht="18" customHeight="1" x14ac:dyDescent="0.2">
      <c r="A84" s="390"/>
      <c r="B84" s="161" t="s">
        <v>382</v>
      </c>
      <c r="C84" s="383"/>
      <c r="D84" s="380"/>
      <c r="E84" s="159"/>
      <c r="F84" s="159"/>
      <c r="G84" s="159"/>
      <c r="H84" s="383"/>
      <c r="I84" s="380"/>
      <c r="J84" s="159"/>
      <c r="K84" s="159"/>
      <c r="L84" s="159"/>
      <c r="M84" s="383"/>
      <c r="N84" s="431"/>
      <c r="O84" s="170"/>
      <c r="P84" s="160"/>
      <c r="Q84" s="160"/>
      <c r="R84" s="386"/>
      <c r="S84" s="385"/>
      <c r="T84" s="160"/>
      <c r="U84" s="160"/>
      <c r="V84" s="160"/>
      <c r="W84" s="385"/>
      <c r="X84" s="385"/>
      <c r="Y84" s="160"/>
      <c r="Z84" s="160"/>
      <c r="AA84" s="160"/>
      <c r="AB84" s="386"/>
    </row>
    <row r="85" spans="1:28" ht="25.5" customHeight="1" x14ac:dyDescent="0.2">
      <c r="A85" s="390"/>
      <c r="B85" s="162" t="s">
        <v>737</v>
      </c>
      <c r="C85" s="383"/>
      <c r="D85" s="380"/>
      <c r="E85" s="159"/>
      <c r="F85" s="159"/>
      <c r="G85" s="159"/>
      <c r="H85" s="383"/>
      <c r="I85" s="380"/>
      <c r="J85" s="159"/>
      <c r="K85" s="159"/>
      <c r="L85" s="159"/>
      <c r="M85" s="383"/>
      <c r="N85" s="431"/>
      <c r="O85" s="170"/>
      <c r="P85" s="160"/>
      <c r="Q85" s="160"/>
      <c r="R85" s="386"/>
      <c r="S85" s="385"/>
      <c r="T85" s="160"/>
      <c r="U85" s="160"/>
      <c r="V85" s="160"/>
      <c r="W85" s="385"/>
      <c r="X85" s="385"/>
      <c r="Y85" s="160"/>
      <c r="Z85" s="160"/>
      <c r="AA85" s="160"/>
      <c r="AB85" s="386"/>
    </row>
    <row r="86" spans="1:28" ht="18" customHeight="1" x14ac:dyDescent="0.2">
      <c r="A86" s="390"/>
      <c r="B86" s="162" t="s">
        <v>738</v>
      </c>
      <c r="C86" s="383"/>
      <c r="D86" s="380"/>
      <c r="E86" s="159"/>
      <c r="F86" s="159"/>
      <c r="G86" s="159"/>
      <c r="H86" s="383"/>
      <c r="I86" s="380"/>
      <c r="J86" s="159"/>
      <c r="K86" s="159"/>
      <c r="L86" s="159"/>
      <c r="M86" s="383"/>
      <c r="N86" s="431"/>
      <c r="O86" s="170"/>
      <c r="P86" s="160"/>
      <c r="Q86" s="160"/>
      <c r="R86" s="386"/>
      <c r="S86" s="385"/>
      <c r="T86" s="160"/>
      <c r="U86" s="160"/>
      <c r="V86" s="160"/>
      <c r="W86" s="385"/>
      <c r="X86" s="385"/>
      <c r="Y86" s="160"/>
      <c r="Z86" s="160"/>
      <c r="AA86" s="160"/>
      <c r="AB86" s="386"/>
    </row>
    <row r="87" spans="1:28" ht="33.75" customHeight="1" x14ac:dyDescent="0.2">
      <c r="A87" s="390"/>
      <c r="B87" s="162" t="s">
        <v>739</v>
      </c>
      <c r="C87" s="383"/>
      <c r="D87" s="380"/>
      <c r="E87" s="159"/>
      <c r="F87" s="159"/>
      <c r="G87" s="159"/>
      <c r="H87" s="383"/>
      <c r="I87" s="380"/>
      <c r="J87" s="159"/>
      <c r="K87" s="159"/>
      <c r="L87" s="159"/>
      <c r="M87" s="383"/>
      <c r="N87" s="431"/>
      <c r="O87" s="170"/>
      <c r="P87" s="160"/>
      <c r="Q87" s="160"/>
      <c r="R87" s="386"/>
      <c r="S87" s="385"/>
      <c r="T87" s="160"/>
      <c r="U87" s="160"/>
      <c r="V87" s="160"/>
      <c r="W87" s="385"/>
      <c r="X87" s="385"/>
      <c r="Y87" s="160"/>
      <c r="Z87" s="160"/>
      <c r="AA87" s="160"/>
      <c r="AB87" s="386"/>
    </row>
    <row r="88" spans="1:28" ht="19.5" customHeight="1" x14ac:dyDescent="0.2">
      <c r="A88" s="390"/>
      <c r="B88" s="162" t="s">
        <v>740</v>
      </c>
      <c r="C88" s="383"/>
      <c r="D88" s="380"/>
      <c r="E88" s="159"/>
      <c r="F88" s="159"/>
      <c r="G88" s="159"/>
      <c r="H88" s="383"/>
      <c r="I88" s="380"/>
      <c r="J88" s="159"/>
      <c r="K88" s="159"/>
      <c r="L88" s="159"/>
      <c r="M88" s="383"/>
      <c r="N88" s="431"/>
      <c r="O88" s="170"/>
      <c r="P88" s="160"/>
      <c r="Q88" s="160"/>
      <c r="R88" s="386"/>
      <c r="S88" s="385"/>
      <c r="T88" s="160"/>
      <c r="U88" s="160"/>
      <c r="V88" s="160"/>
      <c r="W88" s="385"/>
      <c r="X88" s="385"/>
      <c r="Y88" s="160"/>
      <c r="Z88" s="160"/>
      <c r="AA88" s="160"/>
      <c r="AB88" s="386"/>
    </row>
    <row r="89" spans="1:28" ht="19.5" customHeight="1" x14ac:dyDescent="0.2">
      <c r="A89" s="390"/>
      <c r="B89" s="162" t="s">
        <v>741</v>
      </c>
      <c r="C89" s="383"/>
      <c r="D89" s="380"/>
      <c r="E89" s="159"/>
      <c r="F89" s="159"/>
      <c r="G89" s="159"/>
      <c r="H89" s="383"/>
      <c r="I89" s="380"/>
      <c r="J89" s="159"/>
      <c r="K89" s="159"/>
      <c r="L89" s="159"/>
      <c r="M89" s="383"/>
      <c r="N89" s="431"/>
      <c r="O89" s="170"/>
      <c r="P89" s="160"/>
      <c r="Q89" s="160"/>
      <c r="R89" s="386"/>
      <c r="S89" s="385"/>
      <c r="T89" s="160"/>
      <c r="U89" s="160"/>
      <c r="V89" s="160"/>
      <c r="W89" s="385"/>
      <c r="X89" s="385"/>
      <c r="Y89" s="160"/>
      <c r="Z89" s="160"/>
      <c r="AA89" s="160"/>
      <c r="AB89" s="386"/>
    </row>
    <row r="90" spans="1:28" ht="20.25" customHeight="1" x14ac:dyDescent="0.2">
      <c r="A90" s="390"/>
      <c r="B90" s="162" t="s">
        <v>799</v>
      </c>
      <c r="C90" s="383"/>
      <c r="D90" s="380"/>
      <c r="E90" s="159"/>
      <c r="F90" s="159"/>
      <c r="G90" s="159"/>
      <c r="H90" s="383"/>
      <c r="I90" s="380"/>
      <c r="J90" s="159"/>
      <c r="K90" s="159"/>
      <c r="L90" s="159"/>
      <c r="M90" s="383"/>
      <c r="N90" s="431"/>
      <c r="O90" s="170"/>
      <c r="P90" s="160"/>
      <c r="Q90" s="160"/>
      <c r="R90" s="386"/>
      <c r="S90" s="385"/>
      <c r="T90" s="160"/>
      <c r="U90" s="160"/>
      <c r="V90" s="160"/>
      <c r="W90" s="385"/>
      <c r="X90" s="385"/>
      <c r="Y90" s="160"/>
      <c r="Z90" s="160"/>
      <c r="AA90" s="160"/>
      <c r="AB90" s="386"/>
    </row>
    <row r="91" spans="1:28" ht="19.5" customHeight="1" x14ac:dyDescent="0.2">
      <c r="A91" s="390"/>
      <c r="B91" s="172" t="s">
        <v>742</v>
      </c>
      <c r="C91" s="383"/>
      <c r="D91" s="380"/>
      <c r="E91" s="159"/>
      <c r="F91" s="159"/>
      <c r="G91" s="159"/>
      <c r="H91" s="383"/>
      <c r="I91" s="380"/>
      <c r="J91" s="159"/>
      <c r="K91" s="159"/>
      <c r="L91" s="159"/>
      <c r="M91" s="383"/>
      <c r="N91" s="431"/>
      <c r="O91" s="170"/>
      <c r="P91" s="160"/>
      <c r="Q91" s="160"/>
      <c r="R91" s="386"/>
      <c r="S91" s="385"/>
      <c r="T91" s="160"/>
      <c r="U91" s="160"/>
      <c r="V91" s="160"/>
      <c r="W91" s="385"/>
      <c r="X91" s="385"/>
      <c r="Y91" s="160"/>
      <c r="Z91" s="160"/>
      <c r="AA91" s="160"/>
      <c r="AB91" s="386"/>
    </row>
    <row r="92" spans="1:28" ht="19.5" customHeight="1" x14ac:dyDescent="0.2">
      <c r="A92" s="390"/>
      <c r="B92" s="172" t="s">
        <v>743</v>
      </c>
      <c r="C92" s="383"/>
      <c r="D92" s="380"/>
      <c r="E92" s="159"/>
      <c r="F92" s="159"/>
      <c r="G92" s="159"/>
      <c r="H92" s="383"/>
      <c r="I92" s="380"/>
      <c r="J92" s="159"/>
      <c r="K92" s="159"/>
      <c r="L92" s="159"/>
      <c r="M92" s="383"/>
      <c r="N92" s="431"/>
      <c r="O92" s="170"/>
      <c r="P92" s="160"/>
      <c r="Q92" s="160"/>
      <c r="R92" s="386"/>
      <c r="S92" s="385"/>
      <c r="T92" s="160"/>
      <c r="U92" s="160"/>
      <c r="V92" s="160"/>
      <c r="W92" s="385"/>
      <c r="X92" s="385"/>
      <c r="Y92" s="160"/>
      <c r="Z92" s="160"/>
      <c r="AA92" s="160"/>
      <c r="AB92" s="386"/>
    </row>
    <row r="93" spans="1:28" ht="19.5" customHeight="1" x14ac:dyDescent="0.2">
      <c r="A93" s="390"/>
      <c r="B93" s="172" t="s">
        <v>744</v>
      </c>
      <c r="C93" s="383"/>
      <c r="D93" s="380"/>
      <c r="E93" s="159"/>
      <c r="F93" s="159"/>
      <c r="G93" s="159"/>
      <c r="H93" s="383"/>
      <c r="I93" s="380"/>
      <c r="J93" s="159"/>
      <c r="K93" s="159"/>
      <c r="L93" s="159"/>
      <c r="M93" s="383"/>
      <c r="N93" s="431"/>
      <c r="O93" s="170"/>
      <c r="P93" s="160"/>
      <c r="Q93" s="160"/>
      <c r="R93" s="386"/>
      <c r="S93" s="385"/>
      <c r="T93" s="160"/>
      <c r="U93" s="160"/>
      <c r="V93" s="160"/>
      <c r="W93" s="385"/>
      <c r="X93" s="385"/>
      <c r="Y93" s="160"/>
      <c r="Z93" s="160"/>
      <c r="AA93" s="160"/>
      <c r="AB93" s="386"/>
    </row>
    <row r="94" spans="1:28" ht="15" customHeight="1" x14ac:dyDescent="0.2">
      <c r="A94" s="390"/>
      <c r="B94" s="172" t="s">
        <v>745</v>
      </c>
      <c r="C94" s="383"/>
      <c r="D94" s="380"/>
      <c r="E94" s="159"/>
      <c r="F94" s="159"/>
      <c r="G94" s="159"/>
      <c r="H94" s="383"/>
      <c r="I94" s="380"/>
      <c r="J94" s="159"/>
      <c r="K94" s="159"/>
      <c r="L94" s="159"/>
      <c r="M94" s="383"/>
      <c r="N94" s="431"/>
      <c r="O94" s="170"/>
      <c r="P94" s="160"/>
      <c r="Q94" s="160"/>
      <c r="R94" s="386"/>
      <c r="S94" s="385"/>
      <c r="T94" s="160"/>
      <c r="U94" s="160"/>
      <c r="V94" s="160"/>
      <c r="W94" s="385"/>
      <c r="X94" s="385"/>
      <c r="Y94" s="160"/>
      <c r="Z94" s="160"/>
      <c r="AA94" s="160"/>
      <c r="AB94" s="386"/>
    </row>
    <row r="95" spans="1:28" ht="15.75" customHeight="1" x14ac:dyDescent="0.2">
      <c r="A95" s="390"/>
      <c r="B95" s="172" t="s">
        <v>746</v>
      </c>
      <c r="C95" s="383"/>
      <c r="D95" s="380"/>
      <c r="E95" s="159"/>
      <c r="F95" s="159"/>
      <c r="G95" s="159"/>
      <c r="H95" s="383"/>
      <c r="I95" s="380"/>
      <c r="J95" s="159"/>
      <c r="K95" s="159"/>
      <c r="L95" s="159"/>
      <c r="M95" s="383"/>
      <c r="N95" s="431"/>
      <c r="O95" s="170"/>
      <c r="P95" s="160"/>
      <c r="Q95" s="160"/>
      <c r="R95" s="386"/>
      <c r="S95" s="385"/>
      <c r="T95" s="160"/>
      <c r="U95" s="160"/>
      <c r="V95" s="160"/>
      <c r="W95" s="385"/>
      <c r="X95" s="385"/>
      <c r="Y95" s="160"/>
      <c r="Z95" s="160"/>
      <c r="AA95" s="160"/>
      <c r="AB95" s="386"/>
    </row>
    <row r="96" spans="1:28" ht="15.75" customHeight="1" x14ac:dyDescent="0.2">
      <c r="A96" s="390"/>
      <c r="B96" s="172" t="s">
        <v>800</v>
      </c>
      <c r="C96" s="383"/>
      <c r="D96" s="380"/>
      <c r="E96" s="159"/>
      <c r="F96" s="159"/>
      <c r="G96" s="159"/>
      <c r="H96" s="383"/>
      <c r="I96" s="380"/>
      <c r="J96" s="159"/>
      <c r="K96" s="159"/>
      <c r="L96" s="159"/>
      <c r="M96" s="383"/>
      <c r="N96" s="431"/>
      <c r="O96" s="170"/>
      <c r="P96" s="160"/>
      <c r="Q96" s="160"/>
      <c r="R96" s="386"/>
      <c r="S96" s="385"/>
      <c r="T96" s="160"/>
      <c r="U96" s="160"/>
      <c r="V96" s="160"/>
      <c r="W96" s="385"/>
      <c r="X96" s="385"/>
      <c r="Y96" s="160"/>
      <c r="Z96" s="160"/>
      <c r="AA96" s="160"/>
      <c r="AB96" s="386"/>
    </row>
    <row r="97" spans="1:28" ht="19.5" customHeight="1" x14ac:dyDescent="0.2">
      <c r="A97" s="390"/>
      <c r="B97" s="172" t="s">
        <v>801</v>
      </c>
      <c r="C97" s="383"/>
      <c r="D97" s="380"/>
      <c r="E97" s="159"/>
      <c r="F97" s="159"/>
      <c r="G97" s="159"/>
      <c r="H97" s="383"/>
      <c r="I97" s="380"/>
      <c r="J97" s="159"/>
      <c r="K97" s="159"/>
      <c r="L97" s="159"/>
      <c r="M97" s="383"/>
      <c r="N97" s="431"/>
      <c r="O97" s="170"/>
      <c r="P97" s="160"/>
      <c r="Q97" s="160"/>
      <c r="R97" s="386"/>
      <c r="S97" s="385"/>
      <c r="T97" s="160"/>
      <c r="U97" s="160"/>
      <c r="V97" s="160"/>
      <c r="W97" s="385"/>
      <c r="X97" s="385"/>
      <c r="Y97" s="160"/>
      <c r="Z97" s="160"/>
      <c r="AA97" s="160"/>
      <c r="AB97" s="386"/>
    </row>
    <row r="98" spans="1:28" ht="19.5" customHeight="1" x14ac:dyDescent="0.2">
      <c r="A98" s="390"/>
      <c r="B98" s="172" t="s">
        <v>747</v>
      </c>
      <c r="C98" s="383"/>
      <c r="D98" s="380"/>
      <c r="E98" s="159"/>
      <c r="F98" s="159"/>
      <c r="G98" s="159"/>
      <c r="H98" s="383"/>
      <c r="I98" s="380"/>
      <c r="J98" s="159"/>
      <c r="K98" s="159"/>
      <c r="L98" s="159"/>
      <c r="M98" s="383"/>
      <c r="N98" s="431"/>
      <c r="O98" s="170"/>
      <c r="P98" s="160"/>
      <c r="Q98" s="160"/>
      <c r="R98" s="386"/>
      <c r="S98" s="385"/>
      <c r="T98" s="160"/>
      <c r="U98" s="160"/>
      <c r="V98" s="160"/>
      <c r="W98" s="385"/>
      <c r="X98" s="385"/>
      <c r="Y98" s="160"/>
      <c r="Z98" s="160"/>
      <c r="AA98" s="160"/>
      <c r="AB98" s="386"/>
    </row>
    <row r="99" spans="1:28" ht="21.75" customHeight="1" x14ac:dyDescent="0.2">
      <c r="A99" s="390"/>
      <c r="B99" s="172" t="s">
        <v>748</v>
      </c>
      <c r="C99" s="383"/>
      <c r="D99" s="380"/>
      <c r="E99" s="159"/>
      <c r="F99" s="159"/>
      <c r="G99" s="159"/>
      <c r="H99" s="383"/>
      <c r="I99" s="380"/>
      <c r="J99" s="159"/>
      <c r="K99" s="159"/>
      <c r="L99" s="159"/>
      <c r="M99" s="383"/>
      <c r="N99" s="431"/>
      <c r="O99" s="170"/>
      <c r="P99" s="160"/>
      <c r="Q99" s="160"/>
      <c r="R99" s="386"/>
      <c r="S99" s="385"/>
      <c r="T99" s="160"/>
      <c r="U99" s="160"/>
      <c r="V99" s="160"/>
      <c r="W99" s="385"/>
      <c r="X99" s="385"/>
      <c r="Y99" s="160"/>
      <c r="Z99" s="160"/>
      <c r="AA99" s="160"/>
      <c r="AB99" s="386"/>
    </row>
    <row r="100" spans="1:28" ht="21.75" customHeight="1" x14ac:dyDescent="0.2">
      <c r="A100" s="390"/>
      <c r="B100" s="172" t="s">
        <v>749</v>
      </c>
      <c r="C100" s="383"/>
      <c r="D100" s="380"/>
      <c r="E100" s="159"/>
      <c r="F100" s="159"/>
      <c r="G100" s="159"/>
      <c r="H100" s="383"/>
      <c r="I100" s="380"/>
      <c r="J100" s="159"/>
      <c r="K100" s="159"/>
      <c r="L100" s="159"/>
      <c r="M100" s="383"/>
      <c r="N100" s="431"/>
      <c r="O100" s="170"/>
      <c r="P100" s="160"/>
      <c r="Q100" s="160"/>
      <c r="R100" s="386"/>
      <c r="S100" s="385"/>
      <c r="T100" s="160"/>
      <c r="U100" s="160"/>
      <c r="V100" s="160"/>
      <c r="W100" s="385"/>
      <c r="X100" s="385"/>
      <c r="Y100" s="160"/>
      <c r="Z100" s="160"/>
      <c r="AA100" s="160"/>
      <c r="AB100" s="386"/>
    </row>
    <row r="101" spans="1:28" ht="21.75" customHeight="1" x14ac:dyDescent="0.2">
      <c r="A101" s="390"/>
      <c r="B101" s="172" t="s">
        <v>750</v>
      </c>
      <c r="C101" s="383"/>
      <c r="D101" s="380"/>
      <c r="E101" s="159"/>
      <c r="F101" s="159"/>
      <c r="G101" s="159"/>
      <c r="H101" s="383"/>
      <c r="I101" s="380"/>
      <c r="J101" s="159"/>
      <c r="K101" s="159"/>
      <c r="L101" s="159"/>
      <c r="M101" s="383"/>
      <c r="N101" s="431"/>
      <c r="O101" s="170"/>
      <c r="P101" s="160"/>
      <c r="Q101" s="160"/>
      <c r="R101" s="386"/>
      <c r="S101" s="385"/>
      <c r="T101" s="160"/>
      <c r="U101" s="160"/>
      <c r="V101" s="160"/>
      <c r="W101" s="385"/>
      <c r="X101" s="385"/>
      <c r="Y101" s="160"/>
      <c r="Z101" s="160"/>
      <c r="AA101" s="160"/>
      <c r="AB101" s="386"/>
    </row>
    <row r="102" spans="1:28" ht="17.25" customHeight="1" x14ac:dyDescent="0.2">
      <c r="A102" s="390"/>
      <c r="B102" s="172" t="s">
        <v>751</v>
      </c>
      <c r="C102" s="383"/>
      <c r="D102" s="380"/>
      <c r="E102" s="159"/>
      <c r="F102" s="159"/>
      <c r="G102" s="159"/>
      <c r="H102" s="383"/>
      <c r="I102" s="380"/>
      <c r="J102" s="159"/>
      <c r="K102" s="159"/>
      <c r="L102" s="159"/>
      <c r="M102" s="383"/>
      <c r="N102" s="431"/>
      <c r="O102" s="170"/>
      <c r="P102" s="160"/>
      <c r="Q102" s="160"/>
      <c r="R102" s="386"/>
      <c r="S102" s="385"/>
      <c r="T102" s="160"/>
      <c r="U102" s="160"/>
      <c r="V102" s="160"/>
      <c r="W102" s="385"/>
      <c r="X102" s="385"/>
      <c r="Y102" s="160"/>
      <c r="Z102" s="160"/>
      <c r="AA102" s="160"/>
      <c r="AB102" s="386"/>
    </row>
    <row r="103" spans="1:28" ht="18" customHeight="1" x14ac:dyDescent="0.2">
      <c r="A103" s="390"/>
      <c r="B103" s="172" t="s">
        <v>752</v>
      </c>
      <c r="C103" s="383"/>
      <c r="D103" s="380"/>
      <c r="E103" s="159"/>
      <c r="F103" s="159"/>
      <c r="G103" s="159"/>
      <c r="H103" s="383"/>
      <c r="I103" s="380"/>
      <c r="J103" s="159"/>
      <c r="K103" s="159"/>
      <c r="L103" s="159"/>
      <c r="M103" s="383"/>
      <c r="N103" s="431"/>
      <c r="O103" s="170"/>
      <c r="P103" s="160"/>
      <c r="Q103" s="160"/>
      <c r="R103" s="386"/>
      <c r="S103" s="385"/>
      <c r="T103" s="160"/>
      <c r="U103" s="160"/>
      <c r="V103" s="160"/>
      <c r="W103" s="385"/>
      <c r="X103" s="385"/>
      <c r="Y103" s="160"/>
      <c r="Z103" s="160"/>
      <c r="AA103" s="160"/>
      <c r="AB103" s="386"/>
    </row>
    <row r="104" spans="1:28" ht="18" customHeight="1" x14ac:dyDescent="0.2">
      <c r="A104" s="390"/>
      <c r="B104" s="172" t="s">
        <v>753</v>
      </c>
      <c r="C104" s="383"/>
      <c r="D104" s="380"/>
      <c r="E104" s="159"/>
      <c r="F104" s="159"/>
      <c r="G104" s="159"/>
      <c r="H104" s="383"/>
      <c r="I104" s="380"/>
      <c r="J104" s="159"/>
      <c r="K104" s="159"/>
      <c r="L104" s="159"/>
      <c r="M104" s="383"/>
      <c r="N104" s="431"/>
      <c r="O104" s="170"/>
      <c r="P104" s="160"/>
      <c r="Q104" s="160"/>
      <c r="R104" s="386"/>
      <c r="S104" s="385"/>
      <c r="T104" s="160"/>
      <c r="U104" s="160"/>
      <c r="V104" s="160"/>
      <c r="W104" s="385"/>
      <c r="X104" s="385"/>
      <c r="Y104" s="160"/>
      <c r="Z104" s="160"/>
      <c r="AA104" s="160"/>
      <c r="AB104" s="386"/>
    </row>
    <row r="105" spans="1:28" ht="16.5" customHeight="1" x14ac:dyDescent="0.2">
      <c r="A105" s="390"/>
      <c r="B105" s="172" t="s">
        <v>754</v>
      </c>
      <c r="C105" s="383"/>
      <c r="D105" s="380"/>
      <c r="E105" s="159"/>
      <c r="F105" s="159"/>
      <c r="G105" s="159"/>
      <c r="H105" s="383"/>
      <c r="I105" s="380"/>
      <c r="J105" s="159"/>
      <c r="K105" s="159"/>
      <c r="L105" s="159"/>
      <c r="M105" s="383"/>
      <c r="N105" s="431"/>
      <c r="O105" s="170"/>
      <c r="P105" s="160"/>
      <c r="Q105" s="160"/>
      <c r="R105" s="386"/>
      <c r="S105" s="385"/>
      <c r="T105" s="160"/>
      <c r="U105" s="160"/>
      <c r="V105" s="160"/>
      <c r="W105" s="385"/>
      <c r="X105" s="385"/>
      <c r="Y105" s="160"/>
      <c r="Z105" s="160"/>
      <c r="AA105" s="160"/>
      <c r="AB105" s="386"/>
    </row>
    <row r="106" spans="1:28" ht="16.5" customHeight="1" x14ac:dyDescent="0.2">
      <c r="A106" s="390"/>
      <c r="B106" s="172" t="s">
        <v>755</v>
      </c>
      <c r="C106" s="383"/>
      <c r="D106" s="380"/>
      <c r="E106" s="159"/>
      <c r="F106" s="159"/>
      <c r="G106" s="159"/>
      <c r="H106" s="383"/>
      <c r="I106" s="380"/>
      <c r="J106" s="159"/>
      <c r="K106" s="159"/>
      <c r="L106" s="159"/>
      <c r="M106" s="383"/>
      <c r="N106" s="431"/>
      <c r="O106" s="170"/>
      <c r="P106" s="160"/>
      <c r="Q106" s="160"/>
      <c r="R106" s="386"/>
      <c r="S106" s="385"/>
      <c r="T106" s="160"/>
      <c r="U106" s="160"/>
      <c r="V106" s="160"/>
      <c r="W106" s="385"/>
      <c r="X106" s="385"/>
      <c r="Y106" s="160"/>
      <c r="Z106" s="160"/>
      <c r="AA106" s="160"/>
      <c r="AB106" s="386"/>
    </row>
    <row r="107" spans="1:28" ht="18.75" customHeight="1" x14ac:dyDescent="0.2">
      <c r="A107" s="390"/>
      <c r="B107" s="172" t="s">
        <v>756</v>
      </c>
      <c r="C107" s="383"/>
      <c r="D107" s="380"/>
      <c r="E107" s="159"/>
      <c r="F107" s="159"/>
      <c r="G107" s="159"/>
      <c r="H107" s="383"/>
      <c r="I107" s="380"/>
      <c r="J107" s="159"/>
      <c r="K107" s="159"/>
      <c r="L107" s="159"/>
      <c r="M107" s="383"/>
      <c r="N107" s="431"/>
      <c r="O107" s="170"/>
      <c r="P107" s="160"/>
      <c r="Q107" s="160"/>
      <c r="R107" s="386"/>
      <c r="S107" s="385"/>
      <c r="T107" s="160"/>
      <c r="U107" s="160"/>
      <c r="V107" s="160"/>
      <c r="W107" s="385"/>
      <c r="X107" s="385"/>
      <c r="Y107" s="160"/>
      <c r="Z107" s="160"/>
      <c r="AA107" s="160"/>
      <c r="AB107" s="386"/>
    </row>
    <row r="108" spans="1:28" ht="18.75" customHeight="1" x14ac:dyDescent="0.2">
      <c r="A108" s="390"/>
      <c r="B108" s="172" t="s">
        <v>757</v>
      </c>
      <c r="C108" s="383"/>
      <c r="D108" s="380"/>
      <c r="E108" s="159"/>
      <c r="F108" s="159"/>
      <c r="G108" s="159"/>
      <c r="H108" s="383"/>
      <c r="I108" s="380"/>
      <c r="J108" s="159"/>
      <c r="K108" s="159"/>
      <c r="L108" s="159"/>
      <c r="M108" s="383"/>
      <c r="N108" s="431"/>
      <c r="O108" s="170"/>
      <c r="P108" s="160"/>
      <c r="Q108" s="160"/>
      <c r="R108" s="386"/>
      <c r="S108" s="385"/>
      <c r="T108" s="160"/>
      <c r="U108" s="160"/>
      <c r="V108" s="160"/>
      <c r="W108" s="385"/>
      <c r="X108" s="385"/>
      <c r="Y108" s="160"/>
      <c r="Z108" s="160"/>
      <c r="AA108" s="160"/>
      <c r="AB108" s="386"/>
    </row>
    <row r="109" spans="1:28" ht="20.25" customHeight="1" x14ac:dyDescent="0.2">
      <c r="A109" s="390"/>
      <c r="B109" s="172" t="s">
        <v>758</v>
      </c>
      <c r="C109" s="383"/>
      <c r="D109" s="380"/>
      <c r="E109" s="159"/>
      <c r="F109" s="159"/>
      <c r="G109" s="159"/>
      <c r="H109" s="383"/>
      <c r="I109" s="380"/>
      <c r="J109" s="159"/>
      <c r="K109" s="159"/>
      <c r="L109" s="159"/>
      <c r="M109" s="383"/>
      <c r="N109" s="431"/>
      <c r="O109" s="170"/>
      <c r="P109" s="160"/>
      <c r="Q109" s="160"/>
      <c r="R109" s="386"/>
      <c r="S109" s="385"/>
      <c r="T109" s="160"/>
      <c r="U109" s="160"/>
      <c r="V109" s="160"/>
      <c r="W109" s="385"/>
      <c r="X109" s="385"/>
      <c r="Y109" s="160"/>
      <c r="Z109" s="160"/>
      <c r="AA109" s="160"/>
      <c r="AB109" s="386"/>
    </row>
    <row r="110" spans="1:28" ht="18" customHeight="1" x14ac:dyDescent="0.2">
      <c r="A110" s="390"/>
      <c r="B110" s="161" t="s">
        <v>421</v>
      </c>
      <c r="C110" s="383"/>
      <c r="D110" s="380"/>
      <c r="E110" s="159"/>
      <c r="F110" s="159"/>
      <c r="G110" s="159"/>
      <c r="H110" s="383"/>
      <c r="I110" s="380"/>
      <c r="J110" s="159"/>
      <c r="K110" s="159"/>
      <c r="L110" s="159"/>
      <c r="M110" s="383"/>
      <c r="N110" s="380"/>
      <c r="O110" s="170"/>
      <c r="P110" s="160"/>
      <c r="Q110" s="160"/>
      <c r="R110" s="386"/>
      <c r="S110" s="385"/>
      <c r="T110" s="160"/>
      <c r="U110" s="160"/>
      <c r="V110" s="160"/>
      <c r="W110" s="385"/>
      <c r="X110" s="385"/>
      <c r="Y110" s="160"/>
      <c r="Z110" s="160"/>
      <c r="AA110" s="160"/>
      <c r="AB110" s="386"/>
    </row>
    <row r="111" spans="1:28" ht="18" customHeight="1" x14ac:dyDescent="0.2">
      <c r="A111" s="390"/>
      <c r="B111" s="162" t="s">
        <v>759</v>
      </c>
      <c r="C111" s="383"/>
      <c r="D111" s="380"/>
      <c r="E111" s="159"/>
      <c r="F111" s="159"/>
      <c r="G111" s="159"/>
      <c r="H111" s="383"/>
      <c r="I111" s="380"/>
      <c r="J111" s="159"/>
      <c r="K111" s="159"/>
      <c r="L111" s="159"/>
      <c r="M111" s="383"/>
      <c r="N111" s="380"/>
      <c r="O111" s="170"/>
      <c r="P111" s="160"/>
      <c r="Q111" s="160"/>
      <c r="R111" s="386"/>
      <c r="S111" s="385"/>
      <c r="T111" s="160"/>
      <c r="U111" s="160"/>
      <c r="V111" s="160"/>
      <c r="W111" s="385"/>
      <c r="X111" s="385"/>
      <c r="Y111" s="160"/>
      <c r="Z111" s="160"/>
      <c r="AA111" s="160"/>
      <c r="AB111" s="386"/>
    </row>
    <row r="112" spans="1:28" ht="18" customHeight="1" x14ac:dyDescent="0.2">
      <c r="A112" s="390"/>
      <c r="B112" s="162" t="s">
        <v>760</v>
      </c>
      <c r="C112" s="383"/>
      <c r="D112" s="380"/>
      <c r="E112" s="159"/>
      <c r="F112" s="159"/>
      <c r="G112" s="159"/>
      <c r="H112" s="383"/>
      <c r="I112" s="380"/>
      <c r="J112" s="159"/>
      <c r="K112" s="159"/>
      <c r="L112" s="159"/>
      <c r="M112" s="383"/>
      <c r="N112" s="380"/>
      <c r="O112" s="170"/>
      <c r="P112" s="160"/>
      <c r="Q112" s="160"/>
      <c r="R112" s="386"/>
      <c r="S112" s="385"/>
      <c r="T112" s="160"/>
      <c r="U112" s="160"/>
      <c r="V112" s="160"/>
      <c r="W112" s="385"/>
      <c r="X112" s="385"/>
      <c r="Y112" s="160"/>
      <c r="Z112" s="160"/>
      <c r="AA112" s="160"/>
      <c r="AB112" s="386"/>
    </row>
    <row r="113" spans="1:28" ht="18" customHeight="1" x14ac:dyDescent="0.2">
      <c r="A113" s="405"/>
      <c r="B113" s="162" t="s">
        <v>803</v>
      </c>
      <c r="C113" s="384"/>
      <c r="D113" s="381"/>
      <c r="E113" s="159"/>
      <c r="F113" s="159"/>
      <c r="G113" s="159"/>
      <c r="H113" s="384"/>
      <c r="I113" s="381"/>
      <c r="J113" s="159"/>
      <c r="K113" s="159"/>
      <c r="L113" s="159"/>
      <c r="M113" s="384"/>
      <c r="N113" s="381"/>
      <c r="O113" s="170"/>
      <c r="P113" s="160"/>
      <c r="Q113" s="160"/>
      <c r="R113" s="389"/>
      <c r="S113" s="388"/>
      <c r="T113" s="160"/>
      <c r="U113" s="160"/>
      <c r="V113" s="160"/>
      <c r="W113" s="388"/>
      <c r="X113" s="388"/>
      <c r="Y113" s="160"/>
      <c r="Z113" s="160"/>
      <c r="AA113" s="160"/>
      <c r="AB113" s="389"/>
    </row>
    <row r="114" spans="1:28" ht="15" customHeight="1" x14ac:dyDescent="0.2">
      <c r="A114" s="393" t="s">
        <v>466</v>
      </c>
      <c r="B114" s="158" t="s">
        <v>415</v>
      </c>
      <c r="C114" s="382">
        <f>D114+E114+F114+G114</f>
        <v>1020</v>
      </c>
      <c r="D114" s="379">
        <v>1020</v>
      </c>
      <c r="E114" s="159">
        <v>0</v>
      </c>
      <c r="F114" s="159">
        <v>0</v>
      </c>
      <c r="G114" s="159">
        <v>0</v>
      </c>
      <c r="H114" s="382">
        <f>I114</f>
        <v>1570</v>
      </c>
      <c r="I114" s="379">
        <f>1286+283+1</f>
        <v>1570</v>
      </c>
      <c r="J114" s="159">
        <v>0</v>
      </c>
      <c r="K114" s="159">
        <v>0</v>
      </c>
      <c r="L114" s="159">
        <v>0</v>
      </c>
      <c r="M114" s="382">
        <f>N114</f>
        <v>838</v>
      </c>
      <c r="N114" s="379">
        <f>94+838-94</f>
        <v>838</v>
      </c>
      <c r="O114" s="160">
        <v>0</v>
      </c>
      <c r="P114" s="160">
        <v>0</v>
      </c>
      <c r="Q114" s="160">
        <v>0</v>
      </c>
      <c r="R114" s="382">
        <f>S114</f>
        <v>7005</v>
      </c>
      <c r="S114" s="379">
        <f>14338+ 5164-14339+283+1848-289</f>
        <v>7005</v>
      </c>
      <c r="T114" s="159">
        <v>0</v>
      </c>
      <c r="U114" s="159">
        <v>0</v>
      </c>
      <c r="V114" s="159">
        <v>0</v>
      </c>
      <c r="W114" s="382">
        <f>X114</f>
        <v>3948</v>
      </c>
      <c r="X114" s="379">
        <f>632+230+3086</f>
        <v>3948</v>
      </c>
      <c r="Y114" s="159">
        <v>0</v>
      </c>
      <c r="Z114" s="159">
        <v>0</v>
      </c>
      <c r="AA114" s="159">
        <v>0</v>
      </c>
      <c r="AB114" s="382">
        <f>C114+H114+M114+R114+W114</f>
        <v>14381</v>
      </c>
    </row>
    <row r="115" spans="1:28" ht="21" customHeight="1" x14ac:dyDescent="0.2">
      <c r="A115" s="394"/>
      <c r="B115" s="164" t="s">
        <v>410</v>
      </c>
      <c r="C115" s="383"/>
      <c r="D115" s="380"/>
      <c r="E115" s="159"/>
      <c r="F115" s="159"/>
      <c r="G115" s="159"/>
      <c r="H115" s="383"/>
      <c r="I115" s="380"/>
      <c r="J115" s="159"/>
      <c r="K115" s="159"/>
      <c r="L115" s="159"/>
      <c r="M115" s="383"/>
      <c r="N115" s="380"/>
      <c r="O115" s="160"/>
      <c r="P115" s="160"/>
      <c r="Q115" s="160"/>
      <c r="R115" s="383"/>
      <c r="S115" s="380"/>
      <c r="T115" s="159"/>
      <c r="U115" s="159"/>
      <c r="V115" s="159"/>
      <c r="W115" s="383"/>
      <c r="X115" s="380"/>
      <c r="Y115" s="159"/>
      <c r="Z115" s="159"/>
      <c r="AA115" s="159"/>
      <c r="AB115" s="383"/>
    </row>
    <row r="116" spans="1:28" ht="16.5" customHeight="1" x14ac:dyDescent="0.2">
      <c r="A116" s="394"/>
      <c r="B116" s="163" t="s">
        <v>761</v>
      </c>
      <c r="C116" s="383"/>
      <c r="D116" s="380"/>
      <c r="E116" s="159"/>
      <c r="F116" s="159"/>
      <c r="G116" s="159"/>
      <c r="H116" s="383"/>
      <c r="I116" s="380"/>
      <c r="J116" s="159"/>
      <c r="K116" s="159"/>
      <c r="L116" s="159"/>
      <c r="M116" s="383"/>
      <c r="N116" s="380"/>
      <c r="O116" s="160"/>
      <c r="P116" s="160"/>
      <c r="Q116" s="160"/>
      <c r="R116" s="383"/>
      <c r="S116" s="380"/>
      <c r="T116" s="159"/>
      <c r="U116" s="159"/>
      <c r="V116" s="159"/>
      <c r="W116" s="383"/>
      <c r="X116" s="380"/>
      <c r="Y116" s="159"/>
      <c r="Z116" s="159"/>
      <c r="AA116" s="159"/>
      <c r="AB116" s="383"/>
    </row>
    <row r="117" spans="1:28" ht="16.5" customHeight="1" x14ac:dyDescent="0.2">
      <c r="A117" s="394"/>
      <c r="B117" s="162" t="s">
        <v>762</v>
      </c>
      <c r="C117" s="383"/>
      <c r="D117" s="380"/>
      <c r="E117" s="159"/>
      <c r="F117" s="159"/>
      <c r="G117" s="159"/>
      <c r="H117" s="383"/>
      <c r="I117" s="380"/>
      <c r="J117" s="159"/>
      <c r="K117" s="159"/>
      <c r="L117" s="159"/>
      <c r="M117" s="383"/>
      <c r="N117" s="380"/>
      <c r="O117" s="160"/>
      <c r="P117" s="160"/>
      <c r="Q117" s="160"/>
      <c r="R117" s="383"/>
      <c r="S117" s="380"/>
      <c r="T117" s="159"/>
      <c r="U117" s="159"/>
      <c r="V117" s="159"/>
      <c r="W117" s="383"/>
      <c r="X117" s="380"/>
      <c r="Y117" s="159"/>
      <c r="Z117" s="159"/>
      <c r="AA117" s="159"/>
      <c r="AB117" s="383"/>
    </row>
    <row r="118" spans="1:28" ht="18" customHeight="1" x14ac:dyDescent="0.2">
      <c r="A118" s="394"/>
      <c r="B118" s="163" t="s">
        <v>696</v>
      </c>
      <c r="C118" s="383"/>
      <c r="D118" s="380"/>
      <c r="E118" s="167"/>
      <c r="F118" s="167"/>
      <c r="G118" s="167"/>
      <c r="H118" s="383"/>
      <c r="I118" s="380"/>
      <c r="J118" s="167"/>
      <c r="K118" s="167"/>
      <c r="L118" s="167"/>
      <c r="M118" s="383"/>
      <c r="N118" s="380"/>
      <c r="O118" s="169"/>
      <c r="P118" s="169"/>
      <c r="Q118" s="169"/>
      <c r="R118" s="383"/>
      <c r="S118" s="380"/>
      <c r="T118" s="167"/>
      <c r="U118" s="167"/>
      <c r="V118" s="167"/>
      <c r="W118" s="383"/>
      <c r="X118" s="380"/>
      <c r="Y118" s="167"/>
      <c r="Z118" s="167"/>
      <c r="AA118" s="167"/>
      <c r="AB118" s="383"/>
    </row>
    <row r="119" spans="1:28" ht="18" customHeight="1" x14ac:dyDescent="0.2">
      <c r="A119" s="394"/>
      <c r="B119" s="164" t="s">
        <v>329</v>
      </c>
      <c r="C119" s="383"/>
      <c r="D119" s="380"/>
      <c r="E119" s="159"/>
      <c r="F119" s="159"/>
      <c r="G119" s="159"/>
      <c r="H119" s="383"/>
      <c r="I119" s="380"/>
      <c r="J119" s="159"/>
      <c r="K119" s="159"/>
      <c r="L119" s="159"/>
      <c r="M119" s="383"/>
      <c r="N119" s="380"/>
      <c r="O119" s="160"/>
      <c r="P119" s="160"/>
      <c r="Q119" s="160"/>
      <c r="R119" s="383"/>
      <c r="S119" s="380"/>
      <c r="T119" s="159"/>
      <c r="U119" s="159"/>
      <c r="V119" s="159"/>
      <c r="W119" s="383"/>
      <c r="X119" s="380"/>
      <c r="Y119" s="159"/>
      <c r="Z119" s="159"/>
      <c r="AA119" s="159"/>
      <c r="AB119" s="383"/>
    </row>
    <row r="120" spans="1:28" ht="18" customHeight="1" x14ac:dyDescent="0.2">
      <c r="A120" s="394"/>
      <c r="B120" s="163" t="s">
        <v>762</v>
      </c>
      <c r="C120" s="383"/>
      <c r="D120" s="380"/>
      <c r="E120" s="159"/>
      <c r="F120" s="159"/>
      <c r="G120" s="159"/>
      <c r="H120" s="383"/>
      <c r="I120" s="380"/>
      <c r="J120" s="159"/>
      <c r="K120" s="159"/>
      <c r="L120" s="159"/>
      <c r="M120" s="383"/>
      <c r="N120" s="380"/>
      <c r="O120" s="160"/>
      <c r="P120" s="160"/>
      <c r="Q120" s="160"/>
      <c r="R120" s="383"/>
      <c r="S120" s="380"/>
      <c r="T120" s="159"/>
      <c r="U120" s="159"/>
      <c r="V120" s="159"/>
      <c r="W120" s="383"/>
      <c r="X120" s="380"/>
      <c r="Y120" s="159"/>
      <c r="Z120" s="159"/>
      <c r="AA120" s="159"/>
      <c r="AB120" s="383"/>
    </row>
    <row r="121" spans="1:28" ht="18" customHeight="1" x14ac:dyDescent="0.2">
      <c r="A121" s="394"/>
      <c r="B121" s="163" t="s">
        <v>696</v>
      </c>
      <c r="C121" s="383"/>
      <c r="D121" s="380"/>
      <c r="E121" s="159"/>
      <c r="F121" s="159"/>
      <c r="G121" s="159"/>
      <c r="H121" s="383"/>
      <c r="I121" s="380"/>
      <c r="J121" s="159"/>
      <c r="K121" s="159"/>
      <c r="L121" s="159"/>
      <c r="M121" s="383"/>
      <c r="N121" s="380"/>
      <c r="O121" s="160"/>
      <c r="P121" s="160"/>
      <c r="Q121" s="160"/>
      <c r="R121" s="383"/>
      <c r="S121" s="380"/>
      <c r="T121" s="159"/>
      <c r="U121" s="159"/>
      <c r="V121" s="159"/>
      <c r="W121" s="383"/>
      <c r="X121" s="380"/>
      <c r="Y121" s="159"/>
      <c r="Z121" s="159"/>
      <c r="AA121" s="159"/>
      <c r="AB121" s="383"/>
    </row>
    <row r="122" spans="1:28" ht="18" customHeight="1" x14ac:dyDescent="0.2">
      <c r="A122" s="394"/>
      <c r="B122" s="164" t="s">
        <v>382</v>
      </c>
      <c r="C122" s="383"/>
      <c r="D122" s="380"/>
      <c r="E122" s="159"/>
      <c r="F122" s="159"/>
      <c r="G122" s="159"/>
      <c r="H122" s="383"/>
      <c r="I122" s="380"/>
      <c r="J122" s="159"/>
      <c r="K122" s="159"/>
      <c r="L122" s="159"/>
      <c r="M122" s="383"/>
      <c r="N122" s="380"/>
      <c r="O122" s="160"/>
      <c r="P122" s="160"/>
      <c r="Q122" s="160"/>
      <c r="R122" s="383"/>
      <c r="S122" s="380"/>
      <c r="T122" s="159"/>
      <c r="U122" s="159"/>
      <c r="V122" s="159"/>
      <c r="W122" s="383"/>
      <c r="X122" s="380"/>
      <c r="Y122" s="159"/>
      <c r="Z122" s="159"/>
      <c r="AA122" s="159"/>
      <c r="AB122" s="383"/>
    </row>
    <row r="123" spans="1:28" ht="18" customHeight="1" x14ac:dyDescent="0.2">
      <c r="A123" s="395"/>
      <c r="B123" s="173" t="s">
        <v>762</v>
      </c>
      <c r="C123" s="432"/>
      <c r="D123" s="380"/>
      <c r="E123" s="159"/>
      <c r="F123" s="159"/>
      <c r="G123" s="159"/>
      <c r="H123" s="383"/>
      <c r="I123" s="380"/>
      <c r="J123" s="159"/>
      <c r="K123" s="159"/>
      <c r="L123" s="159"/>
      <c r="M123" s="383"/>
      <c r="N123" s="380"/>
      <c r="O123" s="160"/>
      <c r="P123" s="160"/>
      <c r="Q123" s="160"/>
      <c r="R123" s="383"/>
      <c r="S123" s="380"/>
      <c r="T123" s="159"/>
      <c r="U123" s="159"/>
      <c r="V123" s="159"/>
      <c r="W123" s="383"/>
      <c r="X123" s="380"/>
      <c r="Y123" s="159"/>
      <c r="Z123" s="159"/>
      <c r="AA123" s="159"/>
      <c r="AB123" s="383"/>
    </row>
    <row r="124" spans="1:28" ht="18" customHeight="1" x14ac:dyDescent="0.2">
      <c r="A124" s="395"/>
      <c r="B124" s="162" t="s">
        <v>763</v>
      </c>
      <c r="C124" s="432"/>
      <c r="D124" s="380"/>
      <c r="E124" s="159"/>
      <c r="F124" s="159"/>
      <c r="G124" s="159"/>
      <c r="H124" s="383"/>
      <c r="I124" s="380"/>
      <c r="J124" s="159"/>
      <c r="K124" s="159"/>
      <c r="L124" s="159"/>
      <c r="M124" s="383"/>
      <c r="N124" s="380"/>
      <c r="O124" s="160"/>
      <c r="P124" s="160"/>
      <c r="Q124" s="160"/>
      <c r="R124" s="383"/>
      <c r="S124" s="380"/>
      <c r="T124" s="159"/>
      <c r="U124" s="159"/>
      <c r="V124" s="159"/>
      <c r="W124" s="383"/>
      <c r="X124" s="380"/>
      <c r="Y124" s="159"/>
      <c r="Z124" s="159"/>
      <c r="AA124" s="159"/>
      <c r="AB124" s="383"/>
    </row>
    <row r="125" spans="1:28" ht="18" customHeight="1" x14ac:dyDescent="0.2">
      <c r="A125" s="395"/>
      <c r="B125" s="162" t="s">
        <v>764</v>
      </c>
      <c r="C125" s="383"/>
      <c r="D125" s="380"/>
      <c r="E125" s="159"/>
      <c r="F125" s="159"/>
      <c r="G125" s="159"/>
      <c r="H125" s="383"/>
      <c r="I125" s="380"/>
      <c r="J125" s="159"/>
      <c r="K125" s="159"/>
      <c r="L125" s="159"/>
      <c r="M125" s="383"/>
      <c r="N125" s="380"/>
      <c r="O125" s="160"/>
      <c r="P125" s="160"/>
      <c r="Q125" s="160"/>
      <c r="R125" s="383"/>
      <c r="S125" s="380"/>
      <c r="T125" s="159"/>
      <c r="U125" s="159"/>
      <c r="V125" s="159"/>
      <c r="W125" s="383"/>
      <c r="X125" s="380"/>
      <c r="Y125" s="159"/>
      <c r="Z125" s="159"/>
      <c r="AA125" s="159"/>
      <c r="AB125" s="383"/>
    </row>
    <row r="126" spans="1:28" ht="18" customHeight="1" x14ac:dyDescent="0.2">
      <c r="A126" s="394"/>
      <c r="B126" s="164" t="s">
        <v>421</v>
      </c>
      <c r="C126" s="383"/>
      <c r="D126" s="380"/>
      <c r="E126" s="159"/>
      <c r="F126" s="159"/>
      <c r="G126" s="159"/>
      <c r="H126" s="383"/>
      <c r="I126" s="380"/>
      <c r="J126" s="159"/>
      <c r="K126" s="159"/>
      <c r="L126" s="159"/>
      <c r="M126" s="383"/>
      <c r="N126" s="380"/>
      <c r="O126" s="160"/>
      <c r="P126" s="160"/>
      <c r="Q126" s="160"/>
      <c r="R126" s="383"/>
      <c r="S126" s="380"/>
      <c r="T126" s="159"/>
      <c r="U126" s="159"/>
      <c r="V126" s="159"/>
      <c r="W126" s="383"/>
      <c r="X126" s="380"/>
      <c r="Y126" s="159"/>
      <c r="Z126" s="159"/>
      <c r="AA126" s="159"/>
      <c r="AB126" s="383"/>
    </row>
    <row r="127" spans="1:28" ht="18" customHeight="1" x14ac:dyDescent="0.2">
      <c r="A127" s="394"/>
      <c r="B127" s="163" t="s">
        <v>765</v>
      </c>
      <c r="C127" s="383"/>
      <c r="D127" s="380"/>
      <c r="E127" s="159"/>
      <c r="F127" s="159"/>
      <c r="G127" s="159"/>
      <c r="H127" s="383"/>
      <c r="I127" s="380"/>
      <c r="J127" s="159"/>
      <c r="K127" s="159"/>
      <c r="L127" s="159"/>
      <c r="M127" s="383"/>
      <c r="N127" s="380"/>
      <c r="O127" s="160"/>
      <c r="P127" s="160"/>
      <c r="Q127" s="160"/>
      <c r="R127" s="383"/>
      <c r="S127" s="380"/>
      <c r="T127" s="159"/>
      <c r="U127" s="159"/>
      <c r="V127" s="159"/>
      <c r="W127" s="383"/>
      <c r="X127" s="380"/>
      <c r="Y127" s="159"/>
      <c r="Z127" s="159"/>
      <c r="AA127" s="159"/>
      <c r="AB127" s="383"/>
    </row>
    <row r="128" spans="1:28" ht="18" customHeight="1" x14ac:dyDescent="0.2">
      <c r="A128" s="394"/>
      <c r="B128" s="163" t="s">
        <v>617</v>
      </c>
      <c r="C128" s="383"/>
      <c r="D128" s="380"/>
      <c r="E128" s="159"/>
      <c r="F128" s="159"/>
      <c r="G128" s="159"/>
      <c r="H128" s="383"/>
      <c r="I128" s="380"/>
      <c r="J128" s="159"/>
      <c r="K128" s="159"/>
      <c r="L128" s="159"/>
      <c r="M128" s="383"/>
      <c r="N128" s="380"/>
      <c r="O128" s="160"/>
      <c r="P128" s="160"/>
      <c r="Q128" s="160"/>
      <c r="R128" s="383"/>
      <c r="S128" s="380"/>
      <c r="T128" s="159"/>
      <c r="U128" s="159"/>
      <c r="V128" s="159"/>
      <c r="W128" s="383"/>
      <c r="X128" s="380"/>
      <c r="Y128" s="159"/>
      <c r="Z128" s="159"/>
      <c r="AA128" s="159"/>
      <c r="AB128" s="383"/>
    </row>
    <row r="129" spans="1:28" ht="15" customHeight="1" x14ac:dyDescent="0.2">
      <c r="A129" s="393" t="s">
        <v>467</v>
      </c>
      <c r="B129" s="158" t="s">
        <v>153</v>
      </c>
      <c r="C129" s="382">
        <f>D129+E129+F129+G129</f>
        <v>8411</v>
      </c>
      <c r="D129" s="379">
        <v>8411</v>
      </c>
      <c r="E129" s="159">
        <v>0</v>
      </c>
      <c r="F129" s="159">
        <v>0</v>
      </c>
      <c r="G129" s="159">
        <v>0</v>
      </c>
      <c r="H129" s="382">
        <f>I129+J129+K129+L129</f>
        <v>3081</v>
      </c>
      <c r="I129" s="379">
        <f>7310-5219+841+153-4</f>
        <v>3081</v>
      </c>
      <c r="J129" s="159">
        <v>0</v>
      </c>
      <c r="K129" s="159">
        <v>0</v>
      </c>
      <c r="L129" s="159">
        <v>0</v>
      </c>
      <c r="M129" s="382">
        <f>N129</f>
        <v>4934</v>
      </c>
      <c r="N129" s="379">
        <f>8219-6307+105+772-157-71+3259-1234+348</f>
        <v>4934</v>
      </c>
      <c r="O129" s="160">
        <v>0</v>
      </c>
      <c r="P129" s="160">
        <v>0</v>
      </c>
      <c r="Q129" s="160">
        <v>0</v>
      </c>
      <c r="R129" s="382">
        <f>S129</f>
        <v>9931</v>
      </c>
      <c r="S129" s="379">
        <f>4085+4159+70+1617</f>
        <v>9931</v>
      </c>
      <c r="T129" s="159">
        <v>0</v>
      </c>
      <c r="U129" s="159">
        <v>0</v>
      </c>
      <c r="V129" s="159">
        <v>0</v>
      </c>
      <c r="W129" s="379">
        <f>X129</f>
        <v>25474</v>
      </c>
      <c r="X129" s="379">
        <f>9782+15692</f>
        <v>25474</v>
      </c>
      <c r="Y129" s="159">
        <v>0</v>
      </c>
      <c r="Z129" s="159">
        <v>0</v>
      </c>
      <c r="AA129" s="159">
        <v>0</v>
      </c>
      <c r="AB129" s="382">
        <f>C129+H129+M129+R129+W129</f>
        <v>51831</v>
      </c>
    </row>
    <row r="130" spans="1:28" ht="15" customHeight="1" x14ac:dyDescent="0.2">
      <c r="A130" s="394"/>
      <c r="B130" s="174" t="s">
        <v>147</v>
      </c>
      <c r="C130" s="383"/>
      <c r="D130" s="380"/>
      <c r="E130" s="159"/>
      <c r="F130" s="159"/>
      <c r="G130" s="159"/>
      <c r="H130" s="383"/>
      <c r="I130" s="380"/>
      <c r="J130" s="159"/>
      <c r="K130" s="159"/>
      <c r="L130" s="159"/>
      <c r="M130" s="383"/>
      <c r="N130" s="380"/>
      <c r="O130" s="160"/>
      <c r="P130" s="160"/>
      <c r="Q130" s="160"/>
      <c r="R130" s="383"/>
      <c r="S130" s="380"/>
      <c r="T130" s="159"/>
      <c r="U130" s="159"/>
      <c r="V130" s="159"/>
      <c r="W130" s="380"/>
      <c r="X130" s="380"/>
      <c r="Y130" s="159"/>
      <c r="Z130" s="159"/>
      <c r="AA130" s="159"/>
      <c r="AB130" s="383"/>
    </row>
    <row r="131" spans="1:28" ht="15" customHeight="1" x14ac:dyDescent="0.2">
      <c r="A131" s="394"/>
      <c r="B131" s="173" t="s">
        <v>766</v>
      </c>
      <c r="C131" s="383"/>
      <c r="D131" s="380"/>
      <c r="E131" s="159"/>
      <c r="F131" s="159"/>
      <c r="G131" s="159"/>
      <c r="H131" s="383"/>
      <c r="I131" s="380"/>
      <c r="J131" s="159"/>
      <c r="K131" s="159"/>
      <c r="L131" s="159"/>
      <c r="M131" s="383"/>
      <c r="N131" s="380"/>
      <c r="O131" s="160"/>
      <c r="P131" s="160"/>
      <c r="Q131" s="160"/>
      <c r="R131" s="383"/>
      <c r="S131" s="380"/>
      <c r="T131" s="159"/>
      <c r="U131" s="159"/>
      <c r="V131" s="159"/>
      <c r="W131" s="380"/>
      <c r="X131" s="380"/>
      <c r="Y131" s="159"/>
      <c r="Z131" s="159"/>
      <c r="AA131" s="159"/>
      <c r="AB131" s="383"/>
    </row>
    <row r="132" spans="1:28" ht="15" customHeight="1" x14ac:dyDescent="0.2">
      <c r="A132" s="394"/>
      <c r="B132" s="173" t="s">
        <v>160</v>
      </c>
      <c r="C132" s="383"/>
      <c r="D132" s="380"/>
      <c r="E132" s="159"/>
      <c r="F132" s="159"/>
      <c r="G132" s="159"/>
      <c r="H132" s="383"/>
      <c r="I132" s="380"/>
      <c r="J132" s="159"/>
      <c r="K132" s="159"/>
      <c r="L132" s="159"/>
      <c r="M132" s="383"/>
      <c r="N132" s="380"/>
      <c r="O132" s="160"/>
      <c r="P132" s="160"/>
      <c r="Q132" s="160"/>
      <c r="R132" s="383"/>
      <c r="S132" s="380"/>
      <c r="T132" s="159"/>
      <c r="U132" s="159"/>
      <c r="V132" s="159"/>
      <c r="W132" s="380"/>
      <c r="X132" s="380"/>
      <c r="Y132" s="159"/>
      <c r="Z132" s="159"/>
      <c r="AA132" s="159"/>
      <c r="AB132" s="383"/>
    </row>
    <row r="133" spans="1:28" ht="15" customHeight="1" x14ac:dyDescent="0.2">
      <c r="A133" s="394"/>
      <c r="B133" s="173" t="s">
        <v>767</v>
      </c>
      <c r="C133" s="383"/>
      <c r="D133" s="380"/>
      <c r="E133" s="159"/>
      <c r="F133" s="159"/>
      <c r="G133" s="159"/>
      <c r="H133" s="383"/>
      <c r="I133" s="380"/>
      <c r="J133" s="159"/>
      <c r="K133" s="159"/>
      <c r="L133" s="159"/>
      <c r="M133" s="383"/>
      <c r="N133" s="380"/>
      <c r="O133" s="160"/>
      <c r="P133" s="160"/>
      <c r="Q133" s="160"/>
      <c r="R133" s="383"/>
      <c r="S133" s="380"/>
      <c r="T133" s="159"/>
      <c r="U133" s="159"/>
      <c r="V133" s="159"/>
      <c r="W133" s="380"/>
      <c r="X133" s="380"/>
      <c r="Y133" s="159"/>
      <c r="Z133" s="159"/>
      <c r="AA133" s="159"/>
      <c r="AB133" s="383"/>
    </row>
    <row r="134" spans="1:28" ht="15" customHeight="1" x14ac:dyDescent="0.2">
      <c r="A134" s="394"/>
      <c r="B134" s="173" t="s">
        <v>768</v>
      </c>
      <c r="C134" s="383"/>
      <c r="D134" s="380"/>
      <c r="E134" s="159"/>
      <c r="F134" s="159"/>
      <c r="G134" s="159"/>
      <c r="H134" s="383"/>
      <c r="I134" s="380"/>
      <c r="J134" s="159"/>
      <c r="K134" s="159"/>
      <c r="L134" s="159"/>
      <c r="M134" s="383"/>
      <c r="N134" s="380"/>
      <c r="O134" s="160"/>
      <c r="P134" s="160"/>
      <c r="Q134" s="160"/>
      <c r="R134" s="383"/>
      <c r="S134" s="380"/>
      <c r="T134" s="159"/>
      <c r="U134" s="159"/>
      <c r="V134" s="159"/>
      <c r="W134" s="380"/>
      <c r="X134" s="380"/>
      <c r="Y134" s="159"/>
      <c r="Z134" s="159"/>
      <c r="AA134" s="159"/>
      <c r="AB134" s="383"/>
    </row>
    <row r="135" spans="1:28" ht="15" customHeight="1" x14ac:dyDescent="0.2">
      <c r="A135" s="394"/>
      <c r="B135" s="173" t="s">
        <v>162</v>
      </c>
      <c r="C135" s="383"/>
      <c r="D135" s="380"/>
      <c r="E135" s="159"/>
      <c r="F135" s="159"/>
      <c r="G135" s="159"/>
      <c r="H135" s="383"/>
      <c r="I135" s="380"/>
      <c r="J135" s="159"/>
      <c r="K135" s="159"/>
      <c r="L135" s="159"/>
      <c r="M135" s="383"/>
      <c r="N135" s="380"/>
      <c r="O135" s="160"/>
      <c r="P135" s="160"/>
      <c r="Q135" s="160"/>
      <c r="R135" s="383"/>
      <c r="S135" s="380"/>
      <c r="T135" s="159"/>
      <c r="U135" s="159"/>
      <c r="V135" s="159"/>
      <c r="W135" s="380"/>
      <c r="X135" s="380"/>
      <c r="Y135" s="159"/>
      <c r="Z135" s="159"/>
      <c r="AA135" s="159"/>
      <c r="AB135" s="383"/>
    </row>
    <row r="136" spans="1:28" ht="15" customHeight="1" x14ac:dyDescent="0.2">
      <c r="A136" s="394"/>
      <c r="B136" s="173" t="s">
        <v>161</v>
      </c>
      <c r="C136" s="383"/>
      <c r="D136" s="380"/>
      <c r="E136" s="159"/>
      <c r="F136" s="159"/>
      <c r="G136" s="159"/>
      <c r="H136" s="383"/>
      <c r="I136" s="380"/>
      <c r="J136" s="159"/>
      <c r="K136" s="159"/>
      <c r="L136" s="159"/>
      <c r="M136" s="383"/>
      <c r="N136" s="380"/>
      <c r="O136" s="160"/>
      <c r="P136" s="160"/>
      <c r="Q136" s="160"/>
      <c r="R136" s="383"/>
      <c r="S136" s="380"/>
      <c r="T136" s="159"/>
      <c r="U136" s="159"/>
      <c r="V136" s="159"/>
      <c r="W136" s="380"/>
      <c r="X136" s="380"/>
      <c r="Y136" s="159"/>
      <c r="Z136" s="159"/>
      <c r="AA136" s="159"/>
      <c r="AB136" s="383"/>
    </row>
    <row r="137" spans="1:28" ht="15" customHeight="1" x14ac:dyDescent="0.2">
      <c r="A137" s="394"/>
      <c r="B137" s="173" t="s">
        <v>163</v>
      </c>
      <c r="C137" s="383"/>
      <c r="D137" s="380"/>
      <c r="E137" s="159"/>
      <c r="F137" s="159"/>
      <c r="G137" s="159"/>
      <c r="H137" s="383"/>
      <c r="I137" s="380"/>
      <c r="J137" s="159"/>
      <c r="K137" s="159"/>
      <c r="L137" s="159"/>
      <c r="M137" s="383"/>
      <c r="N137" s="380"/>
      <c r="O137" s="160"/>
      <c r="P137" s="160"/>
      <c r="Q137" s="160"/>
      <c r="R137" s="383"/>
      <c r="S137" s="380"/>
      <c r="T137" s="165"/>
      <c r="U137" s="165"/>
      <c r="V137" s="165"/>
      <c r="W137" s="380"/>
      <c r="X137" s="380"/>
      <c r="Y137" s="165"/>
      <c r="Z137" s="165"/>
      <c r="AA137" s="165"/>
      <c r="AB137" s="383"/>
    </row>
    <row r="138" spans="1:28" ht="15" customHeight="1" x14ac:dyDescent="0.2">
      <c r="A138" s="390"/>
      <c r="B138" s="173" t="s">
        <v>154</v>
      </c>
      <c r="C138" s="383"/>
      <c r="D138" s="380"/>
      <c r="E138" s="159"/>
      <c r="F138" s="159"/>
      <c r="G138" s="159"/>
      <c r="H138" s="383"/>
      <c r="I138" s="380"/>
      <c r="J138" s="159"/>
      <c r="K138" s="159"/>
      <c r="L138" s="159"/>
      <c r="M138" s="383"/>
      <c r="N138" s="380"/>
      <c r="O138" s="160"/>
      <c r="P138" s="160"/>
      <c r="Q138" s="160"/>
      <c r="R138" s="386"/>
      <c r="S138" s="385"/>
      <c r="T138" s="166"/>
      <c r="U138" s="166"/>
      <c r="V138" s="166"/>
      <c r="W138" s="385"/>
      <c r="X138" s="385"/>
      <c r="Y138" s="175"/>
      <c r="Z138" s="175"/>
      <c r="AA138" s="175"/>
      <c r="AB138" s="386"/>
    </row>
    <row r="139" spans="1:28" ht="15" customHeight="1" x14ac:dyDescent="0.2">
      <c r="A139" s="390"/>
      <c r="B139" s="173" t="s">
        <v>769</v>
      </c>
      <c r="C139" s="383"/>
      <c r="D139" s="380"/>
      <c r="E139" s="159"/>
      <c r="F139" s="159"/>
      <c r="G139" s="159"/>
      <c r="H139" s="383"/>
      <c r="I139" s="380"/>
      <c r="J139" s="159"/>
      <c r="K139" s="159"/>
      <c r="L139" s="159"/>
      <c r="M139" s="383"/>
      <c r="N139" s="380"/>
      <c r="O139" s="160"/>
      <c r="P139" s="160"/>
      <c r="Q139" s="160"/>
      <c r="R139" s="386"/>
      <c r="S139" s="385"/>
      <c r="T139" s="175"/>
      <c r="U139" s="175"/>
      <c r="V139" s="175"/>
      <c r="W139" s="385"/>
      <c r="X139" s="385"/>
      <c r="Y139" s="175"/>
      <c r="Z139" s="175"/>
      <c r="AA139" s="175"/>
      <c r="AB139" s="386"/>
    </row>
    <row r="140" spans="1:28" ht="15" customHeight="1" x14ac:dyDescent="0.2">
      <c r="A140" s="390"/>
      <c r="B140" s="173" t="s">
        <v>770</v>
      </c>
      <c r="C140" s="383"/>
      <c r="D140" s="380"/>
      <c r="E140" s="159"/>
      <c r="F140" s="159"/>
      <c r="G140" s="159"/>
      <c r="H140" s="383"/>
      <c r="I140" s="380"/>
      <c r="J140" s="159"/>
      <c r="K140" s="159"/>
      <c r="L140" s="159"/>
      <c r="M140" s="383"/>
      <c r="N140" s="380"/>
      <c r="O140" s="160"/>
      <c r="P140" s="160"/>
      <c r="Q140" s="160"/>
      <c r="R140" s="386"/>
      <c r="S140" s="385"/>
      <c r="T140" s="175"/>
      <c r="U140" s="175"/>
      <c r="V140" s="175"/>
      <c r="W140" s="385"/>
      <c r="X140" s="385"/>
      <c r="Y140" s="175"/>
      <c r="Z140" s="175"/>
      <c r="AA140" s="175"/>
      <c r="AB140" s="386"/>
    </row>
    <row r="141" spans="1:28" ht="15" customHeight="1" x14ac:dyDescent="0.2">
      <c r="A141" s="390"/>
      <c r="B141" s="173" t="s">
        <v>771</v>
      </c>
      <c r="C141" s="383"/>
      <c r="D141" s="380"/>
      <c r="E141" s="159"/>
      <c r="F141" s="159"/>
      <c r="G141" s="159"/>
      <c r="H141" s="383"/>
      <c r="I141" s="380"/>
      <c r="J141" s="159"/>
      <c r="K141" s="159"/>
      <c r="L141" s="159"/>
      <c r="M141" s="383"/>
      <c r="N141" s="380"/>
      <c r="O141" s="160"/>
      <c r="P141" s="160"/>
      <c r="Q141" s="160"/>
      <c r="R141" s="386"/>
      <c r="S141" s="385"/>
      <c r="T141" s="175"/>
      <c r="U141" s="175"/>
      <c r="V141" s="175"/>
      <c r="W141" s="385"/>
      <c r="X141" s="385"/>
      <c r="Y141" s="175"/>
      <c r="Z141" s="175"/>
      <c r="AA141" s="175"/>
      <c r="AB141" s="386"/>
    </row>
    <row r="142" spans="1:28" ht="31.5" x14ac:dyDescent="0.2">
      <c r="A142" s="390"/>
      <c r="B142" s="173" t="s">
        <v>772</v>
      </c>
      <c r="C142" s="383"/>
      <c r="D142" s="380"/>
      <c r="E142" s="159"/>
      <c r="F142" s="159"/>
      <c r="G142" s="159"/>
      <c r="H142" s="383"/>
      <c r="I142" s="380"/>
      <c r="J142" s="159"/>
      <c r="K142" s="159"/>
      <c r="L142" s="159"/>
      <c r="M142" s="383"/>
      <c r="N142" s="380"/>
      <c r="O142" s="160"/>
      <c r="P142" s="160"/>
      <c r="Q142" s="160"/>
      <c r="R142" s="386"/>
      <c r="S142" s="385"/>
      <c r="T142" s="175"/>
      <c r="U142" s="175"/>
      <c r="V142" s="175"/>
      <c r="W142" s="385"/>
      <c r="X142" s="385"/>
      <c r="Y142" s="175"/>
      <c r="Z142" s="175"/>
      <c r="AA142" s="175"/>
      <c r="AB142" s="386"/>
    </row>
    <row r="143" spans="1:28" ht="15" customHeight="1" x14ac:dyDescent="0.2">
      <c r="A143" s="390"/>
      <c r="B143" s="174" t="s">
        <v>148</v>
      </c>
      <c r="C143" s="383"/>
      <c r="D143" s="380"/>
      <c r="E143" s="159"/>
      <c r="F143" s="159"/>
      <c r="G143" s="159"/>
      <c r="H143" s="383"/>
      <c r="I143" s="380"/>
      <c r="J143" s="159"/>
      <c r="K143" s="159"/>
      <c r="L143" s="159"/>
      <c r="M143" s="383"/>
      <c r="N143" s="380"/>
      <c r="O143" s="160"/>
      <c r="P143" s="160"/>
      <c r="Q143" s="160"/>
      <c r="R143" s="386"/>
      <c r="S143" s="385"/>
      <c r="T143" s="175"/>
      <c r="U143" s="175"/>
      <c r="V143" s="175"/>
      <c r="W143" s="385"/>
      <c r="X143" s="385"/>
      <c r="Y143" s="175"/>
      <c r="Z143" s="175"/>
      <c r="AA143" s="175"/>
      <c r="AB143" s="386"/>
    </row>
    <row r="144" spans="1:28" ht="15" customHeight="1" x14ac:dyDescent="0.2">
      <c r="A144" s="390"/>
      <c r="B144" s="173" t="s">
        <v>773</v>
      </c>
      <c r="C144" s="383"/>
      <c r="D144" s="380"/>
      <c r="E144" s="159"/>
      <c r="F144" s="159"/>
      <c r="G144" s="159"/>
      <c r="H144" s="383"/>
      <c r="I144" s="380"/>
      <c r="J144" s="159"/>
      <c r="K144" s="159"/>
      <c r="L144" s="159"/>
      <c r="M144" s="383"/>
      <c r="N144" s="380"/>
      <c r="O144" s="160"/>
      <c r="P144" s="160"/>
      <c r="Q144" s="160"/>
      <c r="R144" s="386"/>
      <c r="S144" s="385"/>
      <c r="T144" s="175"/>
      <c r="U144" s="175"/>
      <c r="V144" s="175"/>
      <c r="W144" s="385"/>
      <c r="X144" s="385"/>
      <c r="Y144" s="175"/>
      <c r="Z144" s="175"/>
      <c r="AA144" s="175"/>
      <c r="AB144" s="386"/>
    </row>
    <row r="145" spans="1:28" ht="15" customHeight="1" x14ac:dyDescent="0.2">
      <c r="A145" s="390"/>
      <c r="B145" s="173" t="s">
        <v>774</v>
      </c>
      <c r="C145" s="383"/>
      <c r="D145" s="380"/>
      <c r="E145" s="159"/>
      <c r="F145" s="159"/>
      <c r="G145" s="159"/>
      <c r="H145" s="383"/>
      <c r="I145" s="380"/>
      <c r="J145" s="159"/>
      <c r="K145" s="159"/>
      <c r="L145" s="159"/>
      <c r="M145" s="383"/>
      <c r="N145" s="380"/>
      <c r="O145" s="160"/>
      <c r="P145" s="160"/>
      <c r="Q145" s="160"/>
      <c r="R145" s="386"/>
      <c r="S145" s="385"/>
      <c r="T145" s="175"/>
      <c r="U145" s="175"/>
      <c r="V145" s="175"/>
      <c r="W145" s="385"/>
      <c r="X145" s="385"/>
      <c r="Y145" s="175"/>
      <c r="Z145" s="175"/>
      <c r="AA145" s="175"/>
      <c r="AB145" s="386"/>
    </row>
    <row r="146" spans="1:28" ht="18" customHeight="1" x14ac:dyDescent="0.2">
      <c r="A146" s="390"/>
      <c r="B146" s="174" t="s">
        <v>329</v>
      </c>
      <c r="C146" s="383"/>
      <c r="D146" s="380"/>
      <c r="E146" s="159"/>
      <c r="F146" s="159"/>
      <c r="G146" s="159"/>
      <c r="H146" s="383"/>
      <c r="I146" s="380"/>
      <c r="J146" s="159"/>
      <c r="K146" s="159"/>
      <c r="L146" s="159"/>
      <c r="M146" s="383"/>
      <c r="N146" s="380"/>
      <c r="O146" s="160"/>
      <c r="P146" s="160"/>
      <c r="Q146" s="160"/>
      <c r="R146" s="386"/>
      <c r="S146" s="385"/>
      <c r="T146" s="175"/>
      <c r="U146" s="175"/>
      <c r="V146" s="175"/>
      <c r="W146" s="385"/>
      <c r="X146" s="385"/>
      <c r="Y146" s="175"/>
      <c r="Z146" s="175"/>
      <c r="AA146" s="175"/>
      <c r="AB146" s="386"/>
    </row>
    <row r="147" spans="1:28" ht="18" customHeight="1" x14ac:dyDescent="0.2">
      <c r="A147" s="390"/>
      <c r="B147" s="173" t="s">
        <v>761</v>
      </c>
      <c r="C147" s="383"/>
      <c r="D147" s="380"/>
      <c r="E147" s="159"/>
      <c r="F147" s="159"/>
      <c r="G147" s="159"/>
      <c r="H147" s="383"/>
      <c r="I147" s="380"/>
      <c r="J147" s="159"/>
      <c r="K147" s="159"/>
      <c r="L147" s="159"/>
      <c r="M147" s="383"/>
      <c r="N147" s="380"/>
      <c r="O147" s="160"/>
      <c r="P147" s="160"/>
      <c r="Q147" s="160"/>
      <c r="R147" s="386"/>
      <c r="S147" s="385"/>
      <c r="T147" s="175"/>
      <c r="U147" s="175"/>
      <c r="V147" s="175"/>
      <c r="W147" s="385"/>
      <c r="X147" s="385"/>
      <c r="Y147" s="175"/>
      <c r="Z147" s="175"/>
      <c r="AA147" s="175"/>
      <c r="AB147" s="386"/>
    </row>
    <row r="148" spans="1:28" ht="18" customHeight="1" x14ac:dyDescent="0.2">
      <c r="A148" s="390"/>
      <c r="B148" s="173" t="s">
        <v>775</v>
      </c>
      <c r="C148" s="383"/>
      <c r="D148" s="380"/>
      <c r="E148" s="165"/>
      <c r="F148" s="165"/>
      <c r="G148" s="165"/>
      <c r="H148" s="383"/>
      <c r="I148" s="380"/>
      <c r="J148" s="165"/>
      <c r="K148" s="165"/>
      <c r="L148" s="165"/>
      <c r="M148" s="383"/>
      <c r="N148" s="380"/>
      <c r="O148" s="166"/>
      <c r="P148" s="166"/>
      <c r="Q148" s="166"/>
      <c r="R148" s="386"/>
      <c r="S148" s="385"/>
      <c r="T148" s="175"/>
      <c r="U148" s="175"/>
      <c r="V148" s="175"/>
      <c r="W148" s="385"/>
      <c r="X148" s="385"/>
      <c r="Y148" s="175"/>
      <c r="Z148" s="175"/>
      <c r="AA148" s="175"/>
      <c r="AB148" s="386"/>
    </row>
    <row r="149" spans="1:28" ht="20.25" customHeight="1" x14ac:dyDescent="0.2">
      <c r="A149" s="390"/>
      <c r="B149" s="173" t="s">
        <v>776</v>
      </c>
      <c r="C149" s="383"/>
      <c r="D149" s="380"/>
      <c r="E149" s="165"/>
      <c r="F149" s="165"/>
      <c r="G149" s="165"/>
      <c r="H149" s="383"/>
      <c r="I149" s="380"/>
      <c r="J149" s="165"/>
      <c r="K149" s="165"/>
      <c r="L149" s="165"/>
      <c r="M149" s="383"/>
      <c r="N149" s="380"/>
      <c r="O149" s="166"/>
      <c r="P149" s="166"/>
      <c r="Q149" s="166"/>
      <c r="R149" s="386"/>
      <c r="S149" s="385"/>
      <c r="T149" s="175"/>
      <c r="U149" s="175"/>
      <c r="V149" s="175"/>
      <c r="W149" s="385"/>
      <c r="X149" s="385"/>
      <c r="Y149" s="175"/>
      <c r="Z149" s="175"/>
      <c r="AA149" s="175"/>
      <c r="AB149" s="386"/>
    </row>
    <row r="150" spans="1:28" ht="33.75" customHeight="1" x14ac:dyDescent="0.2">
      <c r="A150" s="390"/>
      <c r="B150" s="173" t="s">
        <v>777</v>
      </c>
      <c r="C150" s="383"/>
      <c r="D150" s="380"/>
      <c r="E150" s="165"/>
      <c r="F150" s="165"/>
      <c r="G150" s="165"/>
      <c r="H150" s="383"/>
      <c r="I150" s="380"/>
      <c r="J150" s="165"/>
      <c r="K150" s="165"/>
      <c r="L150" s="165"/>
      <c r="M150" s="383"/>
      <c r="N150" s="380"/>
      <c r="O150" s="166"/>
      <c r="P150" s="166"/>
      <c r="Q150" s="166"/>
      <c r="R150" s="386"/>
      <c r="S150" s="385"/>
      <c r="T150" s="175"/>
      <c r="U150" s="175"/>
      <c r="V150" s="175"/>
      <c r="W150" s="385"/>
      <c r="X150" s="385"/>
      <c r="Y150" s="175"/>
      <c r="Z150" s="175"/>
      <c r="AA150" s="175"/>
      <c r="AB150" s="386"/>
    </row>
    <row r="151" spans="1:28" ht="33" customHeight="1" x14ac:dyDescent="0.2">
      <c r="A151" s="390"/>
      <c r="B151" s="173" t="s">
        <v>778</v>
      </c>
      <c r="C151" s="383"/>
      <c r="D151" s="380"/>
      <c r="E151" s="165"/>
      <c r="F151" s="165"/>
      <c r="G151" s="165"/>
      <c r="H151" s="383"/>
      <c r="I151" s="380"/>
      <c r="J151" s="165"/>
      <c r="K151" s="165"/>
      <c r="L151" s="165"/>
      <c r="M151" s="383"/>
      <c r="N151" s="380"/>
      <c r="O151" s="166"/>
      <c r="P151" s="166"/>
      <c r="Q151" s="166"/>
      <c r="R151" s="386"/>
      <c r="S151" s="385"/>
      <c r="T151" s="175"/>
      <c r="U151" s="175"/>
      <c r="V151" s="175"/>
      <c r="W151" s="385"/>
      <c r="X151" s="385"/>
      <c r="Y151" s="175"/>
      <c r="Z151" s="175"/>
      <c r="AA151" s="175"/>
      <c r="AB151" s="386"/>
    </row>
    <row r="152" spans="1:28" ht="18.75" customHeight="1" x14ac:dyDescent="0.2">
      <c r="A152" s="390"/>
      <c r="B152" s="173" t="s">
        <v>779</v>
      </c>
      <c r="C152" s="383"/>
      <c r="D152" s="380"/>
      <c r="E152" s="165"/>
      <c r="F152" s="165"/>
      <c r="G152" s="165"/>
      <c r="H152" s="383"/>
      <c r="I152" s="380"/>
      <c r="J152" s="165"/>
      <c r="K152" s="165"/>
      <c r="L152" s="165"/>
      <c r="M152" s="383"/>
      <c r="N152" s="380"/>
      <c r="O152" s="166"/>
      <c r="P152" s="166"/>
      <c r="Q152" s="166"/>
      <c r="R152" s="386"/>
      <c r="S152" s="385"/>
      <c r="T152" s="175"/>
      <c r="U152" s="175"/>
      <c r="V152" s="175"/>
      <c r="W152" s="385"/>
      <c r="X152" s="385"/>
      <c r="Y152" s="175"/>
      <c r="Z152" s="175"/>
      <c r="AA152" s="175"/>
      <c r="AB152" s="386"/>
    </row>
    <row r="153" spans="1:28" ht="18.75" customHeight="1" x14ac:dyDescent="0.2">
      <c r="A153" s="176"/>
      <c r="B153" s="174" t="s">
        <v>382</v>
      </c>
      <c r="C153" s="177"/>
      <c r="D153" s="178"/>
      <c r="E153" s="178"/>
      <c r="F153" s="178"/>
      <c r="G153" s="178"/>
      <c r="H153" s="177"/>
      <c r="I153" s="178"/>
      <c r="J153" s="178"/>
      <c r="K153" s="178"/>
      <c r="L153" s="178"/>
      <c r="M153" s="177"/>
      <c r="N153" s="178"/>
      <c r="O153" s="166"/>
      <c r="P153" s="166"/>
      <c r="Q153" s="166"/>
      <c r="R153" s="179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9"/>
    </row>
    <row r="154" spans="1:28" ht="18.75" customHeight="1" x14ac:dyDescent="0.2">
      <c r="A154" s="180"/>
      <c r="B154" s="173" t="s">
        <v>780</v>
      </c>
      <c r="C154" s="177"/>
      <c r="D154" s="178"/>
      <c r="E154" s="165"/>
      <c r="F154" s="165"/>
      <c r="G154" s="165"/>
      <c r="H154" s="177"/>
      <c r="I154" s="178"/>
      <c r="J154" s="165"/>
      <c r="K154" s="165"/>
      <c r="L154" s="165"/>
      <c r="M154" s="177"/>
      <c r="N154" s="178"/>
      <c r="O154" s="166"/>
      <c r="P154" s="166"/>
      <c r="Q154" s="166"/>
      <c r="R154" s="179"/>
      <c r="S154" s="175"/>
      <c r="T154" s="166"/>
      <c r="U154" s="166"/>
      <c r="V154" s="166"/>
      <c r="W154" s="175"/>
      <c r="X154" s="175"/>
      <c r="Y154" s="166"/>
      <c r="Z154" s="166"/>
      <c r="AA154" s="166"/>
      <c r="AB154" s="179"/>
    </row>
    <row r="155" spans="1:28" ht="18.75" customHeight="1" x14ac:dyDescent="0.2">
      <c r="A155" s="180"/>
      <c r="B155" s="173" t="s">
        <v>781</v>
      </c>
      <c r="C155" s="177"/>
      <c r="D155" s="178"/>
      <c r="E155" s="165"/>
      <c r="F155" s="165"/>
      <c r="G155" s="165"/>
      <c r="H155" s="177"/>
      <c r="I155" s="178"/>
      <c r="J155" s="165"/>
      <c r="K155" s="165"/>
      <c r="L155" s="165"/>
      <c r="M155" s="177"/>
      <c r="N155" s="178"/>
      <c r="O155" s="166"/>
      <c r="P155" s="166"/>
      <c r="Q155" s="166"/>
      <c r="R155" s="179"/>
      <c r="S155" s="175"/>
      <c r="T155" s="166"/>
      <c r="U155" s="166"/>
      <c r="V155" s="166"/>
      <c r="W155" s="175"/>
      <c r="X155" s="175"/>
      <c r="Y155" s="166"/>
      <c r="Z155" s="166"/>
      <c r="AA155" s="166"/>
      <c r="AB155" s="179"/>
    </row>
    <row r="156" spans="1:28" ht="18.75" customHeight="1" x14ac:dyDescent="0.2">
      <c r="A156" s="180"/>
      <c r="B156" s="162" t="s">
        <v>741</v>
      </c>
      <c r="C156" s="177"/>
      <c r="D156" s="178"/>
      <c r="E156" s="165"/>
      <c r="F156" s="165"/>
      <c r="G156" s="165"/>
      <c r="H156" s="177"/>
      <c r="I156" s="178"/>
      <c r="J156" s="165"/>
      <c r="K156" s="165"/>
      <c r="L156" s="165"/>
      <c r="M156" s="177"/>
      <c r="N156" s="178"/>
      <c r="O156" s="166"/>
      <c r="P156" s="166"/>
      <c r="Q156" s="166"/>
      <c r="R156" s="179"/>
      <c r="S156" s="175"/>
      <c r="T156" s="166"/>
      <c r="U156" s="166"/>
      <c r="V156" s="166"/>
      <c r="W156" s="175"/>
      <c r="X156" s="175"/>
      <c r="Y156" s="166"/>
      <c r="Z156" s="166"/>
      <c r="AA156" s="166"/>
      <c r="AB156" s="179"/>
    </row>
    <row r="157" spans="1:28" ht="18.75" customHeight="1" x14ac:dyDescent="0.2">
      <c r="A157" s="180"/>
      <c r="B157" s="162" t="s">
        <v>799</v>
      </c>
      <c r="C157" s="177"/>
      <c r="D157" s="178"/>
      <c r="E157" s="165"/>
      <c r="F157" s="165"/>
      <c r="G157" s="165"/>
      <c r="H157" s="177"/>
      <c r="I157" s="178"/>
      <c r="J157" s="165"/>
      <c r="K157" s="165"/>
      <c r="L157" s="165"/>
      <c r="M157" s="177"/>
      <c r="N157" s="178"/>
      <c r="O157" s="166"/>
      <c r="P157" s="166"/>
      <c r="Q157" s="166"/>
      <c r="R157" s="179"/>
      <c r="S157" s="175"/>
      <c r="T157" s="166"/>
      <c r="U157" s="166"/>
      <c r="V157" s="166"/>
      <c r="W157" s="175"/>
      <c r="X157" s="175"/>
      <c r="Y157" s="166"/>
      <c r="Z157" s="166"/>
      <c r="AA157" s="166"/>
      <c r="AB157" s="179"/>
    </row>
    <row r="158" spans="1:28" ht="18.75" customHeight="1" x14ac:dyDescent="0.2">
      <c r="A158" s="180"/>
      <c r="B158" s="172" t="s">
        <v>782</v>
      </c>
      <c r="C158" s="177"/>
      <c r="D158" s="178"/>
      <c r="E158" s="165"/>
      <c r="F158" s="165"/>
      <c r="G158" s="165"/>
      <c r="H158" s="177"/>
      <c r="I158" s="178"/>
      <c r="J158" s="165"/>
      <c r="K158" s="165"/>
      <c r="L158" s="165"/>
      <c r="M158" s="177"/>
      <c r="N158" s="178"/>
      <c r="O158" s="166"/>
      <c r="P158" s="166"/>
      <c r="Q158" s="166"/>
      <c r="R158" s="179"/>
      <c r="S158" s="175"/>
      <c r="T158" s="166"/>
      <c r="U158" s="166"/>
      <c r="V158" s="166"/>
      <c r="W158" s="175"/>
      <c r="X158" s="175"/>
      <c r="Y158" s="166"/>
      <c r="Z158" s="166"/>
      <c r="AA158" s="166"/>
      <c r="AB158" s="179"/>
    </row>
    <row r="159" spans="1:28" ht="18.75" customHeight="1" x14ac:dyDescent="0.2">
      <c r="A159" s="180"/>
      <c r="B159" s="172" t="s">
        <v>783</v>
      </c>
      <c r="C159" s="177"/>
      <c r="D159" s="178"/>
      <c r="E159" s="165"/>
      <c r="F159" s="165"/>
      <c r="G159" s="165"/>
      <c r="H159" s="177"/>
      <c r="I159" s="178"/>
      <c r="J159" s="165"/>
      <c r="K159" s="165"/>
      <c r="L159" s="165"/>
      <c r="M159" s="177"/>
      <c r="N159" s="178"/>
      <c r="O159" s="166"/>
      <c r="P159" s="166"/>
      <c r="Q159" s="166"/>
      <c r="R159" s="179"/>
      <c r="S159" s="175"/>
      <c r="T159" s="166"/>
      <c r="U159" s="166"/>
      <c r="V159" s="166"/>
      <c r="W159" s="175"/>
      <c r="X159" s="175"/>
      <c r="Y159" s="166"/>
      <c r="Z159" s="166"/>
      <c r="AA159" s="166"/>
      <c r="AB159" s="179"/>
    </row>
    <row r="160" spans="1:28" ht="18.75" customHeight="1" x14ac:dyDescent="0.2">
      <c r="A160" s="180"/>
      <c r="B160" s="172" t="s">
        <v>784</v>
      </c>
      <c r="C160" s="177"/>
      <c r="D160" s="178"/>
      <c r="E160" s="165"/>
      <c r="F160" s="165"/>
      <c r="G160" s="165"/>
      <c r="H160" s="177"/>
      <c r="I160" s="178"/>
      <c r="J160" s="165"/>
      <c r="K160" s="165"/>
      <c r="L160" s="165"/>
      <c r="M160" s="177"/>
      <c r="N160" s="178"/>
      <c r="O160" s="166"/>
      <c r="P160" s="166"/>
      <c r="Q160" s="166"/>
      <c r="R160" s="179"/>
      <c r="S160" s="175"/>
      <c r="T160" s="166"/>
      <c r="U160" s="166"/>
      <c r="V160" s="166"/>
      <c r="W160" s="175"/>
      <c r="X160" s="175"/>
      <c r="Y160" s="166"/>
      <c r="Z160" s="166"/>
      <c r="AA160" s="166"/>
      <c r="AB160" s="179"/>
    </row>
    <row r="161" spans="1:28" ht="18.75" customHeight="1" x14ac:dyDescent="0.2">
      <c r="A161" s="180"/>
      <c r="B161" s="172" t="s">
        <v>1170</v>
      </c>
      <c r="C161" s="177"/>
      <c r="D161" s="178"/>
      <c r="E161" s="165"/>
      <c r="F161" s="165"/>
      <c r="G161" s="165"/>
      <c r="H161" s="177"/>
      <c r="I161" s="178"/>
      <c r="J161" s="165"/>
      <c r="K161" s="165"/>
      <c r="L161" s="165"/>
      <c r="M161" s="177"/>
      <c r="N161" s="178"/>
      <c r="O161" s="166"/>
      <c r="P161" s="166"/>
      <c r="Q161" s="166"/>
      <c r="R161" s="179"/>
      <c r="S161" s="175"/>
      <c r="T161" s="166"/>
      <c r="U161" s="166"/>
      <c r="V161" s="166"/>
      <c r="W161" s="175"/>
      <c r="X161" s="175"/>
      <c r="Y161" s="166"/>
      <c r="Z161" s="166"/>
      <c r="AA161" s="166"/>
      <c r="AB161" s="179"/>
    </row>
    <row r="162" spans="1:28" ht="18.75" customHeight="1" x14ac:dyDescent="0.2">
      <c r="A162" s="180"/>
      <c r="B162" s="172" t="s">
        <v>1168</v>
      </c>
      <c r="C162" s="177"/>
      <c r="D162" s="178"/>
      <c r="E162" s="165"/>
      <c r="F162" s="165"/>
      <c r="G162" s="165"/>
      <c r="H162" s="177"/>
      <c r="I162" s="178"/>
      <c r="J162" s="165"/>
      <c r="K162" s="165"/>
      <c r="L162" s="165"/>
      <c r="M162" s="177"/>
      <c r="N162" s="178"/>
      <c r="O162" s="166"/>
      <c r="P162" s="166"/>
      <c r="Q162" s="166"/>
      <c r="R162" s="179"/>
      <c r="S162" s="175"/>
      <c r="T162" s="166"/>
      <c r="U162" s="166"/>
      <c r="V162" s="166"/>
      <c r="W162" s="175"/>
      <c r="X162" s="175"/>
      <c r="Y162" s="166"/>
      <c r="Z162" s="166"/>
      <c r="AA162" s="166"/>
      <c r="AB162" s="179"/>
    </row>
    <row r="163" spans="1:28" ht="18.75" customHeight="1" x14ac:dyDescent="0.2">
      <c r="A163" s="180"/>
      <c r="B163" s="172" t="s">
        <v>1169</v>
      </c>
      <c r="C163" s="177"/>
      <c r="D163" s="178"/>
      <c r="E163" s="165"/>
      <c r="F163" s="165"/>
      <c r="G163" s="165"/>
      <c r="H163" s="177"/>
      <c r="I163" s="178"/>
      <c r="J163" s="165"/>
      <c r="K163" s="165"/>
      <c r="L163" s="165"/>
      <c r="M163" s="177"/>
      <c r="N163" s="178"/>
      <c r="O163" s="166"/>
      <c r="P163" s="166"/>
      <c r="Q163" s="166"/>
      <c r="R163" s="179"/>
      <c r="S163" s="175"/>
      <c r="T163" s="166"/>
      <c r="U163" s="166"/>
      <c r="V163" s="166"/>
      <c r="W163" s="175"/>
      <c r="X163" s="175"/>
      <c r="Y163" s="166"/>
      <c r="Z163" s="166"/>
      <c r="AA163" s="166"/>
      <c r="AB163" s="179"/>
    </row>
    <row r="164" spans="1:28" ht="18.75" customHeight="1" x14ac:dyDescent="0.2">
      <c r="A164" s="180"/>
      <c r="B164" s="174" t="s">
        <v>618</v>
      </c>
      <c r="C164" s="177"/>
      <c r="D164" s="178"/>
      <c r="E164" s="165"/>
      <c r="F164" s="165"/>
      <c r="G164" s="165"/>
      <c r="H164" s="177"/>
      <c r="I164" s="178"/>
      <c r="J164" s="165"/>
      <c r="K164" s="165"/>
      <c r="L164" s="165"/>
      <c r="M164" s="177"/>
      <c r="N164" s="178"/>
      <c r="O164" s="166"/>
      <c r="P164" s="166"/>
      <c r="Q164" s="166"/>
      <c r="R164" s="179"/>
      <c r="S164" s="175"/>
      <c r="T164" s="166"/>
      <c r="U164" s="166"/>
      <c r="V164" s="166"/>
      <c r="W164" s="175"/>
      <c r="X164" s="175"/>
      <c r="Y164" s="166"/>
      <c r="Z164" s="166"/>
      <c r="AA164" s="166"/>
      <c r="AB164" s="179"/>
    </row>
    <row r="165" spans="1:28" ht="18.75" customHeight="1" x14ac:dyDescent="0.2">
      <c r="A165" s="180"/>
      <c r="B165" s="173" t="s">
        <v>785</v>
      </c>
      <c r="C165" s="177"/>
      <c r="D165" s="178"/>
      <c r="E165" s="165"/>
      <c r="F165" s="165"/>
      <c r="G165" s="165"/>
      <c r="H165" s="177"/>
      <c r="I165" s="178"/>
      <c r="J165" s="165"/>
      <c r="K165" s="165"/>
      <c r="L165" s="165"/>
      <c r="M165" s="177"/>
      <c r="N165" s="178"/>
      <c r="O165" s="166"/>
      <c r="P165" s="166"/>
      <c r="Q165" s="166"/>
      <c r="R165" s="179"/>
      <c r="S165" s="175"/>
      <c r="T165" s="166"/>
      <c r="U165" s="166"/>
      <c r="V165" s="166"/>
      <c r="W165" s="175"/>
      <c r="X165" s="175"/>
      <c r="Y165" s="166"/>
      <c r="Z165" s="166"/>
      <c r="AA165" s="166"/>
      <c r="AB165" s="179"/>
    </row>
    <row r="166" spans="1:28" ht="18.75" customHeight="1" x14ac:dyDescent="0.2">
      <c r="A166" s="180"/>
      <c r="B166" s="173" t="s">
        <v>786</v>
      </c>
      <c r="C166" s="177"/>
      <c r="D166" s="178"/>
      <c r="E166" s="165"/>
      <c r="F166" s="165"/>
      <c r="G166" s="165"/>
      <c r="H166" s="177"/>
      <c r="I166" s="178"/>
      <c r="J166" s="165"/>
      <c r="K166" s="165"/>
      <c r="L166" s="165"/>
      <c r="M166" s="177"/>
      <c r="N166" s="178"/>
      <c r="O166" s="166"/>
      <c r="P166" s="166"/>
      <c r="Q166" s="166"/>
      <c r="R166" s="179"/>
      <c r="S166" s="175"/>
      <c r="T166" s="166"/>
      <c r="U166" s="166"/>
      <c r="V166" s="166"/>
      <c r="W166" s="175"/>
      <c r="X166" s="175"/>
      <c r="Y166" s="166"/>
      <c r="Z166" s="166"/>
      <c r="AA166" s="166"/>
      <c r="AB166" s="179"/>
    </row>
    <row r="167" spans="1:28" ht="18.75" customHeight="1" x14ac:dyDescent="0.2">
      <c r="A167" s="180"/>
      <c r="B167" s="173" t="s">
        <v>787</v>
      </c>
      <c r="C167" s="177"/>
      <c r="D167" s="178"/>
      <c r="E167" s="165"/>
      <c r="F167" s="165"/>
      <c r="G167" s="165"/>
      <c r="H167" s="177"/>
      <c r="I167" s="178"/>
      <c r="J167" s="165"/>
      <c r="K167" s="165"/>
      <c r="L167" s="165"/>
      <c r="M167" s="177"/>
      <c r="N167" s="178"/>
      <c r="O167" s="166"/>
      <c r="P167" s="166"/>
      <c r="Q167" s="166"/>
      <c r="R167" s="179"/>
      <c r="S167" s="175"/>
      <c r="T167" s="166"/>
      <c r="U167" s="166"/>
      <c r="V167" s="166"/>
      <c r="W167" s="175"/>
      <c r="X167" s="175"/>
      <c r="Y167" s="166"/>
      <c r="Z167" s="166"/>
      <c r="AA167" s="166"/>
      <c r="AB167" s="179"/>
    </row>
    <row r="168" spans="1:28" ht="18.75" customHeight="1" x14ac:dyDescent="0.2">
      <c r="A168" s="180"/>
      <c r="B168" s="173" t="s">
        <v>788</v>
      </c>
      <c r="C168" s="177"/>
      <c r="D168" s="178"/>
      <c r="E168" s="165"/>
      <c r="F168" s="165"/>
      <c r="G168" s="165"/>
      <c r="H168" s="177"/>
      <c r="I168" s="178"/>
      <c r="J168" s="165"/>
      <c r="K168" s="165"/>
      <c r="L168" s="165"/>
      <c r="M168" s="177"/>
      <c r="N168" s="178"/>
      <c r="O168" s="166"/>
      <c r="P168" s="166"/>
      <c r="Q168" s="166"/>
      <c r="R168" s="179"/>
      <c r="S168" s="175"/>
      <c r="T168" s="166"/>
      <c r="U168" s="166"/>
      <c r="V168" s="166"/>
      <c r="W168" s="175"/>
      <c r="X168" s="175"/>
      <c r="Y168" s="166"/>
      <c r="Z168" s="166"/>
      <c r="AA168" s="166"/>
      <c r="AB168" s="179"/>
    </row>
    <row r="169" spans="1:28" ht="39.75" customHeight="1" x14ac:dyDescent="0.2">
      <c r="A169" s="180"/>
      <c r="B169" s="173" t="s">
        <v>789</v>
      </c>
      <c r="C169" s="177"/>
      <c r="D169" s="178"/>
      <c r="E169" s="165"/>
      <c r="F169" s="165"/>
      <c r="G169" s="165"/>
      <c r="H169" s="177"/>
      <c r="I169" s="178"/>
      <c r="J169" s="165"/>
      <c r="K169" s="165"/>
      <c r="L169" s="165"/>
      <c r="M169" s="177"/>
      <c r="N169" s="178"/>
      <c r="O169" s="166"/>
      <c r="P169" s="166"/>
      <c r="Q169" s="166"/>
      <c r="R169" s="179"/>
      <c r="S169" s="175"/>
      <c r="T169" s="166"/>
      <c r="U169" s="166"/>
      <c r="V169" s="166"/>
      <c r="W169" s="175"/>
      <c r="X169" s="175"/>
      <c r="Y169" s="166"/>
      <c r="Z169" s="166"/>
      <c r="AA169" s="166"/>
      <c r="AB169" s="179"/>
    </row>
    <row r="170" spans="1:28" ht="15.75" customHeight="1" x14ac:dyDescent="0.2">
      <c r="A170" s="180"/>
      <c r="B170" s="162" t="s">
        <v>802</v>
      </c>
      <c r="C170" s="177"/>
      <c r="D170" s="178"/>
      <c r="E170" s="165"/>
      <c r="F170" s="165"/>
      <c r="G170" s="165"/>
      <c r="H170" s="177"/>
      <c r="I170" s="178"/>
      <c r="J170" s="165"/>
      <c r="K170" s="165"/>
      <c r="L170" s="165"/>
      <c r="M170" s="177"/>
      <c r="N170" s="178"/>
      <c r="O170" s="166"/>
      <c r="P170" s="166"/>
      <c r="Q170" s="166"/>
      <c r="R170" s="179"/>
      <c r="S170" s="175"/>
      <c r="T170" s="166"/>
      <c r="U170" s="166"/>
      <c r="V170" s="166"/>
      <c r="W170" s="175"/>
      <c r="X170" s="175"/>
      <c r="Y170" s="166"/>
      <c r="Z170" s="166"/>
      <c r="AA170" s="166"/>
      <c r="AB170" s="179"/>
    </row>
    <row r="171" spans="1:28" ht="18.75" customHeight="1" x14ac:dyDescent="0.2">
      <c r="A171" s="147"/>
      <c r="B171" s="181" t="s">
        <v>586</v>
      </c>
      <c r="C171" s="182" t="s">
        <v>104</v>
      </c>
      <c r="D171" s="160" t="s">
        <v>104</v>
      </c>
      <c r="E171" s="160"/>
      <c r="F171" s="160"/>
      <c r="G171" s="160"/>
      <c r="H171" s="182" t="s">
        <v>104</v>
      </c>
      <c r="I171" s="160" t="s">
        <v>104</v>
      </c>
      <c r="J171" s="160"/>
      <c r="K171" s="160"/>
      <c r="L171" s="160"/>
      <c r="M171" s="182">
        <f>N171</f>
        <v>3417</v>
      </c>
      <c r="N171" s="160">
        <v>3417</v>
      </c>
      <c r="O171" s="160"/>
      <c r="P171" s="160"/>
      <c r="Q171" s="160"/>
      <c r="R171" s="182">
        <v>0</v>
      </c>
      <c r="S171" s="160">
        <v>0</v>
      </c>
      <c r="T171" s="160"/>
      <c r="U171" s="160"/>
      <c r="V171" s="160"/>
      <c r="W171" s="182">
        <v>0</v>
      </c>
      <c r="X171" s="160">
        <v>0</v>
      </c>
      <c r="Y171" s="160"/>
      <c r="Z171" s="160"/>
      <c r="AA171" s="160"/>
      <c r="AB171" s="182">
        <v>3417</v>
      </c>
    </row>
    <row r="172" spans="1:28" ht="20.25" customHeight="1" x14ac:dyDescent="0.2">
      <c r="A172" s="393" t="s">
        <v>468</v>
      </c>
      <c r="B172" s="158" t="s">
        <v>414</v>
      </c>
      <c r="C172" s="382">
        <f>D172</f>
        <v>817</v>
      </c>
      <c r="D172" s="379">
        <v>817</v>
      </c>
      <c r="E172" s="183"/>
      <c r="F172" s="183"/>
      <c r="G172" s="183"/>
      <c r="H172" s="382">
        <f>I172</f>
        <v>2512</v>
      </c>
      <c r="I172" s="379">
        <f>1695+817</f>
        <v>2512</v>
      </c>
      <c r="J172" s="183"/>
      <c r="K172" s="183"/>
      <c r="L172" s="183"/>
      <c r="M172" s="382">
        <f>N172</f>
        <v>4617</v>
      </c>
      <c r="N172" s="379">
        <f>615+578+1853+2512-486-423-32</f>
        <v>4617</v>
      </c>
      <c r="O172" s="184"/>
      <c r="P172" s="184"/>
      <c r="Q172" s="184"/>
      <c r="R172" s="382">
        <f>S172</f>
        <v>9095</v>
      </c>
      <c r="S172" s="379">
        <f>3573+4915+817-119-71-20</f>
        <v>9095</v>
      </c>
      <c r="T172" s="183"/>
      <c r="U172" s="183"/>
      <c r="V172" s="183"/>
      <c r="W172" s="382">
        <f>X172</f>
        <v>0</v>
      </c>
      <c r="X172" s="379">
        <f>3719-3719</f>
        <v>0</v>
      </c>
      <c r="Y172" s="183"/>
      <c r="Z172" s="183"/>
      <c r="AA172" s="183"/>
      <c r="AB172" s="382">
        <f>C172+H172+M172+R172+W172</f>
        <v>17041</v>
      </c>
    </row>
    <row r="173" spans="1:28" ht="15" customHeight="1" x14ac:dyDescent="0.2">
      <c r="A173" s="394"/>
      <c r="B173" s="161" t="s">
        <v>410</v>
      </c>
      <c r="C173" s="383"/>
      <c r="D173" s="380"/>
      <c r="E173" s="185"/>
      <c r="F173" s="185"/>
      <c r="G173" s="185"/>
      <c r="H173" s="383"/>
      <c r="I173" s="380"/>
      <c r="J173" s="185"/>
      <c r="K173" s="185"/>
      <c r="L173" s="185"/>
      <c r="M173" s="383"/>
      <c r="N173" s="380"/>
      <c r="O173" s="186"/>
      <c r="P173" s="186"/>
      <c r="Q173" s="186"/>
      <c r="R173" s="383"/>
      <c r="S173" s="380"/>
      <c r="T173" s="185"/>
      <c r="U173" s="185"/>
      <c r="V173" s="185"/>
      <c r="W173" s="383"/>
      <c r="X173" s="380"/>
      <c r="Y173" s="185"/>
      <c r="Z173" s="185"/>
      <c r="AA173" s="185"/>
      <c r="AB173" s="383"/>
    </row>
    <row r="174" spans="1:28" ht="15" customHeight="1" x14ac:dyDescent="0.2">
      <c r="A174" s="394"/>
      <c r="B174" s="162" t="s">
        <v>790</v>
      </c>
      <c r="C174" s="383"/>
      <c r="D174" s="380"/>
      <c r="E174" s="187"/>
      <c r="F174" s="187"/>
      <c r="G174" s="187"/>
      <c r="H174" s="383"/>
      <c r="I174" s="380"/>
      <c r="J174" s="187"/>
      <c r="K174" s="187"/>
      <c r="L174" s="187"/>
      <c r="M174" s="383"/>
      <c r="N174" s="380"/>
      <c r="O174" s="188"/>
      <c r="P174" s="188"/>
      <c r="Q174" s="188"/>
      <c r="R174" s="383"/>
      <c r="S174" s="380"/>
      <c r="T174" s="187"/>
      <c r="U174" s="187"/>
      <c r="V174" s="187"/>
      <c r="W174" s="383"/>
      <c r="X174" s="380"/>
      <c r="Y174" s="187"/>
      <c r="Z174" s="187"/>
      <c r="AA174" s="187"/>
      <c r="AB174" s="383"/>
    </row>
    <row r="175" spans="1:28" ht="15" customHeight="1" x14ac:dyDescent="0.2">
      <c r="A175" s="394"/>
      <c r="B175" s="162" t="s">
        <v>696</v>
      </c>
      <c r="C175" s="383"/>
      <c r="D175" s="380"/>
      <c r="E175" s="189"/>
      <c r="F175" s="189"/>
      <c r="G175" s="189"/>
      <c r="H175" s="383"/>
      <c r="I175" s="380"/>
      <c r="J175" s="189"/>
      <c r="K175" s="189"/>
      <c r="L175" s="189"/>
      <c r="M175" s="383"/>
      <c r="N175" s="380"/>
      <c r="O175" s="190"/>
      <c r="P175" s="190"/>
      <c r="Q175" s="190"/>
      <c r="R175" s="383"/>
      <c r="S175" s="380"/>
      <c r="T175" s="189"/>
      <c r="U175" s="189"/>
      <c r="V175" s="189"/>
      <c r="W175" s="383"/>
      <c r="X175" s="380"/>
      <c r="Y175" s="189"/>
      <c r="Z175" s="189"/>
      <c r="AA175" s="189"/>
      <c r="AB175" s="383"/>
    </row>
    <row r="176" spans="1:28" ht="18.75" customHeight="1" x14ac:dyDescent="0.2">
      <c r="A176" s="394"/>
      <c r="B176" s="161" t="s">
        <v>329</v>
      </c>
      <c r="C176" s="383"/>
      <c r="D176" s="380"/>
      <c r="E176" s="189"/>
      <c r="F176" s="189"/>
      <c r="G176" s="189"/>
      <c r="H176" s="383"/>
      <c r="I176" s="380"/>
      <c r="J176" s="189"/>
      <c r="K176" s="189"/>
      <c r="L176" s="189"/>
      <c r="M176" s="383"/>
      <c r="N176" s="380"/>
      <c r="O176" s="190"/>
      <c r="P176" s="190"/>
      <c r="Q176" s="190"/>
      <c r="R176" s="383"/>
      <c r="S176" s="380"/>
      <c r="T176" s="189"/>
      <c r="U176" s="189"/>
      <c r="V176" s="189"/>
      <c r="W176" s="383"/>
      <c r="X176" s="380"/>
      <c r="Y176" s="189"/>
      <c r="Z176" s="189"/>
      <c r="AA176" s="189"/>
      <c r="AB176" s="383"/>
    </row>
    <row r="177" spans="1:28" ht="18.75" customHeight="1" x14ac:dyDescent="0.2">
      <c r="A177" s="394"/>
      <c r="B177" s="162" t="s">
        <v>791</v>
      </c>
      <c r="C177" s="383"/>
      <c r="D177" s="380"/>
      <c r="E177" s="189"/>
      <c r="F177" s="189"/>
      <c r="G177" s="189"/>
      <c r="H177" s="383"/>
      <c r="I177" s="380"/>
      <c r="J177" s="189"/>
      <c r="K177" s="189"/>
      <c r="L177" s="189"/>
      <c r="M177" s="383"/>
      <c r="N177" s="380"/>
      <c r="O177" s="190"/>
      <c r="P177" s="190"/>
      <c r="Q177" s="190"/>
      <c r="R177" s="383"/>
      <c r="S177" s="380"/>
      <c r="T177" s="189"/>
      <c r="U177" s="189"/>
      <c r="V177" s="189"/>
      <c r="W177" s="383"/>
      <c r="X177" s="380"/>
      <c r="Y177" s="189"/>
      <c r="Z177" s="189"/>
      <c r="AA177" s="189"/>
      <c r="AB177" s="383"/>
    </row>
    <row r="178" spans="1:28" ht="18.75" customHeight="1" x14ac:dyDescent="0.2">
      <c r="A178" s="394"/>
      <c r="B178" s="162" t="s">
        <v>792</v>
      </c>
      <c r="C178" s="383"/>
      <c r="D178" s="380"/>
      <c r="E178" s="189"/>
      <c r="F178" s="189"/>
      <c r="G178" s="189"/>
      <c r="H178" s="383"/>
      <c r="I178" s="380"/>
      <c r="J178" s="189"/>
      <c r="K178" s="189"/>
      <c r="L178" s="189"/>
      <c r="M178" s="383"/>
      <c r="N178" s="380"/>
      <c r="O178" s="190"/>
      <c r="P178" s="190"/>
      <c r="Q178" s="190"/>
      <c r="R178" s="383"/>
      <c r="S178" s="380"/>
      <c r="T178" s="189"/>
      <c r="U178" s="189"/>
      <c r="V178" s="189"/>
      <c r="W178" s="383"/>
      <c r="X178" s="380"/>
      <c r="Y178" s="189"/>
      <c r="Z178" s="189"/>
      <c r="AA178" s="189"/>
      <c r="AB178" s="383"/>
    </row>
    <row r="179" spans="1:28" ht="17.25" customHeight="1" x14ac:dyDescent="0.2">
      <c r="A179" s="394"/>
      <c r="B179" s="162" t="s">
        <v>793</v>
      </c>
      <c r="C179" s="383"/>
      <c r="D179" s="380"/>
      <c r="E179" s="189"/>
      <c r="F179" s="189"/>
      <c r="G179" s="189"/>
      <c r="H179" s="383"/>
      <c r="I179" s="380"/>
      <c r="J179" s="189"/>
      <c r="K179" s="189"/>
      <c r="L179" s="189"/>
      <c r="M179" s="383"/>
      <c r="N179" s="380"/>
      <c r="O179" s="190"/>
      <c r="P179" s="190"/>
      <c r="Q179" s="190"/>
      <c r="R179" s="383"/>
      <c r="S179" s="380"/>
      <c r="T179" s="189"/>
      <c r="U179" s="189"/>
      <c r="V179" s="189"/>
      <c r="W179" s="383"/>
      <c r="X179" s="380"/>
      <c r="Y179" s="189"/>
      <c r="Z179" s="189"/>
      <c r="AA179" s="189"/>
      <c r="AB179" s="383"/>
    </row>
    <row r="180" spans="1:28" ht="18.75" customHeight="1" x14ac:dyDescent="0.2">
      <c r="A180" s="394"/>
      <c r="B180" s="162" t="s">
        <v>794</v>
      </c>
      <c r="C180" s="383"/>
      <c r="D180" s="380"/>
      <c r="E180" s="189"/>
      <c r="F180" s="189"/>
      <c r="G180" s="189"/>
      <c r="H180" s="383"/>
      <c r="I180" s="380"/>
      <c r="J180" s="189"/>
      <c r="K180" s="189"/>
      <c r="L180" s="189"/>
      <c r="M180" s="383"/>
      <c r="N180" s="380"/>
      <c r="O180" s="190"/>
      <c r="P180" s="190"/>
      <c r="Q180" s="190"/>
      <c r="R180" s="383"/>
      <c r="S180" s="380"/>
      <c r="T180" s="189"/>
      <c r="U180" s="189"/>
      <c r="V180" s="189"/>
      <c r="W180" s="383"/>
      <c r="X180" s="380"/>
      <c r="Y180" s="189"/>
      <c r="Z180" s="189"/>
      <c r="AA180" s="189"/>
      <c r="AB180" s="383"/>
    </row>
    <row r="181" spans="1:28" ht="18.75" customHeight="1" x14ac:dyDescent="0.2">
      <c r="A181" s="394"/>
      <c r="B181" s="162" t="s">
        <v>790</v>
      </c>
      <c r="C181" s="383"/>
      <c r="D181" s="380"/>
      <c r="E181" s="189"/>
      <c r="F181" s="189"/>
      <c r="G181" s="189"/>
      <c r="H181" s="383"/>
      <c r="I181" s="380"/>
      <c r="J181" s="189"/>
      <c r="K181" s="189"/>
      <c r="L181" s="189"/>
      <c r="M181" s="383"/>
      <c r="N181" s="380"/>
      <c r="O181" s="190"/>
      <c r="P181" s="190"/>
      <c r="Q181" s="190"/>
      <c r="R181" s="383"/>
      <c r="S181" s="380"/>
      <c r="T181" s="189"/>
      <c r="U181" s="189"/>
      <c r="V181" s="189"/>
      <c r="W181" s="383"/>
      <c r="X181" s="380"/>
      <c r="Y181" s="189"/>
      <c r="Z181" s="189"/>
      <c r="AA181" s="189"/>
      <c r="AB181" s="383"/>
    </row>
    <row r="182" spans="1:28" ht="18.75" customHeight="1" x14ac:dyDescent="0.2">
      <c r="A182" s="394"/>
      <c r="B182" s="162" t="s">
        <v>696</v>
      </c>
      <c r="C182" s="383"/>
      <c r="D182" s="380"/>
      <c r="E182" s="189"/>
      <c r="F182" s="189"/>
      <c r="G182" s="189"/>
      <c r="H182" s="383"/>
      <c r="I182" s="380"/>
      <c r="J182" s="189"/>
      <c r="K182" s="189"/>
      <c r="L182" s="189"/>
      <c r="M182" s="383"/>
      <c r="N182" s="380"/>
      <c r="O182" s="190"/>
      <c r="P182" s="190"/>
      <c r="Q182" s="190"/>
      <c r="R182" s="383"/>
      <c r="S182" s="380"/>
      <c r="T182" s="189"/>
      <c r="U182" s="189"/>
      <c r="V182" s="189"/>
      <c r="W182" s="383"/>
      <c r="X182" s="380"/>
      <c r="Y182" s="189"/>
      <c r="Z182" s="189"/>
      <c r="AA182" s="189"/>
      <c r="AB182" s="383"/>
    </row>
    <row r="183" spans="1:28" ht="15.75" x14ac:dyDescent="0.2">
      <c r="A183" s="394"/>
      <c r="B183" s="161" t="s">
        <v>382</v>
      </c>
      <c r="C183" s="383"/>
      <c r="D183" s="380"/>
      <c r="E183" s="189"/>
      <c r="F183" s="189"/>
      <c r="G183" s="189"/>
      <c r="H183" s="383"/>
      <c r="I183" s="380"/>
      <c r="J183" s="189"/>
      <c r="K183" s="189"/>
      <c r="L183" s="189"/>
      <c r="M183" s="383"/>
      <c r="N183" s="380"/>
      <c r="O183" s="190"/>
      <c r="P183" s="190"/>
      <c r="Q183" s="190"/>
      <c r="R183" s="383"/>
      <c r="S183" s="380"/>
      <c r="T183" s="189"/>
      <c r="U183" s="189"/>
      <c r="V183" s="189"/>
      <c r="W183" s="383"/>
      <c r="X183" s="380"/>
      <c r="Y183" s="189"/>
      <c r="Z183" s="189"/>
      <c r="AA183" s="189"/>
      <c r="AB183" s="383"/>
    </row>
    <row r="184" spans="1:28" ht="15.75" x14ac:dyDescent="0.2">
      <c r="A184" s="394"/>
      <c r="B184" s="162" t="s">
        <v>790</v>
      </c>
      <c r="C184" s="383"/>
      <c r="D184" s="380"/>
      <c r="E184" s="189"/>
      <c r="F184" s="189"/>
      <c r="G184" s="189"/>
      <c r="H184" s="383"/>
      <c r="I184" s="380"/>
      <c r="J184" s="189"/>
      <c r="K184" s="189"/>
      <c r="L184" s="189"/>
      <c r="M184" s="383"/>
      <c r="N184" s="380"/>
      <c r="O184" s="190"/>
      <c r="P184" s="190"/>
      <c r="Q184" s="190"/>
      <c r="R184" s="383"/>
      <c r="S184" s="380"/>
      <c r="T184" s="189"/>
      <c r="U184" s="189"/>
      <c r="V184" s="189"/>
      <c r="W184" s="383"/>
      <c r="X184" s="380"/>
      <c r="Y184" s="189"/>
      <c r="Z184" s="189"/>
      <c r="AA184" s="189"/>
      <c r="AB184" s="383"/>
    </row>
    <row r="185" spans="1:28" ht="15.75" x14ac:dyDescent="0.2">
      <c r="A185" s="394"/>
      <c r="B185" s="162" t="s">
        <v>795</v>
      </c>
      <c r="C185" s="383"/>
      <c r="D185" s="380"/>
      <c r="E185" s="189"/>
      <c r="F185" s="189"/>
      <c r="G185" s="189"/>
      <c r="H185" s="383"/>
      <c r="I185" s="380"/>
      <c r="J185" s="189"/>
      <c r="K185" s="189"/>
      <c r="L185" s="189"/>
      <c r="M185" s="383"/>
      <c r="N185" s="380"/>
      <c r="O185" s="190"/>
      <c r="P185" s="190"/>
      <c r="Q185" s="190"/>
      <c r="R185" s="383"/>
      <c r="S185" s="380"/>
      <c r="T185" s="189"/>
      <c r="U185" s="189"/>
      <c r="V185" s="189"/>
      <c r="W185" s="383"/>
      <c r="X185" s="380"/>
      <c r="Y185" s="189"/>
      <c r="Z185" s="189"/>
      <c r="AA185" s="189"/>
      <c r="AB185" s="383"/>
    </row>
    <row r="186" spans="1:28" ht="15.75" x14ac:dyDescent="0.2">
      <c r="A186" s="394"/>
      <c r="B186" s="162" t="s">
        <v>796</v>
      </c>
      <c r="C186" s="383"/>
      <c r="D186" s="380"/>
      <c r="E186" s="189"/>
      <c r="F186" s="189"/>
      <c r="G186" s="189"/>
      <c r="H186" s="383"/>
      <c r="I186" s="380"/>
      <c r="J186" s="189"/>
      <c r="K186" s="189"/>
      <c r="L186" s="189"/>
      <c r="M186" s="383"/>
      <c r="N186" s="380"/>
      <c r="O186" s="190"/>
      <c r="P186" s="190"/>
      <c r="Q186" s="190"/>
      <c r="R186" s="383"/>
      <c r="S186" s="380"/>
      <c r="T186" s="189"/>
      <c r="U186" s="189"/>
      <c r="V186" s="189"/>
      <c r="W186" s="383"/>
      <c r="X186" s="380"/>
      <c r="Y186" s="189"/>
      <c r="Z186" s="189"/>
      <c r="AA186" s="189"/>
      <c r="AB186" s="383"/>
    </row>
    <row r="187" spans="1:28" ht="31.5" x14ac:dyDescent="0.2">
      <c r="A187" s="394"/>
      <c r="B187" s="172" t="s">
        <v>797</v>
      </c>
      <c r="C187" s="383"/>
      <c r="D187" s="380"/>
      <c r="E187" s="189"/>
      <c r="F187" s="189"/>
      <c r="G187" s="189"/>
      <c r="H187" s="383"/>
      <c r="I187" s="380"/>
      <c r="J187" s="189"/>
      <c r="K187" s="189"/>
      <c r="L187" s="189"/>
      <c r="M187" s="383"/>
      <c r="N187" s="380"/>
      <c r="O187" s="190"/>
      <c r="P187" s="190"/>
      <c r="Q187" s="190"/>
      <c r="R187" s="383"/>
      <c r="S187" s="380"/>
      <c r="T187" s="189"/>
      <c r="U187" s="189"/>
      <c r="V187" s="189"/>
      <c r="W187" s="383"/>
      <c r="X187" s="380"/>
      <c r="Y187" s="189"/>
      <c r="Z187" s="189"/>
      <c r="AA187" s="189"/>
      <c r="AB187" s="383"/>
    </row>
    <row r="188" spans="1:28" ht="15.75" x14ac:dyDescent="0.2">
      <c r="A188" s="394"/>
      <c r="B188" s="172" t="s">
        <v>798</v>
      </c>
      <c r="C188" s="383"/>
      <c r="D188" s="380"/>
      <c r="E188" s="189"/>
      <c r="F188" s="189"/>
      <c r="G188" s="189"/>
      <c r="H188" s="383"/>
      <c r="I188" s="380"/>
      <c r="J188" s="189"/>
      <c r="K188" s="189"/>
      <c r="L188" s="189"/>
      <c r="M188" s="383"/>
      <c r="N188" s="380"/>
      <c r="O188" s="190"/>
      <c r="P188" s="190"/>
      <c r="Q188" s="190"/>
      <c r="R188" s="383"/>
      <c r="S188" s="380"/>
      <c r="T188" s="189"/>
      <c r="U188" s="189"/>
      <c r="V188" s="189"/>
      <c r="W188" s="383"/>
      <c r="X188" s="380"/>
      <c r="Y188" s="189"/>
      <c r="Z188" s="189"/>
      <c r="AA188" s="189"/>
      <c r="AB188" s="383"/>
    </row>
    <row r="189" spans="1:28" ht="15.75" x14ac:dyDescent="0.2">
      <c r="A189" s="394"/>
      <c r="B189" s="191" t="s">
        <v>599</v>
      </c>
      <c r="C189" s="383"/>
      <c r="D189" s="380"/>
      <c r="E189" s="189"/>
      <c r="F189" s="189"/>
      <c r="G189" s="189"/>
      <c r="H189" s="383"/>
      <c r="I189" s="380"/>
      <c r="J189" s="189"/>
      <c r="K189" s="189"/>
      <c r="L189" s="189"/>
      <c r="M189" s="383"/>
      <c r="N189" s="380"/>
      <c r="O189" s="190"/>
      <c r="P189" s="190"/>
      <c r="Q189" s="190"/>
      <c r="R189" s="383"/>
      <c r="S189" s="380"/>
      <c r="T189" s="189"/>
      <c r="U189" s="189"/>
      <c r="V189" s="189"/>
      <c r="W189" s="383"/>
      <c r="X189" s="380"/>
      <c r="Y189" s="189"/>
      <c r="Z189" s="189"/>
      <c r="AA189" s="189"/>
      <c r="AB189" s="383"/>
    </row>
    <row r="190" spans="1:28" ht="18" customHeight="1" x14ac:dyDescent="0.2">
      <c r="A190" s="192" t="s">
        <v>469</v>
      </c>
      <c r="B190" s="181" t="s">
        <v>372</v>
      </c>
      <c r="C190" s="193">
        <f>D190</f>
        <v>0</v>
      </c>
      <c r="D190" s="166">
        <v>0</v>
      </c>
      <c r="E190" s="194"/>
      <c r="F190" s="194"/>
      <c r="G190" s="194"/>
      <c r="H190" s="193">
        <f>I190</f>
        <v>0</v>
      </c>
      <c r="I190" s="166">
        <v>0</v>
      </c>
      <c r="J190" s="194"/>
      <c r="K190" s="194"/>
      <c r="L190" s="194"/>
      <c r="M190" s="193">
        <f>N190</f>
        <v>10733</v>
      </c>
      <c r="N190" s="166">
        <v>10733</v>
      </c>
      <c r="O190" s="194"/>
      <c r="P190" s="194"/>
      <c r="Q190" s="194"/>
      <c r="R190" s="193">
        <f>S190</f>
        <v>0</v>
      </c>
      <c r="S190" s="166">
        <v>0</v>
      </c>
      <c r="T190" s="194"/>
      <c r="U190" s="194"/>
      <c r="V190" s="194"/>
      <c r="W190" s="193">
        <f>X190</f>
        <v>0</v>
      </c>
      <c r="X190" s="166">
        <v>0</v>
      </c>
      <c r="Y190" s="194"/>
      <c r="Z190" s="194"/>
      <c r="AA190" s="194"/>
      <c r="AB190" s="193">
        <f>C190+H190+M190+R190+W190</f>
        <v>10733</v>
      </c>
    </row>
    <row r="191" spans="1:28" ht="15.75" x14ac:dyDescent="0.2">
      <c r="A191" s="378" t="s">
        <v>562</v>
      </c>
      <c r="B191" s="172" t="s">
        <v>568</v>
      </c>
      <c r="C191" s="402">
        <f>D191</f>
        <v>0</v>
      </c>
      <c r="D191" s="414">
        <v>0</v>
      </c>
      <c r="E191" s="195"/>
      <c r="F191" s="195"/>
      <c r="G191" s="195"/>
      <c r="H191" s="402">
        <f>I191</f>
        <v>0</v>
      </c>
      <c r="I191" s="414">
        <v>0</v>
      </c>
      <c r="J191" s="195"/>
      <c r="K191" s="195"/>
      <c r="L191" s="195"/>
      <c r="M191" s="402">
        <f>N191</f>
        <v>296</v>
      </c>
      <c r="N191" s="414">
        <f>486-190</f>
        <v>296</v>
      </c>
      <c r="O191" s="195"/>
      <c r="P191" s="195"/>
      <c r="Q191" s="195"/>
      <c r="R191" s="402">
        <f>S191</f>
        <v>0</v>
      </c>
      <c r="S191" s="414">
        <v>0</v>
      </c>
      <c r="T191" s="195"/>
      <c r="U191" s="195"/>
      <c r="V191" s="195"/>
      <c r="W191" s="402">
        <f>X191</f>
        <v>0</v>
      </c>
      <c r="X191" s="414">
        <v>0</v>
      </c>
      <c r="Y191" s="195"/>
      <c r="Z191" s="195"/>
      <c r="AA191" s="195"/>
      <c r="AB191" s="402">
        <f>C191+H191+M191+R191+W191</f>
        <v>296</v>
      </c>
    </row>
    <row r="192" spans="1:28" ht="15.75" x14ac:dyDescent="0.2">
      <c r="A192" s="378"/>
      <c r="B192" s="196" t="s">
        <v>329</v>
      </c>
      <c r="C192" s="402"/>
      <c r="D192" s="414"/>
      <c r="E192" s="195"/>
      <c r="F192" s="195"/>
      <c r="G192" s="195"/>
      <c r="H192" s="402"/>
      <c r="I192" s="414"/>
      <c r="J192" s="195"/>
      <c r="K192" s="195"/>
      <c r="L192" s="195"/>
      <c r="M192" s="402"/>
      <c r="N192" s="414"/>
      <c r="O192" s="195"/>
      <c r="P192" s="195"/>
      <c r="Q192" s="195"/>
      <c r="R192" s="402"/>
      <c r="S192" s="414"/>
      <c r="T192" s="195"/>
      <c r="U192" s="195"/>
      <c r="V192" s="195"/>
      <c r="W192" s="402"/>
      <c r="X192" s="414"/>
      <c r="Y192" s="195"/>
      <c r="Z192" s="195"/>
      <c r="AA192" s="195"/>
      <c r="AB192" s="402"/>
    </row>
    <row r="193" spans="1:30" ht="15.75" x14ac:dyDescent="0.2">
      <c r="A193" s="378"/>
      <c r="B193" s="197" t="s">
        <v>804</v>
      </c>
      <c r="C193" s="402"/>
      <c r="D193" s="414"/>
      <c r="E193" s="195"/>
      <c r="F193" s="195"/>
      <c r="G193" s="195"/>
      <c r="H193" s="402"/>
      <c r="I193" s="414"/>
      <c r="J193" s="195"/>
      <c r="K193" s="195"/>
      <c r="L193" s="195"/>
      <c r="M193" s="402"/>
      <c r="N193" s="414"/>
      <c r="O193" s="195"/>
      <c r="P193" s="195"/>
      <c r="Q193" s="195"/>
      <c r="R193" s="402"/>
      <c r="S193" s="414"/>
      <c r="T193" s="195"/>
      <c r="U193" s="195"/>
      <c r="V193" s="195"/>
      <c r="W193" s="402"/>
      <c r="X193" s="414"/>
      <c r="Y193" s="195"/>
      <c r="Z193" s="195"/>
      <c r="AA193" s="195"/>
      <c r="AB193" s="402"/>
    </row>
    <row r="194" spans="1:30" ht="25.5" customHeight="1" x14ac:dyDescent="0.2">
      <c r="A194" s="147" t="s">
        <v>600</v>
      </c>
      <c r="B194" s="181" t="s">
        <v>626</v>
      </c>
      <c r="C194" s="182">
        <v>0</v>
      </c>
      <c r="D194" s="160">
        <v>0</v>
      </c>
      <c r="E194" s="195"/>
      <c r="F194" s="195"/>
      <c r="G194" s="195"/>
      <c r="H194" s="182">
        <v>0</v>
      </c>
      <c r="I194" s="160">
        <v>0</v>
      </c>
      <c r="J194" s="195"/>
      <c r="K194" s="195"/>
      <c r="L194" s="195"/>
      <c r="M194" s="182">
        <v>0</v>
      </c>
      <c r="N194" s="160">
        <v>0</v>
      </c>
      <c r="O194" s="195"/>
      <c r="P194" s="195"/>
      <c r="Q194" s="195"/>
      <c r="R194" s="182">
        <f>S194</f>
        <v>993</v>
      </c>
      <c r="S194" s="160">
        <v>993</v>
      </c>
      <c r="T194" s="195"/>
      <c r="U194" s="195"/>
      <c r="V194" s="195"/>
      <c r="W194" s="182">
        <f>X194</f>
        <v>1000</v>
      </c>
      <c r="X194" s="160">
        <v>1000</v>
      </c>
      <c r="Y194" s="195"/>
      <c r="Z194" s="195"/>
      <c r="AA194" s="195"/>
      <c r="AB194" s="182">
        <f>R194+W194</f>
        <v>1993</v>
      </c>
    </row>
    <row r="195" spans="1:30" ht="42" customHeight="1" x14ac:dyDescent="0.2">
      <c r="A195" s="198" t="s">
        <v>10</v>
      </c>
      <c r="B195" s="403" t="s">
        <v>470</v>
      </c>
      <c r="C195" s="404"/>
      <c r="D195" s="404"/>
      <c r="E195" s="404"/>
      <c r="F195" s="404"/>
      <c r="G195" s="404"/>
      <c r="H195" s="404"/>
      <c r="I195" s="404"/>
      <c r="J195" s="404"/>
      <c r="K195" s="404"/>
      <c r="L195" s="404"/>
      <c r="M195" s="404"/>
      <c r="N195" s="404"/>
      <c r="O195" s="404"/>
      <c r="P195" s="404"/>
      <c r="Q195" s="404"/>
      <c r="R195" s="404"/>
      <c r="S195" s="404"/>
      <c r="T195" s="404"/>
      <c r="U195" s="404"/>
      <c r="V195" s="404"/>
      <c r="W195" s="404"/>
      <c r="X195" s="404"/>
      <c r="Y195" s="404"/>
      <c r="Z195" s="404"/>
      <c r="AA195" s="404"/>
      <c r="AB195" s="404"/>
      <c r="AC195" s="74"/>
      <c r="AD195" s="75"/>
    </row>
    <row r="196" spans="1:30" ht="15" customHeight="1" x14ac:dyDescent="0.2">
      <c r="A196" s="391" t="s">
        <v>11</v>
      </c>
      <c r="B196" s="158" t="s">
        <v>228</v>
      </c>
      <c r="C196" s="382">
        <f>D196</f>
        <v>51269</v>
      </c>
      <c r="D196" s="379">
        <v>51269</v>
      </c>
      <c r="E196" s="199"/>
      <c r="F196" s="199"/>
      <c r="G196" s="199"/>
      <c r="H196" s="382">
        <f>I196</f>
        <v>13924</v>
      </c>
      <c r="I196" s="379">
        <f>13924</f>
        <v>13924</v>
      </c>
      <c r="J196" s="199"/>
      <c r="K196" s="199"/>
      <c r="L196" s="199"/>
      <c r="M196" s="382">
        <f>N196</f>
        <v>35262</v>
      </c>
      <c r="N196" s="379">
        <f>11888+2036+1353+2370+4401+11012+1873+329</f>
        <v>35262</v>
      </c>
      <c r="O196" s="200"/>
      <c r="P196" s="200"/>
      <c r="Q196" s="200"/>
      <c r="R196" s="382">
        <f>S196</f>
        <v>44903</v>
      </c>
      <c r="S196" s="379">
        <f>13924-11424+9529+1838+109+31404-2310+2310-477</f>
        <v>44903</v>
      </c>
      <c r="T196" s="199"/>
      <c r="U196" s="199"/>
      <c r="V196" s="199"/>
      <c r="W196" s="382">
        <f>X196</f>
        <v>10769</v>
      </c>
      <c r="X196" s="379">
        <f>29000+781-27281-2+8271</f>
        <v>10769</v>
      </c>
      <c r="Y196" s="199"/>
      <c r="Z196" s="199"/>
      <c r="AA196" s="199"/>
      <c r="AB196" s="382">
        <f>C196+H196+M196+R196+W196</f>
        <v>156127</v>
      </c>
    </row>
    <row r="197" spans="1:30" ht="15" customHeight="1" x14ac:dyDescent="0.2">
      <c r="A197" s="392"/>
      <c r="B197" s="161" t="s">
        <v>156</v>
      </c>
      <c r="C197" s="383"/>
      <c r="D197" s="380"/>
      <c r="E197" s="199"/>
      <c r="F197" s="199"/>
      <c r="G197" s="199"/>
      <c r="H197" s="383"/>
      <c r="I197" s="380"/>
      <c r="J197" s="199"/>
      <c r="K197" s="199"/>
      <c r="L197" s="199"/>
      <c r="M197" s="383"/>
      <c r="N197" s="380"/>
      <c r="O197" s="200"/>
      <c r="P197" s="200"/>
      <c r="Q197" s="200"/>
      <c r="R197" s="383"/>
      <c r="S197" s="380"/>
      <c r="T197" s="199"/>
      <c r="U197" s="199"/>
      <c r="V197" s="199"/>
      <c r="W197" s="383"/>
      <c r="X197" s="380"/>
      <c r="Y197" s="199"/>
      <c r="Z197" s="199"/>
      <c r="AA197" s="199"/>
      <c r="AB197" s="383"/>
    </row>
    <row r="198" spans="1:30" ht="15" customHeight="1" x14ac:dyDescent="0.2">
      <c r="A198" s="392"/>
      <c r="B198" s="162" t="s">
        <v>805</v>
      </c>
      <c r="C198" s="383"/>
      <c r="D198" s="380"/>
      <c r="E198" s="199"/>
      <c r="F198" s="199"/>
      <c r="G198" s="199"/>
      <c r="H198" s="383"/>
      <c r="I198" s="380"/>
      <c r="J198" s="199"/>
      <c r="K198" s="199"/>
      <c r="L198" s="199"/>
      <c r="M198" s="383"/>
      <c r="N198" s="380"/>
      <c r="O198" s="200"/>
      <c r="P198" s="200"/>
      <c r="Q198" s="200"/>
      <c r="R198" s="383"/>
      <c r="S198" s="380"/>
      <c r="T198" s="199"/>
      <c r="U198" s="199"/>
      <c r="V198" s="199"/>
      <c r="W198" s="383"/>
      <c r="X198" s="380"/>
      <c r="Y198" s="199"/>
      <c r="Z198" s="199"/>
      <c r="AA198" s="199"/>
      <c r="AB198" s="383"/>
    </row>
    <row r="199" spans="1:30" ht="18" customHeight="1" x14ac:dyDescent="0.2">
      <c r="A199" s="392"/>
      <c r="B199" s="162" t="s">
        <v>806</v>
      </c>
      <c r="C199" s="383"/>
      <c r="D199" s="380"/>
      <c r="E199" s="199"/>
      <c r="F199" s="199"/>
      <c r="G199" s="199"/>
      <c r="H199" s="383"/>
      <c r="I199" s="380"/>
      <c r="J199" s="199"/>
      <c r="K199" s="199"/>
      <c r="L199" s="199"/>
      <c r="M199" s="383"/>
      <c r="N199" s="380"/>
      <c r="O199" s="200"/>
      <c r="P199" s="200"/>
      <c r="Q199" s="200"/>
      <c r="R199" s="383"/>
      <c r="S199" s="380"/>
      <c r="T199" s="199"/>
      <c r="U199" s="199"/>
      <c r="V199" s="199"/>
      <c r="W199" s="383"/>
      <c r="X199" s="380"/>
      <c r="Y199" s="199"/>
      <c r="Z199" s="199"/>
      <c r="AA199" s="199"/>
      <c r="AB199" s="383"/>
    </row>
    <row r="200" spans="1:30" ht="18" customHeight="1" x14ac:dyDescent="0.2">
      <c r="A200" s="392"/>
      <c r="B200" s="162" t="s">
        <v>807</v>
      </c>
      <c r="C200" s="383"/>
      <c r="D200" s="380"/>
      <c r="E200" s="199"/>
      <c r="F200" s="199"/>
      <c r="G200" s="199"/>
      <c r="H200" s="383"/>
      <c r="I200" s="380"/>
      <c r="J200" s="199"/>
      <c r="K200" s="199"/>
      <c r="L200" s="199"/>
      <c r="M200" s="383"/>
      <c r="N200" s="380"/>
      <c r="O200" s="200"/>
      <c r="P200" s="200"/>
      <c r="Q200" s="200"/>
      <c r="R200" s="383"/>
      <c r="S200" s="380"/>
      <c r="T200" s="199"/>
      <c r="U200" s="199"/>
      <c r="V200" s="199"/>
      <c r="W200" s="383"/>
      <c r="X200" s="380"/>
      <c r="Y200" s="199"/>
      <c r="Z200" s="199"/>
      <c r="AA200" s="199"/>
      <c r="AB200" s="383"/>
    </row>
    <row r="201" spans="1:30" ht="18" customHeight="1" x14ac:dyDescent="0.2">
      <c r="A201" s="392"/>
      <c r="B201" s="162" t="s">
        <v>808</v>
      </c>
      <c r="C201" s="383"/>
      <c r="D201" s="380"/>
      <c r="E201" s="199"/>
      <c r="F201" s="199"/>
      <c r="G201" s="199"/>
      <c r="H201" s="383"/>
      <c r="I201" s="380"/>
      <c r="J201" s="199"/>
      <c r="K201" s="199"/>
      <c r="L201" s="199"/>
      <c r="M201" s="383"/>
      <c r="N201" s="380"/>
      <c r="O201" s="200"/>
      <c r="P201" s="200"/>
      <c r="Q201" s="200"/>
      <c r="R201" s="383"/>
      <c r="S201" s="380"/>
      <c r="T201" s="199"/>
      <c r="U201" s="199"/>
      <c r="V201" s="199"/>
      <c r="W201" s="383"/>
      <c r="X201" s="380"/>
      <c r="Y201" s="199"/>
      <c r="Z201" s="199"/>
      <c r="AA201" s="199"/>
      <c r="AB201" s="383"/>
    </row>
    <row r="202" spans="1:30" ht="18" customHeight="1" x14ac:dyDescent="0.2">
      <c r="A202" s="390"/>
      <c r="B202" s="162" t="s">
        <v>809</v>
      </c>
      <c r="C202" s="383"/>
      <c r="D202" s="380"/>
      <c r="E202" s="199"/>
      <c r="F202" s="199"/>
      <c r="G202" s="199"/>
      <c r="H202" s="383"/>
      <c r="I202" s="380"/>
      <c r="J202" s="199"/>
      <c r="K202" s="199"/>
      <c r="L202" s="199"/>
      <c r="M202" s="383"/>
      <c r="N202" s="380"/>
      <c r="O202" s="200"/>
      <c r="P202" s="200"/>
      <c r="Q202" s="200"/>
      <c r="R202" s="386"/>
      <c r="S202" s="385"/>
      <c r="T202" s="200"/>
      <c r="U202" s="200"/>
      <c r="V202" s="200"/>
      <c r="W202" s="386"/>
      <c r="X202" s="385"/>
      <c r="Y202" s="200"/>
      <c r="Z202" s="200"/>
      <c r="AA202" s="200"/>
      <c r="AB202" s="386"/>
    </row>
    <row r="203" spans="1:30" ht="15" customHeight="1" x14ac:dyDescent="0.2">
      <c r="A203" s="390"/>
      <c r="B203" s="162" t="s">
        <v>810</v>
      </c>
      <c r="C203" s="383"/>
      <c r="D203" s="380"/>
      <c r="E203" s="199"/>
      <c r="F203" s="199"/>
      <c r="G203" s="199"/>
      <c r="H203" s="383"/>
      <c r="I203" s="380"/>
      <c r="J203" s="199"/>
      <c r="K203" s="199"/>
      <c r="L203" s="199"/>
      <c r="M203" s="383"/>
      <c r="N203" s="380"/>
      <c r="O203" s="200"/>
      <c r="P203" s="200"/>
      <c r="Q203" s="200"/>
      <c r="R203" s="386"/>
      <c r="S203" s="385"/>
      <c r="T203" s="200"/>
      <c r="U203" s="200"/>
      <c r="V203" s="200"/>
      <c r="W203" s="386"/>
      <c r="X203" s="385"/>
      <c r="Y203" s="200"/>
      <c r="Z203" s="200"/>
      <c r="AA203" s="200"/>
      <c r="AB203" s="386"/>
    </row>
    <row r="204" spans="1:30" ht="18" customHeight="1" x14ac:dyDescent="0.2">
      <c r="A204" s="390"/>
      <c r="B204" s="162" t="s">
        <v>811</v>
      </c>
      <c r="C204" s="383"/>
      <c r="D204" s="380"/>
      <c r="E204" s="199"/>
      <c r="F204" s="199"/>
      <c r="G204" s="199"/>
      <c r="H204" s="383"/>
      <c r="I204" s="380"/>
      <c r="J204" s="199"/>
      <c r="K204" s="199"/>
      <c r="L204" s="199"/>
      <c r="M204" s="383"/>
      <c r="N204" s="380"/>
      <c r="O204" s="200"/>
      <c r="P204" s="200"/>
      <c r="Q204" s="200"/>
      <c r="R204" s="386"/>
      <c r="S204" s="385"/>
      <c r="T204" s="200"/>
      <c r="U204" s="200"/>
      <c r="V204" s="200"/>
      <c r="W204" s="386"/>
      <c r="X204" s="385"/>
      <c r="Y204" s="200"/>
      <c r="Z204" s="200"/>
      <c r="AA204" s="200"/>
      <c r="AB204" s="386"/>
    </row>
    <row r="205" spans="1:30" ht="18.75" customHeight="1" x14ac:dyDescent="0.2">
      <c r="A205" s="390"/>
      <c r="B205" s="162" t="s">
        <v>812</v>
      </c>
      <c r="C205" s="383"/>
      <c r="D205" s="380"/>
      <c r="E205" s="199"/>
      <c r="F205" s="199"/>
      <c r="G205" s="199"/>
      <c r="H205" s="383"/>
      <c r="I205" s="380"/>
      <c r="J205" s="199"/>
      <c r="K205" s="199"/>
      <c r="L205" s="199"/>
      <c r="M205" s="383"/>
      <c r="N205" s="380"/>
      <c r="O205" s="200"/>
      <c r="P205" s="200"/>
      <c r="Q205" s="200"/>
      <c r="R205" s="386"/>
      <c r="S205" s="385"/>
      <c r="T205" s="200"/>
      <c r="U205" s="200"/>
      <c r="V205" s="200"/>
      <c r="W205" s="386"/>
      <c r="X205" s="385"/>
      <c r="Y205" s="200"/>
      <c r="Z205" s="200"/>
      <c r="AA205" s="200"/>
      <c r="AB205" s="386"/>
    </row>
    <row r="206" spans="1:30" ht="15.75" customHeight="1" x14ac:dyDescent="0.2">
      <c r="A206" s="390"/>
      <c r="B206" s="162" t="s">
        <v>813</v>
      </c>
      <c r="C206" s="383"/>
      <c r="D206" s="380"/>
      <c r="E206" s="199"/>
      <c r="F206" s="199"/>
      <c r="G206" s="199"/>
      <c r="H206" s="383"/>
      <c r="I206" s="380"/>
      <c r="J206" s="199"/>
      <c r="K206" s="199"/>
      <c r="L206" s="199"/>
      <c r="M206" s="383"/>
      <c r="N206" s="380"/>
      <c r="O206" s="200"/>
      <c r="P206" s="200"/>
      <c r="Q206" s="200"/>
      <c r="R206" s="386"/>
      <c r="S206" s="385"/>
      <c r="T206" s="200"/>
      <c r="U206" s="200"/>
      <c r="V206" s="200"/>
      <c r="W206" s="386"/>
      <c r="X206" s="385"/>
      <c r="Y206" s="200"/>
      <c r="Z206" s="200"/>
      <c r="AA206" s="200"/>
      <c r="AB206" s="386"/>
    </row>
    <row r="207" spans="1:30" ht="15" customHeight="1" x14ac:dyDescent="0.2">
      <c r="A207" s="390"/>
      <c r="B207" s="162" t="s">
        <v>814</v>
      </c>
      <c r="C207" s="383"/>
      <c r="D207" s="380"/>
      <c r="E207" s="199"/>
      <c r="F207" s="199"/>
      <c r="G207" s="199"/>
      <c r="H207" s="383"/>
      <c r="I207" s="380"/>
      <c r="J207" s="199"/>
      <c r="K207" s="199"/>
      <c r="L207" s="199"/>
      <c r="M207" s="383"/>
      <c r="N207" s="380"/>
      <c r="O207" s="200"/>
      <c r="P207" s="200"/>
      <c r="Q207" s="200"/>
      <c r="R207" s="386"/>
      <c r="S207" s="385"/>
      <c r="T207" s="200"/>
      <c r="U207" s="200"/>
      <c r="V207" s="200"/>
      <c r="W207" s="386"/>
      <c r="X207" s="385"/>
      <c r="Y207" s="200"/>
      <c r="Z207" s="200"/>
      <c r="AA207" s="200"/>
      <c r="AB207" s="386"/>
    </row>
    <row r="208" spans="1:30" ht="12" customHeight="1" x14ac:dyDescent="0.2">
      <c r="A208" s="390"/>
      <c r="B208" s="162" t="s">
        <v>815</v>
      </c>
      <c r="C208" s="383"/>
      <c r="D208" s="380"/>
      <c r="E208" s="199"/>
      <c r="F208" s="199"/>
      <c r="G208" s="199"/>
      <c r="H208" s="383"/>
      <c r="I208" s="380"/>
      <c r="J208" s="199"/>
      <c r="K208" s="199"/>
      <c r="L208" s="199"/>
      <c r="M208" s="383"/>
      <c r="N208" s="380"/>
      <c r="O208" s="200"/>
      <c r="P208" s="200"/>
      <c r="Q208" s="200"/>
      <c r="R208" s="386"/>
      <c r="S208" s="385"/>
      <c r="T208" s="200"/>
      <c r="U208" s="200"/>
      <c r="V208" s="200"/>
      <c r="W208" s="386"/>
      <c r="X208" s="385"/>
      <c r="Y208" s="200"/>
      <c r="Z208" s="200"/>
      <c r="AA208" s="200"/>
      <c r="AB208" s="386"/>
    </row>
    <row r="209" spans="1:28" ht="18" customHeight="1" x14ac:dyDescent="0.2">
      <c r="A209" s="390"/>
      <c r="B209" s="162" t="s">
        <v>816</v>
      </c>
      <c r="C209" s="383"/>
      <c r="D209" s="380"/>
      <c r="E209" s="199"/>
      <c r="F209" s="199"/>
      <c r="G209" s="199"/>
      <c r="H209" s="383"/>
      <c r="I209" s="380"/>
      <c r="J209" s="199"/>
      <c r="K209" s="199"/>
      <c r="L209" s="199"/>
      <c r="M209" s="383"/>
      <c r="N209" s="380"/>
      <c r="O209" s="200"/>
      <c r="P209" s="200"/>
      <c r="Q209" s="200"/>
      <c r="R209" s="386"/>
      <c r="S209" s="385"/>
      <c r="T209" s="200"/>
      <c r="U209" s="200"/>
      <c r="V209" s="200"/>
      <c r="W209" s="386"/>
      <c r="X209" s="385"/>
      <c r="Y209" s="200"/>
      <c r="Z209" s="200"/>
      <c r="AA209" s="200"/>
      <c r="AB209" s="386"/>
    </row>
    <row r="210" spans="1:28" ht="18" customHeight="1" x14ac:dyDescent="0.2">
      <c r="A210" s="390"/>
      <c r="B210" s="162" t="s">
        <v>817</v>
      </c>
      <c r="C210" s="383"/>
      <c r="D210" s="380"/>
      <c r="E210" s="199"/>
      <c r="F210" s="199"/>
      <c r="G210" s="199"/>
      <c r="H210" s="383"/>
      <c r="I210" s="380"/>
      <c r="J210" s="199"/>
      <c r="K210" s="199"/>
      <c r="L210" s="199"/>
      <c r="M210" s="383"/>
      <c r="N210" s="380"/>
      <c r="O210" s="200"/>
      <c r="P210" s="200"/>
      <c r="Q210" s="200"/>
      <c r="R210" s="386"/>
      <c r="S210" s="385"/>
      <c r="T210" s="200"/>
      <c r="U210" s="200"/>
      <c r="V210" s="200"/>
      <c r="W210" s="386"/>
      <c r="X210" s="385"/>
      <c r="Y210" s="200"/>
      <c r="Z210" s="200"/>
      <c r="AA210" s="200"/>
      <c r="AB210" s="386"/>
    </row>
    <row r="211" spans="1:28" ht="18" customHeight="1" x14ac:dyDescent="0.2">
      <c r="A211" s="390"/>
      <c r="B211" s="162" t="s">
        <v>818</v>
      </c>
      <c r="C211" s="383"/>
      <c r="D211" s="380"/>
      <c r="E211" s="199"/>
      <c r="F211" s="199"/>
      <c r="G211" s="199"/>
      <c r="H211" s="383"/>
      <c r="I211" s="380"/>
      <c r="J211" s="199"/>
      <c r="K211" s="199"/>
      <c r="L211" s="199"/>
      <c r="M211" s="383"/>
      <c r="N211" s="380"/>
      <c r="O211" s="200"/>
      <c r="P211" s="200"/>
      <c r="Q211" s="200"/>
      <c r="R211" s="386"/>
      <c r="S211" s="385"/>
      <c r="T211" s="200"/>
      <c r="U211" s="200"/>
      <c r="V211" s="200"/>
      <c r="W211" s="386"/>
      <c r="X211" s="385"/>
      <c r="Y211" s="200"/>
      <c r="Z211" s="200"/>
      <c r="AA211" s="200"/>
      <c r="AB211" s="386"/>
    </row>
    <row r="212" spans="1:28" ht="18" customHeight="1" x14ac:dyDescent="0.2">
      <c r="A212" s="390"/>
      <c r="B212" s="162" t="s">
        <v>819</v>
      </c>
      <c r="C212" s="383"/>
      <c r="D212" s="380"/>
      <c r="E212" s="199"/>
      <c r="F212" s="199"/>
      <c r="G212" s="199"/>
      <c r="H212" s="383"/>
      <c r="I212" s="380"/>
      <c r="J212" s="199"/>
      <c r="K212" s="199"/>
      <c r="L212" s="199"/>
      <c r="M212" s="383"/>
      <c r="N212" s="380"/>
      <c r="O212" s="200"/>
      <c r="P212" s="200"/>
      <c r="Q212" s="200"/>
      <c r="R212" s="386"/>
      <c r="S212" s="385"/>
      <c r="T212" s="200"/>
      <c r="U212" s="200"/>
      <c r="V212" s="200"/>
      <c r="W212" s="386"/>
      <c r="X212" s="385"/>
      <c r="Y212" s="200"/>
      <c r="Z212" s="200"/>
      <c r="AA212" s="200"/>
      <c r="AB212" s="386"/>
    </row>
    <row r="213" spans="1:28" ht="18" customHeight="1" x14ac:dyDescent="0.2">
      <c r="A213" s="390"/>
      <c r="B213" s="172" t="s">
        <v>820</v>
      </c>
      <c r="C213" s="383"/>
      <c r="D213" s="380"/>
      <c r="E213" s="199"/>
      <c r="F213" s="199"/>
      <c r="G213" s="199"/>
      <c r="H213" s="383"/>
      <c r="I213" s="380"/>
      <c r="J213" s="199"/>
      <c r="K213" s="199"/>
      <c r="L213" s="199"/>
      <c r="M213" s="383"/>
      <c r="N213" s="380"/>
      <c r="O213" s="200"/>
      <c r="P213" s="200"/>
      <c r="Q213" s="200"/>
      <c r="R213" s="386"/>
      <c r="S213" s="385"/>
      <c r="T213" s="200"/>
      <c r="U213" s="200"/>
      <c r="V213" s="200"/>
      <c r="W213" s="386"/>
      <c r="X213" s="385"/>
      <c r="Y213" s="200"/>
      <c r="Z213" s="200"/>
      <c r="AA213" s="200"/>
      <c r="AB213" s="386"/>
    </row>
    <row r="214" spans="1:28" ht="18" customHeight="1" x14ac:dyDescent="0.2">
      <c r="A214" s="390"/>
      <c r="B214" s="162" t="s">
        <v>821</v>
      </c>
      <c r="C214" s="383"/>
      <c r="D214" s="380"/>
      <c r="E214" s="199"/>
      <c r="F214" s="199"/>
      <c r="G214" s="199"/>
      <c r="H214" s="383"/>
      <c r="I214" s="380"/>
      <c r="J214" s="199"/>
      <c r="K214" s="199"/>
      <c r="L214" s="199"/>
      <c r="M214" s="383"/>
      <c r="N214" s="380"/>
      <c r="O214" s="200"/>
      <c r="P214" s="200"/>
      <c r="Q214" s="200"/>
      <c r="R214" s="386"/>
      <c r="S214" s="385"/>
      <c r="T214" s="200"/>
      <c r="U214" s="200"/>
      <c r="V214" s="200"/>
      <c r="W214" s="386"/>
      <c r="X214" s="385"/>
      <c r="Y214" s="200"/>
      <c r="Z214" s="200"/>
      <c r="AA214" s="200"/>
      <c r="AB214" s="386"/>
    </row>
    <row r="215" spans="1:28" ht="18" customHeight="1" x14ac:dyDescent="0.2">
      <c r="A215" s="390"/>
      <c r="B215" s="162" t="s">
        <v>822</v>
      </c>
      <c r="C215" s="383"/>
      <c r="D215" s="380"/>
      <c r="E215" s="199"/>
      <c r="F215" s="199"/>
      <c r="G215" s="199"/>
      <c r="H215" s="383"/>
      <c r="I215" s="380"/>
      <c r="J215" s="199"/>
      <c r="K215" s="199"/>
      <c r="L215" s="199"/>
      <c r="M215" s="383"/>
      <c r="N215" s="380"/>
      <c r="O215" s="200"/>
      <c r="P215" s="200"/>
      <c r="Q215" s="200"/>
      <c r="R215" s="386"/>
      <c r="S215" s="385"/>
      <c r="T215" s="200"/>
      <c r="U215" s="200"/>
      <c r="V215" s="200"/>
      <c r="W215" s="386"/>
      <c r="X215" s="385"/>
      <c r="Y215" s="200"/>
      <c r="Z215" s="200"/>
      <c r="AA215" s="200"/>
      <c r="AB215" s="386"/>
    </row>
    <row r="216" spans="1:28" ht="18" customHeight="1" x14ac:dyDescent="0.2">
      <c r="A216" s="390"/>
      <c r="B216" s="162" t="s">
        <v>823</v>
      </c>
      <c r="C216" s="383"/>
      <c r="D216" s="380"/>
      <c r="E216" s="199"/>
      <c r="F216" s="199"/>
      <c r="G216" s="199"/>
      <c r="H216" s="383"/>
      <c r="I216" s="380"/>
      <c r="J216" s="199"/>
      <c r="K216" s="199"/>
      <c r="L216" s="199"/>
      <c r="M216" s="383"/>
      <c r="N216" s="380"/>
      <c r="O216" s="200"/>
      <c r="P216" s="200"/>
      <c r="Q216" s="200"/>
      <c r="R216" s="386"/>
      <c r="S216" s="385"/>
      <c r="T216" s="200"/>
      <c r="U216" s="200"/>
      <c r="V216" s="200"/>
      <c r="W216" s="386"/>
      <c r="X216" s="385"/>
      <c r="Y216" s="200"/>
      <c r="Z216" s="200"/>
      <c r="AA216" s="200"/>
      <c r="AB216" s="386"/>
    </row>
    <row r="217" spans="1:28" ht="18" customHeight="1" x14ac:dyDescent="0.2">
      <c r="A217" s="390"/>
      <c r="B217" s="162" t="s">
        <v>824</v>
      </c>
      <c r="C217" s="383"/>
      <c r="D217" s="380"/>
      <c r="E217" s="199"/>
      <c r="F217" s="199"/>
      <c r="G217" s="199"/>
      <c r="H217" s="383"/>
      <c r="I217" s="380"/>
      <c r="J217" s="199"/>
      <c r="K217" s="199"/>
      <c r="L217" s="199"/>
      <c r="M217" s="383"/>
      <c r="N217" s="380"/>
      <c r="O217" s="200"/>
      <c r="P217" s="200"/>
      <c r="Q217" s="200"/>
      <c r="R217" s="386"/>
      <c r="S217" s="385"/>
      <c r="T217" s="200"/>
      <c r="U217" s="200"/>
      <c r="V217" s="200"/>
      <c r="W217" s="386"/>
      <c r="X217" s="385"/>
      <c r="Y217" s="200"/>
      <c r="Z217" s="200"/>
      <c r="AA217" s="200"/>
      <c r="AB217" s="386"/>
    </row>
    <row r="218" spans="1:28" ht="18" customHeight="1" x14ac:dyDescent="0.2">
      <c r="A218" s="390"/>
      <c r="B218" s="162" t="s">
        <v>831</v>
      </c>
      <c r="C218" s="383"/>
      <c r="D218" s="380"/>
      <c r="E218" s="199"/>
      <c r="F218" s="199"/>
      <c r="G218" s="199"/>
      <c r="H218" s="383"/>
      <c r="I218" s="380"/>
      <c r="J218" s="199"/>
      <c r="K218" s="199"/>
      <c r="L218" s="199"/>
      <c r="M218" s="383"/>
      <c r="N218" s="380"/>
      <c r="O218" s="200"/>
      <c r="P218" s="200"/>
      <c r="Q218" s="200"/>
      <c r="R218" s="386"/>
      <c r="S218" s="385"/>
      <c r="T218" s="200"/>
      <c r="U218" s="200"/>
      <c r="V218" s="200"/>
      <c r="W218" s="386"/>
      <c r="X218" s="385"/>
      <c r="Y218" s="200"/>
      <c r="Z218" s="200"/>
      <c r="AA218" s="200"/>
      <c r="AB218" s="386"/>
    </row>
    <row r="219" spans="1:28" ht="18" customHeight="1" x14ac:dyDescent="0.2">
      <c r="A219" s="390"/>
      <c r="B219" s="162" t="s">
        <v>825</v>
      </c>
      <c r="C219" s="383"/>
      <c r="D219" s="380"/>
      <c r="E219" s="199"/>
      <c r="F219" s="199"/>
      <c r="G219" s="199"/>
      <c r="H219" s="383"/>
      <c r="I219" s="380"/>
      <c r="J219" s="199"/>
      <c r="K219" s="199"/>
      <c r="L219" s="199"/>
      <c r="M219" s="383"/>
      <c r="N219" s="380"/>
      <c r="O219" s="200"/>
      <c r="P219" s="200"/>
      <c r="Q219" s="200"/>
      <c r="R219" s="386"/>
      <c r="S219" s="385"/>
      <c r="T219" s="200"/>
      <c r="U219" s="200"/>
      <c r="V219" s="200"/>
      <c r="W219" s="386"/>
      <c r="X219" s="385"/>
      <c r="Y219" s="200"/>
      <c r="Z219" s="200"/>
      <c r="AA219" s="200"/>
      <c r="AB219" s="386"/>
    </row>
    <row r="220" spans="1:28" ht="20.25" customHeight="1" x14ac:dyDescent="0.2">
      <c r="A220" s="390"/>
      <c r="B220" s="162" t="s">
        <v>826</v>
      </c>
      <c r="C220" s="383"/>
      <c r="D220" s="380"/>
      <c r="E220" s="199"/>
      <c r="F220" s="199"/>
      <c r="G220" s="199"/>
      <c r="H220" s="383"/>
      <c r="I220" s="380"/>
      <c r="J220" s="199"/>
      <c r="K220" s="199"/>
      <c r="L220" s="199"/>
      <c r="M220" s="383"/>
      <c r="N220" s="380"/>
      <c r="O220" s="200"/>
      <c r="P220" s="200"/>
      <c r="Q220" s="200"/>
      <c r="R220" s="386"/>
      <c r="S220" s="385"/>
      <c r="T220" s="200"/>
      <c r="U220" s="200"/>
      <c r="V220" s="200"/>
      <c r="W220" s="386"/>
      <c r="X220" s="385"/>
      <c r="Y220" s="200"/>
      <c r="Z220" s="200"/>
      <c r="AA220" s="200"/>
      <c r="AB220" s="386"/>
    </row>
    <row r="221" spans="1:28" ht="18" customHeight="1" x14ac:dyDescent="0.2">
      <c r="A221" s="390"/>
      <c r="B221" s="162" t="s">
        <v>827</v>
      </c>
      <c r="C221" s="383"/>
      <c r="D221" s="380"/>
      <c r="E221" s="199"/>
      <c r="F221" s="199"/>
      <c r="G221" s="199"/>
      <c r="H221" s="383"/>
      <c r="I221" s="380"/>
      <c r="J221" s="199"/>
      <c r="K221" s="199"/>
      <c r="L221" s="199"/>
      <c r="M221" s="383"/>
      <c r="N221" s="380"/>
      <c r="O221" s="200"/>
      <c r="P221" s="200"/>
      <c r="Q221" s="200"/>
      <c r="R221" s="386"/>
      <c r="S221" s="385"/>
      <c r="T221" s="200"/>
      <c r="U221" s="200"/>
      <c r="V221" s="200"/>
      <c r="W221" s="386"/>
      <c r="X221" s="385"/>
      <c r="Y221" s="200"/>
      <c r="Z221" s="200"/>
      <c r="AA221" s="200"/>
      <c r="AB221" s="386"/>
    </row>
    <row r="222" spans="1:28" ht="18" customHeight="1" x14ac:dyDescent="0.2">
      <c r="A222" s="390"/>
      <c r="B222" s="162" t="s">
        <v>828</v>
      </c>
      <c r="C222" s="383"/>
      <c r="D222" s="380"/>
      <c r="E222" s="199"/>
      <c r="F222" s="199"/>
      <c r="G222" s="199"/>
      <c r="H222" s="383"/>
      <c r="I222" s="380"/>
      <c r="J222" s="199"/>
      <c r="K222" s="199"/>
      <c r="L222" s="199"/>
      <c r="M222" s="383"/>
      <c r="N222" s="380"/>
      <c r="O222" s="200"/>
      <c r="P222" s="200"/>
      <c r="Q222" s="200"/>
      <c r="R222" s="386"/>
      <c r="S222" s="385"/>
      <c r="T222" s="200"/>
      <c r="U222" s="200"/>
      <c r="V222" s="200"/>
      <c r="W222" s="386"/>
      <c r="X222" s="385"/>
      <c r="Y222" s="200"/>
      <c r="Z222" s="200"/>
      <c r="AA222" s="200"/>
      <c r="AB222" s="386"/>
    </row>
    <row r="223" spans="1:28" ht="18" customHeight="1" x14ac:dyDescent="0.2">
      <c r="A223" s="390"/>
      <c r="B223" s="162" t="s">
        <v>829</v>
      </c>
      <c r="C223" s="383"/>
      <c r="D223" s="380"/>
      <c r="E223" s="199"/>
      <c r="F223" s="199"/>
      <c r="G223" s="199"/>
      <c r="H223" s="383"/>
      <c r="I223" s="380"/>
      <c r="J223" s="199"/>
      <c r="K223" s="199"/>
      <c r="L223" s="199"/>
      <c r="M223" s="383"/>
      <c r="N223" s="380"/>
      <c r="O223" s="200"/>
      <c r="P223" s="200"/>
      <c r="Q223" s="200"/>
      <c r="R223" s="386"/>
      <c r="S223" s="385"/>
      <c r="T223" s="200"/>
      <c r="U223" s="200"/>
      <c r="V223" s="200"/>
      <c r="W223" s="386"/>
      <c r="X223" s="385"/>
      <c r="Y223" s="200"/>
      <c r="Z223" s="200"/>
      <c r="AA223" s="200"/>
      <c r="AB223" s="386"/>
    </row>
    <row r="224" spans="1:28" ht="18" customHeight="1" x14ac:dyDescent="0.2">
      <c r="A224" s="390"/>
      <c r="B224" s="162" t="s">
        <v>830</v>
      </c>
      <c r="C224" s="383"/>
      <c r="D224" s="380"/>
      <c r="E224" s="199"/>
      <c r="F224" s="199"/>
      <c r="G224" s="199"/>
      <c r="H224" s="383"/>
      <c r="I224" s="380"/>
      <c r="J224" s="199"/>
      <c r="K224" s="199"/>
      <c r="L224" s="199"/>
      <c r="M224" s="383"/>
      <c r="N224" s="380"/>
      <c r="O224" s="200"/>
      <c r="P224" s="200"/>
      <c r="Q224" s="200"/>
      <c r="R224" s="386"/>
      <c r="S224" s="385"/>
      <c r="T224" s="200"/>
      <c r="U224" s="200"/>
      <c r="V224" s="200"/>
      <c r="W224" s="386"/>
      <c r="X224" s="385"/>
      <c r="Y224" s="200"/>
      <c r="Z224" s="200"/>
      <c r="AA224" s="200"/>
      <c r="AB224" s="386"/>
    </row>
    <row r="225" spans="1:28" ht="18" customHeight="1" x14ac:dyDescent="0.2">
      <c r="A225" s="390"/>
      <c r="B225" s="162" t="s">
        <v>832</v>
      </c>
      <c r="C225" s="383"/>
      <c r="D225" s="380"/>
      <c r="E225" s="199"/>
      <c r="F225" s="199"/>
      <c r="G225" s="199"/>
      <c r="H225" s="383"/>
      <c r="I225" s="380"/>
      <c r="J225" s="199"/>
      <c r="K225" s="199"/>
      <c r="L225" s="199"/>
      <c r="M225" s="383"/>
      <c r="N225" s="380"/>
      <c r="O225" s="200"/>
      <c r="P225" s="200"/>
      <c r="Q225" s="200"/>
      <c r="R225" s="386"/>
      <c r="S225" s="385"/>
      <c r="T225" s="200"/>
      <c r="U225" s="200"/>
      <c r="V225" s="200"/>
      <c r="W225" s="386"/>
      <c r="X225" s="385"/>
      <c r="Y225" s="200"/>
      <c r="Z225" s="200"/>
      <c r="AA225" s="200"/>
      <c r="AB225" s="386"/>
    </row>
    <row r="226" spans="1:28" ht="18" customHeight="1" x14ac:dyDescent="0.2">
      <c r="A226" s="390"/>
      <c r="B226" s="162" t="s">
        <v>833</v>
      </c>
      <c r="C226" s="383"/>
      <c r="D226" s="380"/>
      <c r="E226" s="199"/>
      <c r="F226" s="199"/>
      <c r="G226" s="199"/>
      <c r="H226" s="383"/>
      <c r="I226" s="380"/>
      <c r="J226" s="199"/>
      <c r="K226" s="199"/>
      <c r="L226" s="199"/>
      <c r="M226" s="383"/>
      <c r="N226" s="380"/>
      <c r="O226" s="200"/>
      <c r="P226" s="200"/>
      <c r="Q226" s="200"/>
      <c r="R226" s="386"/>
      <c r="S226" s="385"/>
      <c r="T226" s="200"/>
      <c r="U226" s="200"/>
      <c r="V226" s="200"/>
      <c r="W226" s="386"/>
      <c r="X226" s="385"/>
      <c r="Y226" s="200"/>
      <c r="Z226" s="200"/>
      <c r="AA226" s="200"/>
      <c r="AB226" s="386"/>
    </row>
    <row r="227" spans="1:28" ht="18" customHeight="1" x14ac:dyDescent="0.2">
      <c r="A227" s="390"/>
      <c r="B227" s="162" t="s">
        <v>834</v>
      </c>
      <c r="C227" s="383"/>
      <c r="D227" s="380"/>
      <c r="E227" s="199"/>
      <c r="F227" s="199"/>
      <c r="G227" s="199"/>
      <c r="H227" s="383"/>
      <c r="I227" s="380"/>
      <c r="J227" s="199"/>
      <c r="K227" s="199"/>
      <c r="L227" s="199"/>
      <c r="M227" s="383"/>
      <c r="N227" s="380"/>
      <c r="O227" s="200"/>
      <c r="P227" s="200"/>
      <c r="Q227" s="200"/>
      <c r="R227" s="386"/>
      <c r="S227" s="385"/>
      <c r="T227" s="200"/>
      <c r="U227" s="200"/>
      <c r="V227" s="200"/>
      <c r="W227" s="386"/>
      <c r="X227" s="385"/>
      <c r="Y227" s="200"/>
      <c r="Z227" s="200"/>
      <c r="AA227" s="200"/>
      <c r="AB227" s="386"/>
    </row>
    <row r="228" spans="1:28" ht="18" customHeight="1" x14ac:dyDescent="0.2">
      <c r="A228" s="390"/>
      <c r="B228" s="162" t="s">
        <v>835</v>
      </c>
      <c r="C228" s="383"/>
      <c r="D228" s="380"/>
      <c r="E228" s="199"/>
      <c r="F228" s="199"/>
      <c r="G228" s="199"/>
      <c r="H228" s="383"/>
      <c r="I228" s="380"/>
      <c r="J228" s="199"/>
      <c r="K228" s="199"/>
      <c r="L228" s="199"/>
      <c r="M228" s="383"/>
      <c r="N228" s="380"/>
      <c r="O228" s="200"/>
      <c r="P228" s="200"/>
      <c r="Q228" s="200"/>
      <c r="R228" s="386"/>
      <c r="S228" s="385"/>
      <c r="T228" s="200"/>
      <c r="U228" s="200"/>
      <c r="V228" s="200"/>
      <c r="W228" s="386"/>
      <c r="X228" s="385"/>
      <c r="Y228" s="200"/>
      <c r="Z228" s="200"/>
      <c r="AA228" s="200"/>
      <c r="AB228" s="386"/>
    </row>
    <row r="229" spans="1:28" ht="18" customHeight="1" x14ac:dyDescent="0.2">
      <c r="A229" s="390"/>
      <c r="B229" s="162" t="s">
        <v>836</v>
      </c>
      <c r="C229" s="383"/>
      <c r="D229" s="380"/>
      <c r="E229" s="199"/>
      <c r="F229" s="199"/>
      <c r="G229" s="199"/>
      <c r="H229" s="383"/>
      <c r="I229" s="380"/>
      <c r="J229" s="199"/>
      <c r="K229" s="199"/>
      <c r="L229" s="199"/>
      <c r="M229" s="383"/>
      <c r="N229" s="380"/>
      <c r="O229" s="200"/>
      <c r="P229" s="200"/>
      <c r="Q229" s="200"/>
      <c r="R229" s="386"/>
      <c r="S229" s="385"/>
      <c r="T229" s="200"/>
      <c r="U229" s="200"/>
      <c r="V229" s="200"/>
      <c r="W229" s="386"/>
      <c r="X229" s="385"/>
      <c r="Y229" s="200"/>
      <c r="Z229" s="200"/>
      <c r="AA229" s="200"/>
      <c r="AB229" s="386"/>
    </row>
    <row r="230" spans="1:28" ht="18" customHeight="1" x14ac:dyDescent="0.2">
      <c r="A230" s="390"/>
      <c r="B230" s="162" t="s">
        <v>837</v>
      </c>
      <c r="C230" s="383"/>
      <c r="D230" s="380"/>
      <c r="E230" s="199"/>
      <c r="F230" s="199"/>
      <c r="G230" s="199"/>
      <c r="H230" s="383"/>
      <c r="I230" s="380"/>
      <c r="J230" s="199"/>
      <c r="K230" s="199"/>
      <c r="L230" s="199"/>
      <c r="M230" s="383"/>
      <c r="N230" s="380"/>
      <c r="O230" s="200"/>
      <c r="P230" s="200"/>
      <c r="Q230" s="200"/>
      <c r="R230" s="386"/>
      <c r="S230" s="385"/>
      <c r="T230" s="200"/>
      <c r="U230" s="200"/>
      <c r="V230" s="200"/>
      <c r="W230" s="386"/>
      <c r="X230" s="385"/>
      <c r="Y230" s="200"/>
      <c r="Z230" s="200"/>
      <c r="AA230" s="200"/>
      <c r="AB230" s="386"/>
    </row>
    <row r="231" spans="1:28" ht="18" customHeight="1" x14ac:dyDescent="0.2">
      <c r="A231" s="390"/>
      <c r="B231" s="162" t="s">
        <v>838</v>
      </c>
      <c r="C231" s="383"/>
      <c r="D231" s="380"/>
      <c r="E231" s="199"/>
      <c r="F231" s="199"/>
      <c r="G231" s="199"/>
      <c r="H231" s="383"/>
      <c r="I231" s="380"/>
      <c r="J231" s="199"/>
      <c r="K231" s="199"/>
      <c r="L231" s="199"/>
      <c r="M231" s="383"/>
      <c r="N231" s="380"/>
      <c r="O231" s="200"/>
      <c r="P231" s="200"/>
      <c r="Q231" s="200"/>
      <c r="R231" s="386"/>
      <c r="S231" s="385"/>
      <c r="T231" s="200"/>
      <c r="U231" s="200"/>
      <c r="V231" s="200"/>
      <c r="W231" s="386"/>
      <c r="X231" s="385"/>
      <c r="Y231" s="200"/>
      <c r="Z231" s="200"/>
      <c r="AA231" s="200"/>
      <c r="AB231" s="386"/>
    </row>
    <row r="232" spans="1:28" ht="18" customHeight="1" x14ac:dyDescent="0.2">
      <c r="A232" s="390"/>
      <c r="B232" s="162" t="s">
        <v>839</v>
      </c>
      <c r="C232" s="383"/>
      <c r="D232" s="380"/>
      <c r="E232" s="199"/>
      <c r="F232" s="199"/>
      <c r="G232" s="199"/>
      <c r="H232" s="383"/>
      <c r="I232" s="380"/>
      <c r="J232" s="199"/>
      <c r="K232" s="199"/>
      <c r="L232" s="199"/>
      <c r="M232" s="383"/>
      <c r="N232" s="380"/>
      <c r="O232" s="200"/>
      <c r="P232" s="200"/>
      <c r="Q232" s="200"/>
      <c r="R232" s="386"/>
      <c r="S232" s="385"/>
      <c r="T232" s="200"/>
      <c r="U232" s="200"/>
      <c r="V232" s="200"/>
      <c r="W232" s="386"/>
      <c r="X232" s="385"/>
      <c r="Y232" s="200"/>
      <c r="Z232" s="200"/>
      <c r="AA232" s="200"/>
      <c r="AB232" s="386"/>
    </row>
    <row r="233" spans="1:28" ht="18" customHeight="1" x14ac:dyDescent="0.2">
      <c r="A233" s="390"/>
      <c r="B233" s="162" t="s">
        <v>840</v>
      </c>
      <c r="C233" s="383"/>
      <c r="D233" s="380"/>
      <c r="E233" s="199"/>
      <c r="F233" s="199"/>
      <c r="G233" s="199"/>
      <c r="H233" s="383"/>
      <c r="I233" s="380"/>
      <c r="J233" s="199"/>
      <c r="K233" s="199"/>
      <c r="L233" s="199"/>
      <c r="M233" s="383"/>
      <c r="N233" s="380"/>
      <c r="O233" s="200"/>
      <c r="P233" s="200"/>
      <c r="Q233" s="200"/>
      <c r="R233" s="386"/>
      <c r="S233" s="385"/>
      <c r="T233" s="200"/>
      <c r="U233" s="200"/>
      <c r="V233" s="200"/>
      <c r="W233" s="386"/>
      <c r="X233" s="385"/>
      <c r="Y233" s="200"/>
      <c r="Z233" s="200"/>
      <c r="AA233" s="200"/>
      <c r="AB233" s="386"/>
    </row>
    <row r="234" spans="1:28" ht="18" customHeight="1" x14ac:dyDescent="0.2">
      <c r="A234" s="390"/>
      <c r="B234" s="162" t="s">
        <v>841</v>
      </c>
      <c r="C234" s="383"/>
      <c r="D234" s="380"/>
      <c r="E234" s="199"/>
      <c r="F234" s="199"/>
      <c r="G234" s="199"/>
      <c r="H234" s="383"/>
      <c r="I234" s="380"/>
      <c r="J234" s="199"/>
      <c r="K234" s="199"/>
      <c r="L234" s="199"/>
      <c r="M234" s="383"/>
      <c r="N234" s="380"/>
      <c r="O234" s="200"/>
      <c r="P234" s="200"/>
      <c r="Q234" s="200"/>
      <c r="R234" s="386"/>
      <c r="S234" s="385"/>
      <c r="T234" s="200"/>
      <c r="U234" s="200"/>
      <c r="V234" s="200"/>
      <c r="W234" s="386"/>
      <c r="X234" s="385"/>
      <c r="Y234" s="200"/>
      <c r="Z234" s="200"/>
      <c r="AA234" s="200"/>
      <c r="AB234" s="386"/>
    </row>
    <row r="235" spans="1:28" ht="18" customHeight="1" x14ac:dyDescent="0.2">
      <c r="A235" s="390"/>
      <c r="B235" s="162" t="s">
        <v>842</v>
      </c>
      <c r="C235" s="383"/>
      <c r="D235" s="380"/>
      <c r="E235" s="199"/>
      <c r="F235" s="199"/>
      <c r="G235" s="199"/>
      <c r="H235" s="383"/>
      <c r="I235" s="380"/>
      <c r="J235" s="199"/>
      <c r="K235" s="199"/>
      <c r="L235" s="199"/>
      <c r="M235" s="383"/>
      <c r="N235" s="380"/>
      <c r="O235" s="200"/>
      <c r="P235" s="200"/>
      <c r="Q235" s="200"/>
      <c r="R235" s="386"/>
      <c r="S235" s="385"/>
      <c r="T235" s="200"/>
      <c r="U235" s="200"/>
      <c r="V235" s="200"/>
      <c r="W235" s="386"/>
      <c r="X235" s="385"/>
      <c r="Y235" s="200"/>
      <c r="Z235" s="200"/>
      <c r="AA235" s="200"/>
      <c r="AB235" s="386"/>
    </row>
    <row r="236" spans="1:28" ht="18" customHeight="1" x14ac:dyDescent="0.2">
      <c r="A236" s="390"/>
      <c r="B236" s="162" t="s">
        <v>843</v>
      </c>
      <c r="C236" s="383"/>
      <c r="D236" s="380"/>
      <c r="E236" s="199"/>
      <c r="F236" s="199"/>
      <c r="G236" s="199"/>
      <c r="H236" s="383"/>
      <c r="I236" s="380"/>
      <c r="J236" s="199"/>
      <c r="K236" s="199"/>
      <c r="L236" s="199"/>
      <c r="M236" s="383"/>
      <c r="N236" s="380"/>
      <c r="O236" s="200"/>
      <c r="P236" s="200"/>
      <c r="Q236" s="200"/>
      <c r="R236" s="386"/>
      <c r="S236" s="385"/>
      <c r="T236" s="200"/>
      <c r="U236" s="200"/>
      <c r="V236" s="200"/>
      <c r="W236" s="386"/>
      <c r="X236" s="385"/>
      <c r="Y236" s="200"/>
      <c r="Z236" s="200"/>
      <c r="AA236" s="200"/>
      <c r="AB236" s="386"/>
    </row>
    <row r="237" spans="1:28" ht="18" customHeight="1" x14ac:dyDescent="0.2">
      <c r="A237" s="390"/>
      <c r="B237" s="162" t="s">
        <v>844</v>
      </c>
      <c r="C237" s="383"/>
      <c r="D237" s="380"/>
      <c r="E237" s="199"/>
      <c r="F237" s="199"/>
      <c r="G237" s="199"/>
      <c r="H237" s="383"/>
      <c r="I237" s="380"/>
      <c r="J237" s="199"/>
      <c r="K237" s="199"/>
      <c r="L237" s="199"/>
      <c r="M237" s="383"/>
      <c r="N237" s="380"/>
      <c r="O237" s="200"/>
      <c r="P237" s="200"/>
      <c r="Q237" s="200"/>
      <c r="R237" s="386"/>
      <c r="S237" s="385"/>
      <c r="T237" s="200"/>
      <c r="U237" s="200"/>
      <c r="V237" s="200"/>
      <c r="W237" s="386"/>
      <c r="X237" s="385"/>
      <c r="Y237" s="200"/>
      <c r="Z237" s="200"/>
      <c r="AA237" s="200"/>
      <c r="AB237" s="386"/>
    </row>
    <row r="238" spans="1:28" ht="18" customHeight="1" x14ac:dyDescent="0.2">
      <c r="A238" s="390"/>
      <c r="B238" s="162" t="s">
        <v>845</v>
      </c>
      <c r="C238" s="383"/>
      <c r="D238" s="380"/>
      <c r="E238" s="199"/>
      <c r="F238" s="199"/>
      <c r="G238" s="199"/>
      <c r="H238" s="383"/>
      <c r="I238" s="380"/>
      <c r="J238" s="199"/>
      <c r="K238" s="199"/>
      <c r="L238" s="199"/>
      <c r="M238" s="383"/>
      <c r="N238" s="380"/>
      <c r="O238" s="200"/>
      <c r="P238" s="200"/>
      <c r="Q238" s="200"/>
      <c r="R238" s="386"/>
      <c r="S238" s="385"/>
      <c r="T238" s="200"/>
      <c r="U238" s="200"/>
      <c r="V238" s="200"/>
      <c r="W238" s="386"/>
      <c r="X238" s="385"/>
      <c r="Y238" s="200"/>
      <c r="Z238" s="200"/>
      <c r="AA238" s="200"/>
      <c r="AB238" s="386"/>
    </row>
    <row r="239" spans="1:28" ht="18" customHeight="1" x14ac:dyDescent="0.2">
      <c r="A239" s="390"/>
      <c r="B239" s="162" t="s">
        <v>846</v>
      </c>
      <c r="C239" s="383"/>
      <c r="D239" s="380"/>
      <c r="E239" s="199"/>
      <c r="F239" s="199"/>
      <c r="G239" s="199"/>
      <c r="H239" s="383"/>
      <c r="I239" s="380"/>
      <c r="J239" s="199"/>
      <c r="K239" s="199"/>
      <c r="L239" s="199"/>
      <c r="M239" s="383"/>
      <c r="N239" s="380"/>
      <c r="O239" s="200"/>
      <c r="P239" s="200"/>
      <c r="Q239" s="200"/>
      <c r="R239" s="386"/>
      <c r="S239" s="385"/>
      <c r="T239" s="200"/>
      <c r="U239" s="200"/>
      <c r="V239" s="200"/>
      <c r="W239" s="386"/>
      <c r="X239" s="385"/>
      <c r="Y239" s="200"/>
      <c r="Z239" s="200"/>
      <c r="AA239" s="200"/>
      <c r="AB239" s="386"/>
    </row>
    <row r="240" spans="1:28" ht="18" customHeight="1" x14ac:dyDescent="0.2">
      <c r="A240" s="390"/>
      <c r="B240" s="162" t="s">
        <v>847</v>
      </c>
      <c r="C240" s="383"/>
      <c r="D240" s="380"/>
      <c r="E240" s="199"/>
      <c r="F240" s="199"/>
      <c r="G240" s="199"/>
      <c r="H240" s="383"/>
      <c r="I240" s="380"/>
      <c r="J240" s="199"/>
      <c r="K240" s="199"/>
      <c r="L240" s="199"/>
      <c r="M240" s="383"/>
      <c r="N240" s="380"/>
      <c r="O240" s="200"/>
      <c r="P240" s="200"/>
      <c r="Q240" s="200"/>
      <c r="R240" s="386"/>
      <c r="S240" s="385"/>
      <c r="T240" s="200"/>
      <c r="U240" s="200"/>
      <c r="V240" s="200"/>
      <c r="W240" s="386"/>
      <c r="X240" s="385"/>
      <c r="Y240" s="200"/>
      <c r="Z240" s="200"/>
      <c r="AA240" s="200"/>
      <c r="AB240" s="386"/>
    </row>
    <row r="241" spans="1:28" ht="18" customHeight="1" x14ac:dyDescent="0.2">
      <c r="A241" s="390"/>
      <c r="B241" s="162" t="s">
        <v>848</v>
      </c>
      <c r="C241" s="383"/>
      <c r="D241" s="380"/>
      <c r="E241" s="199"/>
      <c r="F241" s="199"/>
      <c r="G241" s="199"/>
      <c r="H241" s="383"/>
      <c r="I241" s="380"/>
      <c r="J241" s="199"/>
      <c r="K241" s="199"/>
      <c r="L241" s="199"/>
      <c r="M241" s="383"/>
      <c r="N241" s="380"/>
      <c r="O241" s="200"/>
      <c r="P241" s="200"/>
      <c r="Q241" s="200"/>
      <c r="R241" s="386"/>
      <c r="S241" s="385"/>
      <c r="T241" s="200"/>
      <c r="U241" s="200"/>
      <c r="V241" s="200"/>
      <c r="W241" s="386"/>
      <c r="X241" s="385"/>
      <c r="Y241" s="200"/>
      <c r="Z241" s="200"/>
      <c r="AA241" s="200"/>
      <c r="AB241" s="386"/>
    </row>
    <row r="242" spans="1:28" ht="18" customHeight="1" x14ac:dyDescent="0.2">
      <c r="A242" s="390"/>
      <c r="B242" s="162" t="s">
        <v>849</v>
      </c>
      <c r="C242" s="383"/>
      <c r="D242" s="380"/>
      <c r="E242" s="199"/>
      <c r="F242" s="199"/>
      <c r="G242" s="199"/>
      <c r="H242" s="383"/>
      <c r="I242" s="380"/>
      <c r="J242" s="199"/>
      <c r="K242" s="199"/>
      <c r="L242" s="199"/>
      <c r="M242" s="383"/>
      <c r="N242" s="380"/>
      <c r="O242" s="200"/>
      <c r="P242" s="200"/>
      <c r="Q242" s="200"/>
      <c r="R242" s="386"/>
      <c r="S242" s="385"/>
      <c r="T242" s="200"/>
      <c r="U242" s="200"/>
      <c r="V242" s="200"/>
      <c r="W242" s="386"/>
      <c r="X242" s="385"/>
      <c r="Y242" s="200"/>
      <c r="Z242" s="200"/>
      <c r="AA242" s="200"/>
      <c r="AB242" s="386"/>
    </row>
    <row r="243" spans="1:28" ht="18" customHeight="1" x14ac:dyDescent="0.2">
      <c r="A243" s="390"/>
      <c r="B243" s="162" t="s">
        <v>850</v>
      </c>
      <c r="C243" s="383"/>
      <c r="D243" s="380"/>
      <c r="E243" s="199"/>
      <c r="F243" s="199"/>
      <c r="G243" s="199"/>
      <c r="H243" s="383"/>
      <c r="I243" s="380"/>
      <c r="J243" s="199"/>
      <c r="K243" s="199"/>
      <c r="L243" s="199"/>
      <c r="M243" s="383"/>
      <c r="N243" s="380"/>
      <c r="O243" s="200"/>
      <c r="P243" s="200"/>
      <c r="Q243" s="200"/>
      <c r="R243" s="386"/>
      <c r="S243" s="385"/>
      <c r="T243" s="200"/>
      <c r="U243" s="200"/>
      <c r="V243" s="200"/>
      <c r="W243" s="386"/>
      <c r="X243" s="385"/>
      <c r="Y243" s="200"/>
      <c r="Z243" s="200"/>
      <c r="AA243" s="200"/>
      <c r="AB243" s="386"/>
    </row>
    <row r="244" spans="1:28" ht="15" customHeight="1" x14ac:dyDescent="0.2">
      <c r="A244" s="390"/>
      <c r="B244" s="162" t="s">
        <v>851</v>
      </c>
      <c r="C244" s="383"/>
      <c r="D244" s="380"/>
      <c r="E244" s="199"/>
      <c r="F244" s="199"/>
      <c r="G244" s="199"/>
      <c r="H244" s="383"/>
      <c r="I244" s="380"/>
      <c r="J244" s="199"/>
      <c r="K244" s="199"/>
      <c r="L244" s="199"/>
      <c r="M244" s="383"/>
      <c r="N244" s="380"/>
      <c r="O244" s="200"/>
      <c r="P244" s="200"/>
      <c r="Q244" s="200"/>
      <c r="R244" s="386"/>
      <c r="S244" s="385"/>
      <c r="T244" s="200"/>
      <c r="U244" s="200"/>
      <c r="V244" s="200"/>
      <c r="W244" s="386"/>
      <c r="X244" s="385"/>
      <c r="Y244" s="200"/>
      <c r="Z244" s="200"/>
      <c r="AA244" s="200"/>
      <c r="AB244" s="386"/>
    </row>
    <row r="245" spans="1:28" ht="14.25" customHeight="1" x14ac:dyDescent="0.2">
      <c r="A245" s="390"/>
      <c r="B245" s="162" t="s">
        <v>852</v>
      </c>
      <c r="C245" s="383"/>
      <c r="D245" s="380"/>
      <c r="E245" s="201"/>
      <c r="F245" s="201"/>
      <c r="G245" s="201"/>
      <c r="H245" s="383"/>
      <c r="I245" s="380"/>
      <c r="J245" s="201"/>
      <c r="K245" s="201"/>
      <c r="L245" s="201"/>
      <c r="M245" s="383"/>
      <c r="N245" s="380"/>
      <c r="O245" s="61"/>
      <c r="P245" s="61"/>
      <c r="Q245" s="61"/>
      <c r="R245" s="386"/>
      <c r="S245" s="385"/>
      <c r="T245" s="61"/>
      <c r="U245" s="61"/>
      <c r="V245" s="61"/>
      <c r="W245" s="386"/>
      <c r="X245" s="385"/>
      <c r="Y245" s="61"/>
      <c r="Z245" s="61"/>
      <c r="AA245" s="61"/>
      <c r="AB245" s="386"/>
    </row>
    <row r="246" spans="1:28" ht="15" customHeight="1" x14ac:dyDescent="0.2">
      <c r="A246" s="390"/>
      <c r="B246" s="162" t="s">
        <v>885</v>
      </c>
      <c r="C246" s="383"/>
      <c r="D246" s="380"/>
      <c r="E246" s="201"/>
      <c r="F246" s="201"/>
      <c r="G246" s="201"/>
      <c r="H246" s="383"/>
      <c r="I246" s="380"/>
      <c r="J246" s="201"/>
      <c r="K246" s="201"/>
      <c r="L246" s="201"/>
      <c r="M246" s="383"/>
      <c r="N246" s="380"/>
      <c r="O246" s="61"/>
      <c r="P246" s="61"/>
      <c r="Q246" s="61"/>
      <c r="R246" s="386"/>
      <c r="S246" s="385"/>
      <c r="T246" s="61"/>
      <c r="U246" s="61"/>
      <c r="V246" s="61"/>
      <c r="W246" s="386"/>
      <c r="X246" s="385"/>
      <c r="Y246" s="61"/>
      <c r="Z246" s="61"/>
      <c r="AA246" s="61"/>
      <c r="AB246" s="386"/>
    </row>
    <row r="247" spans="1:28" ht="15" customHeight="1" x14ac:dyDescent="0.2">
      <c r="A247" s="390"/>
      <c r="B247" s="162" t="s">
        <v>853</v>
      </c>
      <c r="C247" s="383"/>
      <c r="D247" s="380"/>
      <c r="E247" s="201"/>
      <c r="F247" s="201"/>
      <c r="G247" s="201"/>
      <c r="H247" s="383"/>
      <c r="I247" s="380"/>
      <c r="J247" s="201"/>
      <c r="K247" s="201"/>
      <c r="L247" s="201"/>
      <c r="M247" s="383"/>
      <c r="N247" s="380"/>
      <c r="O247" s="61"/>
      <c r="P247" s="61"/>
      <c r="Q247" s="61"/>
      <c r="R247" s="386"/>
      <c r="S247" s="385"/>
      <c r="T247" s="61"/>
      <c r="U247" s="61"/>
      <c r="V247" s="61"/>
      <c r="W247" s="386"/>
      <c r="X247" s="385"/>
      <c r="Y247" s="61"/>
      <c r="Z247" s="61"/>
      <c r="AA247" s="61"/>
      <c r="AB247" s="386"/>
    </row>
    <row r="248" spans="1:28" ht="15" customHeight="1" x14ac:dyDescent="0.2">
      <c r="A248" s="390"/>
      <c r="B248" s="162" t="s">
        <v>854</v>
      </c>
      <c r="C248" s="383"/>
      <c r="D248" s="380"/>
      <c r="E248" s="201"/>
      <c r="F248" s="201"/>
      <c r="G248" s="201"/>
      <c r="H248" s="383"/>
      <c r="I248" s="380"/>
      <c r="J248" s="201"/>
      <c r="K248" s="201"/>
      <c r="L248" s="201"/>
      <c r="M248" s="383"/>
      <c r="N248" s="380"/>
      <c r="O248" s="61"/>
      <c r="P248" s="61"/>
      <c r="Q248" s="61"/>
      <c r="R248" s="386"/>
      <c r="S248" s="385"/>
      <c r="T248" s="61"/>
      <c r="U248" s="61"/>
      <c r="V248" s="61"/>
      <c r="W248" s="386"/>
      <c r="X248" s="385"/>
      <c r="Y248" s="61"/>
      <c r="Z248" s="61"/>
      <c r="AA248" s="61"/>
      <c r="AB248" s="386"/>
    </row>
    <row r="249" spans="1:28" ht="18" customHeight="1" x14ac:dyDescent="0.2">
      <c r="A249" s="390"/>
      <c r="B249" s="162" t="s">
        <v>855</v>
      </c>
      <c r="C249" s="383"/>
      <c r="D249" s="380"/>
      <c r="E249" s="201"/>
      <c r="F249" s="201"/>
      <c r="G249" s="201"/>
      <c r="H249" s="383"/>
      <c r="I249" s="380"/>
      <c r="J249" s="201"/>
      <c r="K249" s="201"/>
      <c r="L249" s="201"/>
      <c r="M249" s="383"/>
      <c r="N249" s="380"/>
      <c r="O249" s="61"/>
      <c r="P249" s="61"/>
      <c r="Q249" s="61"/>
      <c r="R249" s="386"/>
      <c r="S249" s="385"/>
      <c r="T249" s="61"/>
      <c r="U249" s="61"/>
      <c r="V249" s="61"/>
      <c r="W249" s="386"/>
      <c r="X249" s="385"/>
      <c r="Y249" s="61"/>
      <c r="Z249" s="61"/>
      <c r="AA249" s="61"/>
      <c r="AB249" s="386"/>
    </row>
    <row r="250" spans="1:28" ht="18" customHeight="1" x14ac:dyDescent="0.2">
      <c r="A250" s="390"/>
      <c r="B250" s="162" t="s">
        <v>856</v>
      </c>
      <c r="C250" s="383"/>
      <c r="D250" s="380"/>
      <c r="E250" s="201"/>
      <c r="F250" s="201"/>
      <c r="G250" s="201"/>
      <c r="H250" s="383"/>
      <c r="I250" s="380"/>
      <c r="J250" s="201"/>
      <c r="K250" s="201"/>
      <c r="L250" s="201"/>
      <c r="M250" s="383"/>
      <c r="N250" s="380"/>
      <c r="O250" s="61"/>
      <c r="P250" s="61"/>
      <c r="Q250" s="61"/>
      <c r="R250" s="386"/>
      <c r="S250" s="385"/>
      <c r="T250" s="61"/>
      <c r="U250" s="61"/>
      <c r="V250" s="61"/>
      <c r="W250" s="386"/>
      <c r="X250" s="385"/>
      <c r="Y250" s="61"/>
      <c r="Z250" s="61"/>
      <c r="AA250" s="61"/>
      <c r="AB250" s="386"/>
    </row>
    <row r="251" spans="1:28" ht="18" customHeight="1" x14ac:dyDescent="0.2">
      <c r="A251" s="390"/>
      <c r="B251" s="162" t="s">
        <v>857</v>
      </c>
      <c r="C251" s="383"/>
      <c r="D251" s="380"/>
      <c r="E251" s="201"/>
      <c r="F251" s="201"/>
      <c r="G251" s="201"/>
      <c r="H251" s="383"/>
      <c r="I251" s="380"/>
      <c r="J251" s="201"/>
      <c r="K251" s="201"/>
      <c r="L251" s="201"/>
      <c r="M251" s="383"/>
      <c r="N251" s="380"/>
      <c r="O251" s="61"/>
      <c r="P251" s="61"/>
      <c r="Q251" s="61"/>
      <c r="R251" s="386"/>
      <c r="S251" s="385"/>
      <c r="T251" s="61"/>
      <c r="U251" s="61"/>
      <c r="V251" s="61"/>
      <c r="W251" s="386"/>
      <c r="X251" s="385"/>
      <c r="Y251" s="61"/>
      <c r="Z251" s="61"/>
      <c r="AA251" s="61"/>
      <c r="AB251" s="386"/>
    </row>
    <row r="252" spans="1:28" ht="18" customHeight="1" x14ac:dyDescent="0.2">
      <c r="A252" s="390"/>
      <c r="B252" s="162" t="s">
        <v>823</v>
      </c>
      <c r="C252" s="383"/>
      <c r="D252" s="380"/>
      <c r="E252" s="201"/>
      <c r="F252" s="201"/>
      <c r="G252" s="201"/>
      <c r="H252" s="383"/>
      <c r="I252" s="380"/>
      <c r="J252" s="201"/>
      <c r="K252" s="201"/>
      <c r="L252" s="201"/>
      <c r="M252" s="383"/>
      <c r="N252" s="380"/>
      <c r="O252" s="61"/>
      <c r="P252" s="61"/>
      <c r="Q252" s="61"/>
      <c r="R252" s="386"/>
      <c r="S252" s="385"/>
      <c r="T252" s="61"/>
      <c r="U252" s="61"/>
      <c r="V252" s="61"/>
      <c r="W252" s="386"/>
      <c r="X252" s="385"/>
      <c r="Y252" s="61"/>
      <c r="Z252" s="61"/>
      <c r="AA252" s="61"/>
      <c r="AB252" s="386"/>
    </row>
    <row r="253" spans="1:28" ht="18" customHeight="1" x14ac:dyDescent="0.2">
      <c r="A253" s="390"/>
      <c r="B253" s="162" t="s">
        <v>858</v>
      </c>
      <c r="C253" s="383"/>
      <c r="D253" s="380"/>
      <c r="E253" s="201"/>
      <c r="F253" s="201"/>
      <c r="G253" s="201"/>
      <c r="H253" s="383"/>
      <c r="I253" s="380"/>
      <c r="J253" s="201"/>
      <c r="K253" s="201"/>
      <c r="L253" s="201"/>
      <c r="M253" s="383"/>
      <c r="N253" s="380"/>
      <c r="O253" s="61"/>
      <c r="P253" s="61"/>
      <c r="Q253" s="61"/>
      <c r="R253" s="386"/>
      <c r="S253" s="385"/>
      <c r="T253" s="61"/>
      <c r="U253" s="61"/>
      <c r="V253" s="61"/>
      <c r="W253" s="386"/>
      <c r="X253" s="385"/>
      <c r="Y253" s="61"/>
      <c r="Z253" s="61"/>
      <c r="AA253" s="61"/>
      <c r="AB253" s="386"/>
    </row>
    <row r="254" spans="1:28" ht="18" customHeight="1" x14ac:dyDescent="0.2">
      <c r="A254" s="390"/>
      <c r="B254" s="162" t="s">
        <v>859</v>
      </c>
      <c r="C254" s="383"/>
      <c r="D254" s="380"/>
      <c r="E254" s="201"/>
      <c r="F254" s="201"/>
      <c r="G254" s="201"/>
      <c r="H254" s="383"/>
      <c r="I254" s="380"/>
      <c r="J254" s="201"/>
      <c r="K254" s="201"/>
      <c r="L254" s="201"/>
      <c r="M254" s="383"/>
      <c r="N254" s="380"/>
      <c r="O254" s="61"/>
      <c r="P254" s="61"/>
      <c r="Q254" s="61"/>
      <c r="R254" s="386"/>
      <c r="S254" s="385"/>
      <c r="T254" s="61"/>
      <c r="U254" s="61"/>
      <c r="V254" s="61"/>
      <c r="W254" s="386"/>
      <c r="X254" s="385"/>
      <c r="Y254" s="61"/>
      <c r="Z254" s="61"/>
      <c r="AA254" s="61"/>
      <c r="AB254" s="386"/>
    </row>
    <row r="255" spans="1:28" ht="18" customHeight="1" x14ac:dyDescent="0.2">
      <c r="A255" s="390"/>
      <c r="B255" s="162" t="s">
        <v>893</v>
      </c>
      <c r="C255" s="383"/>
      <c r="D255" s="380"/>
      <c r="E255" s="201"/>
      <c r="F255" s="201"/>
      <c r="G255" s="201"/>
      <c r="H255" s="383"/>
      <c r="I255" s="380"/>
      <c r="J255" s="201"/>
      <c r="K255" s="201"/>
      <c r="L255" s="201"/>
      <c r="M255" s="383"/>
      <c r="N255" s="380"/>
      <c r="O255" s="61"/>
      <c r="P255" s="61"/>
      <c r="Q255" s="61"/>
      <c r="R255" s="386"/>
      <c r="S255" s="385"/>
      <c r="T255" s="61"/>
      <c r="U255" s="61"/>
      <c r="V255" s="61"/>
      <c r="W255" s="386"/>
      <c r="X255" s="385"/>
      <c r="Y255" s="61"/>
      <c r="Z255" s="61"/>
      <c r="AA255" s="61"/>
      <c r="AB255" s="386"/>
    </row>
    <row r="256" spans="1:28" ht="18" customHeight="1" x14ac:dyDescent="0.2">
      <c r="A256" s="390"/>
      <c r="B256" s="162" t="s">
        <v>860</v>
      </c>
      <c r="C256" s="383"/>
      <c r="D256" s="380"/>
      <c r="E256" s="201"/>
      <c r="F256" s="201"/>
      <c r="G256" s="201"/>
      <c r="H256" s="383"/>
      <c r="I256" s="380"/>
      <c r="J256" s="201"/>
      <c r="K256" s="201"/>
      <c r="L256" s="201"/>
      <c r="M256" s="383"/>
      <c r="N256" s="380"/>
      <c r="O256" s="61"/>
      <c r="P256" s="61"/>
      <c r="Q256" s="61"/>
      <c r="R256" s="386"/>
      <c r="S256" s="385"/>
      <c r="T256" s="61"/>
      <c r="U256" s="61"/>
      <c r="V256" s="61"/>
      <c r="W256" s="386"/>
      <c r="X256" s="385"/>
      <c r="Y256" s="61"/>
      <c r="Z256" s="61"/>
      <c r="AA256" s="61"/>
      <c r="AB256" s="386"/>
    </row>
    <row r="257" spans="1:28" ht="18" customHeight="1" x14ac:dyDescent="0.2">
      <c r="A257" s="390"/>
      <c r="B257" s="162" t="s">
        <v>861</v>
      </c>
      <c r="C257" s="383"/>
      <c r="D257" s="380"/>
      <c r="E257" s="201"/>
      <c r="F257" s="201"/>
      <c r="G257" s="201"/>
      <c r="H257" s="383"/>
      <c r="I257" s="380"/>
      <c r="J257" s="201"/>
      <c r="K257" s="201"/>
      <c r="L257" s="201"/>
      <c r="M257" s="383"/>
      <c r="N257" s="380"/>
      <c r="O257" s="61"/>
      <c r="P257" s="61"/>
      <c r="Q257" s="61"/>
      <c r="R257" s="386"/>
      <c r="S257" s="385"/>
      <c r="T257" s="61"/>
      <c r="U257" s="61"/>
      <c r="V257" s="61"/>
      <c r="W257" s="386"/>
      <c r="X257" s="385"/>
      <c r="Y257" s="61"/>
      <c r="Z257" s="61"/>
      <c r="AA257" s="61"/>
      <c r="AB257" s="386"/>
    </row>
    <row r="258" spans="1:28" ht="17.25" customHeight="1" x14ac:dyDescent="0.2">
      <c r="A258" s="390"/>
      <c r="B258" s="162" t="s">
        <v>892</v>
      </c>
      <c r="C258" s="383"/>
      <c r="D258" s="380"/>
      <c r="E258" s="201"/>
      <c r="F258" s="201"/>
      <c r="G258" s="201"/>
      <c r="H258" s="383"/>
      <c r="I258" s="380"/>
      <c r="J258" s="201"/>
      <c r="K258" s="201"/>
      <c r="L258" s="201"/>
      <c r="M258" s="383"/>
      <c r="N258" s="380"/>
      <c r="O258" s="61"/>
      <c r="P258" s="61"/>
      <c r="Q258" s="61"/>
      <c r="R258" s="386"/>
      <c r="S258" s="385"/>
      <c r="T258" s="61"/>
      <c r="U258" s="61"/>
      <c r="V258" s="61"/>
      <c r="W258" s="386"/>
      <c r="X258" s="385"/>
      <c r="Y258" s="61"/>
      <c r="Z258" s="61"/>
      <c r="AA258" s="61"/>
      <c r="AB258" s="386"/>
    </row>
    <row r="259" spans="1:28" ht="18" customHeight="1" x14ac:dyDescent="0.2">
      <c r="A259" s="398"/>
      <c r="B259" s="161" t="s">
        <v>148</v>
      </c>
      <c r="C259" s="383"/>
      <c r="D259" s="380"/>
      <c r="E259" s="201"/>
      <c r="F259" s="201"/>
      <c r="G259" s="201"/>
      <c r="H259" s="383"/>
      <c r="I259" s="380"/>
      <c r="J259" s="201"/>
      <c r="K259" s="201"/>
      <c r="L259" s="201"/>
      <c r="M259" s="383"/>
      <c r="N259" s="380"/>
      <c r="O259" s="61"/>
      <c r="P259" s="61"/>
      <c r="Q259" s="61"/>
      <c r="R259" s="386"/>
      <c r="S259" s="385"/>
      <c r="T259" s="61"/>
      <c r="U259" s="61"/>
      <c r="V259" s="61"/>
      <c r="W259" s="386"/>
      <c r="X259" s="385"/>
      <c r="Y259" s="61"/>
      <c r="Z259" s="61"/>
      <c r="AA259" s="61"/>
      <c r="AB259" s="386"/>
    </row>
    <row r="260" spans="1:28" ht="18" customHeight="1" x14ac:dyDescent="0.2">
      <c r="A260" s="390"/>
      <c r="B260" s="162" t="s">
        <v>894</v>
      </c>
      <c r="C260" s="383"/>
      <c r="D260" s="380"/>
      <c r="E260" s="201"/>
      <c r="F260" s="201"/>
      <c r="G260" s="201"/>
      <c r="H260" s="383"/>
      <c r="I260" s="380"/>
      <c r="J260" s="201"/>
      <c r="K260" s="201"/>
      <c r="L260" s="201"/>
      <c r="M260" s="383"/>
      <c r="N260" s="380"/>
      <c r="O260" s="61"/>
      <c r="P260" s="61"/>
      <c r="Q260" s="61"/>
      <c r="R260" s="386"/>
      <c r="S260" s="385"/>
      <c r="T260" s="61"/>
      <c r="U260" s="61"/>
      <c r="V260" s="61"/>
      <c r="W260" s="386"/>
      <c r="X260" s="385"/>
      <c r="Y260" s="61"/>
      <c r="Z260" s="61"/>
      <c r="AA260" s="61"/>
      <c r="AB260" s="386"/>
    </row>
    <row r="261" spans="1:28" ht="18" customHeight="1" x14ac:dyDescent="0.2">
      <c r="A261" s="390"/>
      <c r="B261" s="162" t="s">
        <v>895</v>
      </c>
      <c r="C261" s="383"/>
      <c r="D261" s="380"/>
      <c r="E261" s="201"/>
      <c r="F261" s="201"/>
      <c r="G261" s="201"/>
      <c r="H261" s="383"/>
      <c r="I261" s="380"/>
      <c r="J261" s="201"/>
      <c r="K261" s="201"/>
      <c r="L261" s="201"/>
      <c r="M261" s="383"/>
      <c r="N261" s="380"/>
      <c r="O261" s="61"/>
      <c r="P261" s="61"/>
      <c r="Q261" s="61"/>
      <c r="R261" s="386"/>
      <c r="S261" s="385"/>
      <c r="T261" s="61"/>
      <c r="U261" s="61"/>
      <c r="V261" s="61"/>
      <c r="W261" s="386"/>
      <c r="X261" s="385"/>
      <c r="Y261" s="61"/>
      <c r="Z261" s="61"/>
      <c r="AA261" s="61"/>
      <c r="AB261" s="386"/>
    </row>
    <row r="262" spans="1:28" ht="18" customHeight="1" x14ac:dyDescent="0.2">
      <c r="A262" s="390"/>
      <c r="B262" s="162" t="s">
        <v>862</v>
      </c>
      <c r="C262" s="383"/>
      <c r="D262" s="380"/>
      <c r="E262" s="201"/>
      <c r="F262" s="201"/>
      <c r="G262" s="201"/>
      <c r="H262" s="383"/>
      <c r="I262" s="380"/>
      <c r="J262" s="201"/>
      <c r="K262" s="201"/>
      <c r="L262" s="201"/>
      <c r="M262" s="383"/>
      <c r="N262" s="380"/>
      <c r="O262" s="61"/>
      <c r="P262" s="61"/>
      <c r="Q262" s="61"/>
      <c r="R262" s="386"/>
      <c r="S262" s="385"/>
      <c r="T262" s="61"/>
      <c r="U262" s="61"/>
      <c r="V262" s="61"/>
      <c r="W262" s="386"/>
      <c r="X262" s="385"/>
      <c r="Y262" s="61"/>
      <c r="Z262" s="61"/>
      <c r="AA262" s="61"/>
      <c r="AB262" s="386"/>
    </row>
    <row r="263" spans="1:28" ht="18" customHeight="1" x14ac:dyDescent="0.2">
      <c r="A263" s="390"/>
      <c r="B263" s="162" t="s">
        <v>863</v>
      </c>
      <c r="C263" s="383"/>
      <c r="D263" s="380"/>
      <c r="E263" s="201"/>
      <c r="F263" s="201"/>
      <c r="G263" s="201"/>
      <c r="H263" s="383"/>
      <c r="I263" s="380"/>
      <c r="J263" s="201"/>
      <c r="K263" s="201"/>
      <c r="L263" s="201"/>
      <c r="M263" s="383"/>
      <c r="N263" s="380"/>
      <c r="O263" s="61"/>
      <c r="P263" s="61"/>
      <c r="Q263" s="61"/>
      <c r="R263" s="386"/>
      <c r="S263" s="385"/>
      <c r="T263" s="61"/>
      <c r="U263" s="61"/>
      <c r="V263" s="61"/>
      <c r="W263" s="386"/>
      <c r="X263" s="385"/>
      <c r="Y263" s="61"/>
      <c r="Z263" s="61"/>
      <c r="AA263" s="61"/>
      <c r="AB263" s="386"/>
    </row>
    <row r="264" spans="1:28" ht="18" customHeight="1" x14ac:dyDescent="0.2">
      <c r="A264" s="390"/>
      <c r="B264" s="162" t="s">
        <v>864</v>
      </c>
      <c r="C264" s="383"/>
      <c r="D264" s="380"/>
      <c r="E264" s="201"/>
      <c r="F264" s="201"/>
      <c r="G264" s="201"/>
      <c r="H264" s="383"/>
      <c r="I264" s="380"/>
      <c r="J264" s="201"/>
      <c r="K264" s="201"/>
      <c r="L264" s="201"/>
      <c r="M264" s="383"/>
      <c r="N264" s="380"/>
      <c r="O264" s="61"/>
      <c r="P264" s="61"/>
      <c r="Q264" s="61"/>
      <c r="R264" s="386"/>
      <c r="S264" s="385"/>
      <c r="T264" s="61"/>
      <c r="U264" s="61"/>
      <c r="V264" s="61"/>
      <c r="W264" s="386"/>
      <c r="X264" s="385"/>
      <c r="Y264" s="61"/>
      <c r="Z264" s="61"/>
      <c r="AA264" s="61"/>
      <c r="AB264" s="386"/>
    </row>
    <row r="265" spans="1:28" ht="18" customHeight="1" x14ac:dyDescent="0.2">
      <c r="A265" s="390"/>
      <c r="B265" s="162" t="s">
        <v>865</v>
      </c>
      <c r="C265" s="383"/>
      <c r="D265" s="380"/>
      <c r="E265" s="201"/>
      <c r="F265" s="201"/>
      <c r="G265" s="201"/>
      <c r="H265" s="383"/>
      <c r="I265" s="380"/>
      <c r="J265" s="201"/>
      <c r="K265" s="201"/>
      <c r="L265" s="201"/>
      <c r="M265" s="383"/>
      <c r="N265" s="380"/>
      <c r="O265" s="61"/>
      <c r="P265" s="61"/>
      <c r="Q265" s="61"/>
      <c r="R265" s="386"/>
      <c r="S265" s="385"/>
      <c r="T265" s="61"/>
      <c r="U265" s="61"/>
      <c r="V265" s="61"/>
      <c r="W265" s="386"/>
      <c r="X265" s="385"/>
      <c r="Y265" s="61"/>
      <c r="Z265" s="61"/>
      <c r="AA265" s="61"/>
      <c r="AB265" s="386"/>
    </row>
    <row r="266" spans="1:28" ht="22.5" customHeight="1" x14ac:dyDescent="0.2">
      <c r="A266" s="390"/>
      <c r="B266" s="162" t="s">
        <v>866</v>
      </c>
      <c r="C266" s="383"/>
      <c r="D266" s="380"/>
      <c r="E266" s="201"/>
      <c r="F266" s="201"/>
      <c r="G266" s="201"/>
      <c r="H266" s="383"/>
      <c r="I266" s="380"/>
      <c r="J266" s="201"/>
      <c r="K266" s="201"/>
      <c r="L266" s="201"/>
      <c r="M266" s="383"/>
      <c r="N266" s="380"/>
      <c r="O266" s="61"/>
      <c r="P266" s="61"/>
      <c r="Q266" s="61"/>
      <c r="R266" s="386"/>
      <c r="S266" s="385"/>
      <c r="T266" s="61"/>
      <c r="U266" s="61"/>
      <c r="V266" s="61"/>
      <c r="W266" s="386"/>
      <c r="X266" s="385"/>
      <c r="Y266" s="61"/>
      <c r="Z266" s="61"/>
      <c r="AA266" s="61"/>
      <c r="AB266" s="386"/>
    </row>
    <row r="267" spans="1:28" ht="18" customHeight="1" x14ac:dyDescent="0.2">
      <c r="A267" s="390"/>
      <c r="B267" s="162" t="s">
        <v>867</v>
      </c>
      <c r="C267" s="383"/>
      <c r="D267" s="380"/>
      <c r="E267" s="201"/>
      <c r="F267" s="201"/>
      <c r="G267" s="201"/>
      <c r="H267" s="383"/>
      <c r="I267" s="380"/>
      <c r="J267" s="201"/>
      <c r="K267" s="201"/>
      <c r="L267" s="201"/>
      <c r="M267" s="383"/>
      <c r="N267" s="380"/>
      <c r="O267" s="61"/>
      <c r="P267" s="61"/>
      <c r="Q267" s="61"/>
      <c r="R267" s="386"/>
      <c r="S267" s="385"/>
      <c r="T267" s="61"/>
      <c r="U267" s="61"/>
      <c r="V267" s="61"/>
      <c r="W267" s="386"/>
      <c r="X267" s="385"/>
      <c r="Y267" s="61"/>
      <c r="Z267" s="61"/>
      <c r="AA267" s="61"/>
      <c r="AB267" s="386"/>
    </row>
    <row r="268" spans="1:28" ht="18" customHeight="1" x14ac:dyDescent="0.2">
      <c r="A268" s="390"/>
      <c r="B268" s="162" t="s">
        <v>868</v>
      </c>
      <c r="C268" s="383"/>
      <c r="D268" s="380"/>
      <c r="E268" s="201"/>
      <c r="F268" s="201"/>
      <c r="G268" s="201"/>
      <c r="H268" s="383"/>
      <c r="I268" s="380"/>
      <c r="J268" s="201"/>
      <c r="K268" s="201"/>
      <c r="L268" s="201"/>
      <c r="M268" s="383"/>
      <c r="N268" s="380"/>
      <c r="O268" s="61"/>
      <c r="P268" s="61"/>
      <c r="Q268" s="61"/>
      <c r="R268" s="386"/>
      <c r="S268" s="385"/>
      <c r="T268" s="61"/>
      <c r="U268" s="61"/>
      <c r="V268" s="61"/>
      <c r="W268" s="386"/>
      <c r="X268" s="385"/>
      <c r="Y268" s="61"/>
      <c r="Z268" s="61"/>
      <c r="AA268" s="61"/>
      <c r="AB268" s="386"/>
    </row>
    <row r="269" spans="1:28" ht="18" customHeight="1" x14ac:dyDescent="0.2">
      <c r="A269" s="390"/>
      <c r="B269" s="162" t="s">
        <v>869</v>
      </c>
      <c r="C269" s="383"/>
      <c r="D269" s="380"/>
      <c r="E269" s="201"/>
      <c r="F269" s="201"/>
      <c r="G269" s="201"/>
      <c r="H269" s="383"/>
      <c r="I269" s="380"/>
      <c r="J269" s="201"/>
      <c r="K269" s="201"/>
      <c r="L269" s="201"/>
      <c r="M269" s="383"/>
      <c r="N269" s="380"/>
      <c r="O269" s="61"/>
      <c r="P269" s="61"/>
      <c r="Q269" s="61"/>
      <c r="R269" s="386"/>
      <c r="S269" s="385"/>
      <c r="T269" s="61"/>
      <c r="U269" s="61"/>
      <c r="V269" s="61"/>
      <c r="W269" s="386"/>
      <c r="X269" s="385"/>
      <c r="Y269" s="61"/>
      <c r="Z269" s="61"/>
      <c r="AA269" s="61"/>
      <c r="AB269" s="386"/>
    </row>
    <row r="270" spans="1:28" ht="18" customHeight="1" x14ac:dyDescent="0.2">
      <c r="A270" s="390"/>
      <c r="B270" s="162" t="s">
        <v>870</v>
      </c>
      <c r="C270" s="383"/>
      <c r="D270" s="380"/>
      <c r="E270" s="201"/>
      <c r="F270" s="201"/>
      <c r="G270" s="201"/>
      <c r="H270" s="383"/>
      <c r="I270" s="380"/>
      <c r="J270" s="201"/>
      <c r="K270" s="201"/>
      <c r="L270" s="201"/>
      <c r="M270" s="383"/>
      <c r="N270" s="380"/>
      <c r="O270" s="61"/>
      <c r="P270" s="61"/>
      <c r="Q270" s="61"/>
      <c r="R270" s="386"/>
      <c r="S270" s="385"/>
      <c r="T270" s="61"/>
      <c r="U270" s="61"/>
      <c r="V270" s="61"/>
      <c r="W270" s="386"/>
      <c r="X270" s="385"/>
      <c r="Y270" s="61"/>
      <c r="Z270" s="61"/>
      <c r="AA270" s="61"/>
      <c r="AB270" s="386"/>
    </row>
    <row r="271" spans="1:28" ht="18" customHeight="1" x14ac:dyDescent="0.2">
      <c r="A271" s="390"/>
      <c r="B271" s="162" t="s">
        <v>871</v>
      </c>
      <c r="C271" s="383"/>
      <c r="D271" s="380"/>
      <c r="E271" s="201"/>
      <c r="F271" s="201"/>
      <c r="G271" s="201"/>
      <c r="H271" s="383"/>
      <c r="I271" s="380"/>
      <c r="J271" s="201"/>
      <c r="K271" s="201"/>
      <c r="L271" s="201"/>
      <c r="M271" s="383"/>
      <c r="N271" s="380"/>
      <c r="O271" s="61"/>
      <c r="P271" s="61"/>
      <c r="Q271" s="61"/>
      <c r="R271" s="386"/>
      <c r="S271" s="385"/>
      <c r="T271" s="61"/>
      <c r="U271" s="61"/>
      <c r="V271" s="61"/>
      <c r="W271" s="386"/>
      <c r="X271" s="385"/>
      <c r="Y271" s="61"/>
      <c r="Z271" s="61"/>
      <c r="AA271" s="61"/>
      <c r="AB271" s="386"/>
    </row>
    <row r="272" spans="1:28" ht="18" customHeight="1" x14ac:dyDescent="0.2">
      <c r="A272" s="390"/>
      <c r="B272" s="162" t="s">
        <v>872</v>
      </c>
      <c r="C272" s="383"/>
      <c r="D272" s="380"/>
      <c r="E272" s="201"/>
      <c r="F272" s="201"/>
      <c r="G272" s="201"/>
      <c r="H272" s="383"/>
      <c r="I272" s="380"/>
      <c r="J272" s="201"/>
      <c r="K272" s="201"/>
      <c r="L272" s="201"/>
      <c r="M272" s="383"/>
      <c r="N272" s="380"/>
      <c r="O272" s="61"/>
      <c r="P272" s="61"/>
      <c r="Q272" s="61"/>
      <c r="R272" s="386"/>
      <c r="S272" s="385"/>
      <c r="T272" s="61"/>
      <c r="U272" s="61"/>
      <c r="V272" s="61"/>
      <c r="W272" s="386"/>
      <c r="X272" s="385"/>
      <c r="Y272" s="61"/>
      <c r="Z272" s="61"/>
      <c r="AA272" s="61"/>
      <c r="AB272" s="386"/>
    </row>
    <row r="273" spans="1:28" ht="18" customHeight="1" x14ac:dyDescent="0.2">
      <c r="A273" s="390"/>
      <c r="B273" s="162" t="s">
        <v>873</v>
      </c>
      <c r="C273" s="383"/>
      <c r="D273" s="380"/>
      <c r="E273" s="201"/>
      <c r="F273" s="201"/>
      <c r="G273" s="201"/>
      <c r="H273" s="383"/>
      <c r="I273" s="380"/>
      <c r="J273" s="201"/>
      <c r="K273" s="201"/>
      <c r="L273" s="201"/>
      <c r="M273" s="383"/>
      <c r="N273" s="380"/>
      <c r="O273" s="61"/>
      <c r="P273" s="61"/>
      <c r="Q273" s="61"/>
      <c r="R273" s="386"/>
      <c r="S273" s="385"/>
      <c r="T273" s="61"/>
      <c r="U273" s="61"/>
      <c r="V273" s="61"/>
      <c r="W273" s="386"/>
      <c r="X273" s="385"/>
      <c r="Y273" s="61"/>
      <c r="Z273" s="61"/>
      <c r="AA273" s="61"/>
      <c r="AB273" s="386"/>
    </row>
    <row r="274" spans="1:28" ht="18" customHeight="1" x14ac:dyDescent="0.2">
      <c r="A274" s="390"/>
      <c r="B274" s="162" t="s">
        <v>874</v>
      </c>
      <c r="C274" s="383"/>
      <c r="D274" s="380"/>
      <c r="E274" s="201"/>
      <c r="F274" s="201"/>
      <c r="G274" s="201"/>
      <c r="H274" s="383"/>
      <c r="I274" s="380"/>
      <c r="J274" s="201"/>
      <c r="K274" s="201"/>
      <c r="L274" s="201"/>
      <c r="M274" s="383"/>
      <c r="N274" s="380"/>
      <c r="O274" s="61"/>
      <c r="P274" s="61"/>
      <c r="Q274" s="61"/>
      <c r="R274" s="386"/>
      <c r="S274" s="385"/>
      <c r="T274" s="61"/>
      <c r="U274" s="61"/>
      <c r="V274" s="61"/>
      <c r="W274" s="386"/>
      <c r="X274" s="385"/>
      <c r="Y274" s="61"/>
      <c r="Z274" s="61"/>
      <c r="AA274" s="61"/>
      <c r="AB274" s="386"/>
    </row>
    <row r="275" spans="1:28" ht="16.149999999999999" customHeight="1" x14ac:dyDescent="0.2">
      <c r="A275" s="390"/>
      <c r="B275" s="162" t="s">
        <v>875</v>
      </c>
      <c r="C275" s="383"/>
      <c r="D275" s="380"/>
      <c r="E275" s="201"/>
      <c r="F275" s="201"/>
      <c r="G275" s="201"/>
      <c r="H275" s="383"/>
      <c r="I275" s="380"/>
      <c r="J275" s="201"/>
      <c r="K275" s="201"/>
      <c r="L275" s="201"/>
      <c r="M275" s="383"/>
      <c r="N275" s="380"/>
      <c r="O275" s="61"/>
      <c r="P275" s="61"/>
      <c r="Q275" s="61"/>
      <c r="R275" s="386"/>
      <c r="S275" s="385"/>
      <c r="T275" s="61"/>
      <c r="U275" s="61"/>
      <c r="V275" s="61"/>
      <c r="W275" s="386"/>
      <c r="X275" s="385"/>
      <c r="Y275" s="61"/>
      <c r="Z275" s="61"/>
      <c r="AA275" s="61"/>
      <c r="AB275" s="386"/>
    </row>
    <row r="276" spans="1:28" ht="16.149999999999999" customHeight="1" x14ac:dyDescent="0.2">
      <c r="A276" s="390"/>
      <c r="B276" s="162" t="s">
        <v>876</v>
      </c>
      <c r="C276" s="383"/>
      <c r="D276" s="380"/>
      <c r="E276" s="201"/>
      <c r="F276" s="201"/>
      <c r="G276" s="201"/>
      <c r="H276" s="383"/>
      <c r="I276" s="380"/>
      <c r="J276" s="201"/>
      <c r="K276" s="201"/>
      <c r="L276" s="201"/>
      <c r="M276" s="383"/>
      <c r="N276" s="380"/>
      <c r="O276" s="61"/>
      <c r="P276" s="61"/>
      <c r="Q276" s="61"/>
      <c r="R276" s="386"/>
      <c r="S276" s="385"/>
      <c r="T276" s="61"/>
      <c r="U276" s="61"/>
      <c r="V276" s="61"/>
      <c r="W276" s="386"/>
      <c r="X276" s="385"/>
      <c r="Y276" s="61"/>
      <c r="Z276" s="61"/>
      <c r="AA276" s="61"/>
      <c r="AB276" s="386"/>
    </row>
    <row r="277" spans="1:28" ht="16.149999999999999" customHeight="1" x14ac:dyDescent="0.2">
      <c r="A277" s="390"/>
      <c r="B277" s="162" t="s">
        <v>877</v>
      </c>
      <c r="C277" s="383"/>
      <c r="D277" s="380"/>
      <c r="E277" s="201"/>
      <c r="F277" s="201"/>
      <c r="G277" s="201"/>
      <c r="H277" s="383"/>
      <c r="I277" s="380"/>
      <c r="J277" s="201"/>
      <c r="K277" s="201"/>
      <c r="L277" s="201"/>
      <c r="M277" s="383"/>
      <c r="N277" s="380"/>
      <c r="O277" s="61"/>
      <c r="P277" s="61"/>
      <c r="Q277" s="61"/>
      <c r="R277" s="386"/>
      <c r="S277" s="385"/>
      <c r="T277" s="61"/>
      <c r="U277" s="61"/>
      <c r="V277" s="61"/>
      <c r="W277" s="386"/>
      <c r="X277" s="385"/>
      <c r="Y277" s="61"/>
      <c r="Z277" s="61"/>
      <c r="AA277" s="61"/>
      <c r="AB277" s="386"/>
    </row>
    <row r="278" spans="1:28" ht="16.149999999999999" customHeight="1" x14ac:dyDescent="0.2">
      <c r="A278" s="390"/>
      <c r="B278" s="162" t="s">
        <v>878</v>
      </c>
      <c r="C278" s="383"/>
      <c r="D278" s="380"/>
      <c r="E278" s="201"/>
      <c r="F278" s="201"/>
      <c r="G278" s="201"/>
      <c r="H278" s="383"/>
      <c r="I278" s="380"/>
      <c r="J278" s="201"/>
      <c r="K278" s="201"/>
      <c r="L278" s="201"/>
      <c r="M278" s="383"/>
      <c r="N278" s="380"/>
      <c r="O278" s="61"/>
      <c r="P278" s="61"/>
      <c r="Q278" s="61"/>
      <c r="R278" s="386"/>
      <c r="S278" s="385"/>
      <c r="T278" s="61"/>
      <c r="U278" s="61"/>
      <c r="V278" s="61"/>
      <c r="W278" s="386"/>
      <c r="X278" s="385"/>
      <c r="Y278" s="61"/>
      <c r="Z278" s="61"/>
      <c r="AA278" s="61"/>
      <c r="AB278" s="386"/>
    </row>
    <row r="279" spans="1:28" ht="16.149999999999999" customHeight="1" x14ac:dyDescent="0.2">
      <c r="A279" s="390"/>
      <c r="B279" s="162" t="s">
        <v>879</v>
      </c>
      <c r="C279" s="383"/>
      <c r="D279" s="380"/>
      <c r="E279" s="201"/>
      <c r="F279" s="201"/>
      <c r="G279" s="201"/>
      <c r="H279" s="383"/>
      <c r="I279" s="380"/>
      <c r="J279" s="201"/>
      <c r="K279" s="201"/>
      <c r="L279" s="201"/>
      <c r="M279" s="383"/>
      <c r="N279" s="380"/>
      <c r="O279" s="61"/>
      <c r="P279" s="61"/>
      <c r="Q279" s="61"/>
      <c r="R279" s="386"/>
      <c r="S279" s="385"/>
      <c r="T279" s="61"/>
      <c r="U279" s="61"/>
      <c r="V279" s="61"/>
      <c r="W279" s="386"/>
      <c r="X279" s="385"/>
      <c r="Y279" s="61"/>
      <c r="Z279" s="61"/>
      <c r="AA279" s="61"/>
      <c r="AB279" s="386"/>
    </row>
    <row r="280" spans="1:28" ht="16.149999999999999" customHeight="1" x14ac:dyDescent="0.2">
      <c r="A280" s="390"/>
      <c r="B280" s="162" t="s">
        <v>880</v>
      </c>
      <c r="C280" s="383"/>
      <c r="D280" s="380"/>
      <c r="E280" s="201"/>
      <c r="F280" s="201"/>
      <c r="G280" s="201"/>
      <c r="H280" s="383"/>
      <c r="I280" s="380"/>
      <c r="J280" s="201"/>
      <c r="K280" s="201"/>
      <c r="L280" s="201"/>
      <c r="M280" s="383"/>
      <c r="N280" s="380"/>
      <c r="O280" s="61"/>
      <c r="P280" s="61"/>
      <c r="Q280" s="61"/>
      <c r="R280" s="386"/>
      <c r="S280" s="385"/>
      <c r="T280" s="61"/>
      <c r="U280" s="61"/>
      <c r="V280" s="61"/>
      <c r="W280" s="386"/>
      <c r="X280" s="385"/>
      <c r="Y280" s="61"/>
      <c r="Z280" s="61"/>
      <c r="AA280" s="61"/>
      <c r="AB280" s="386"/>
    </row>
    <row r="281" spans="1:28" ht="16.149999999999999" customHeight="1" x14ac:dyDescent="0.2">
      <c r="A281" s="390"/>
      <c r="B281" s="162" t="s">
        <v>881</v>
      </c>
      <c r="C281" s="383"/>
      <c r="D281" s="380"/>
      <c r="E281" s="201"/>
      <c r="F281" s="201"/>
      <c r="G281" s="201"/>
      <c r="H281" s="383"/>
      <c r="I281" s="380"/>
      <c r="J281" s="201"/>
      <c r="K281" s="201"/>
      <c r="L281" s="201"/>
      <c r="M281" s="383"/>
      <c r="N281" s="380"/>
      <c r="O281" s="61"/>
      <c r="P281" s="61"/>
      <c r="Q281" s="61"/>
      <c r="R281" s="386"/>
      <c r="S281" s="385"/>
      <c r="T281" s="61"/>
      <c r="U281" s="61"/>
      <c r="V281" s="61"/>
      <c r="W281" s="386"/>
      <c r="X281" s="385"/>
      <c r="Y281" s="61"/>
      <c r="Z281" s="61"/>
      <c r="AA281" s="61"/>
      <c r="AB281" s="386"/>
    </row>
    <row r="282" spans="1:28" ht="16.149999999999999" customHeight="1" x14ac:dyDescent="0.2">
      <c r="A282" s="390"/>
      <c r="B282" s="162" t="s">
        <v>882</v>
      </c>
      <c r="C282" s="383"/>
      <c r="D282" s="380"/>
      <c r="E282" s="201"/>
      <c r="F282" s="201"/>
      <c r="G282" s="201"/>
      <c r="H282" s="383"/>
      <c r="I282" s="380"/>
      <c r="J282" s="201"/>
      <c r="K282" s="201"/>
      <c r="L282" s="201"/>
      <c r="M282" s="383"/>
      <c r="N282" s="380"/>
      <c r="O282" s="61"/>
      <c r="P282" s="61"/>
      <c r="Q282" s="61"/>
      <c r="R282" s="386"/>
      <c r="S282" s="385"/>
      <c r="T282" s="61"/>
      <c r="U282" s="61"/>
      <c r="V282" s="61"/>
      <c r="W282" s="386"/>
      <c r="X282" s="385"/>
      <c r="Y282" s="61"/>
      <c r="Z282" s="61"/>
      <c r="AA282" s="61"/>
      <c r="AB282" s="386"/>
    </row>
    <row r="283" spans="1:28" ht="16.149999999999999" customHeight="1" x14ac:dyDescent="0.2">
      <c r="A283" s="390"/>
      <c r="B283" s="162" t="s">
        <v>883</v>
      </c>
      <c r="C283" s="383"/>
      <c r="D283" s="380"/>
      <c r="E283" s="201"/>
      <c r="F283" s="201"/>
      <c r="G283" s="201"/>
      <c r="H283" s="383"/>
      <c r="I283" s="380"/>
      <c r="J283" s="201"/>
      <c r="K283" s="201"/>
      <c r="L283" s="201"/>
      <c r="M283" s="383"/>
      <c r="N283" s="380"/>
      <c r="O283" s="61"/>
      <c r="P283" s="61"/>
      <c r="Q283" s="61"/>
      <c r="R283" s="386"/>
      <c r="S283" s="385"/>
      <c r="T283" s="61"/>
      <c r="U283" s="61"/>
      <c r="V283" s="61"/>
      <c r="W283" s="386"/>
      <c r="X283" s="385"/>
      <c r="Y283" s="61"/>
      <c r="Z283" s="61"/>
      <c r="AA283" s="61"/>
      <c r="AB283" s="386"/>
    </row>
    <row r="284" spans="1:28" ht="16.149999999999999" customHeight="1" x14ac:dyDescent="0.2">
      <c r="A284" s="390"/>
      <c r="B284" s="162" t="s">
        <v>884</v>
      </c>
      <c r="C284" s="383"/>
      <c r="D284" s="380"/>
      <c r="E284" s="201"/>
      <c r="F284" s="201"/>
      <c r="G284" s="201"/>
      <c r="H284" s="383"/>
      <c r="I284" s="380"/>
      <c r="J284" s="201"/>
      <c r="K284" s="201"/>
      <c r="L284" s="201"/>
      <c r="M284" s="383"/>
      <c r="N284" s="380"/>
      <c r="O284" s="61"/>
      <c r="P284" s="61"/>
      <c r="Q284" s="61"/>
      <c r="R284" s="386"/>
      <c r="S284" s="385"/>
      <c r="T284" s="61"/>
      <c r="U284" s="61"/>
      <c r="V284" s="61"/>
      <c r="W284" s="386"/>
      <c r="X284" s="385"/>
      <c r="Y284" s="61"/>
      <c r="Z284" s="61"/>
      <c r="AA284" s="61"/>
      <c r="AB284" s="386"/>
    </row>
    <row r="285" spans="1:28" ht="16.149999999999999" customHeight="1" x14ac:dyDescent="0.2">
      <c r="A285" s="390"/>
      <c r="B285" s="162" t="s">
        <v>903</v>
      </c>
      <c r="C285" s="383"/>
      <c r="D285" s="380"/>
      <c r="E285" s="201"/>
      <c r="F285" s="201"/>
      <c r="G285" s="201"/>
      <c r="H285" s="383"/>
      <c r="I285" s="380"/>
      <c r="J285" s="201"/>
      <c r="K285" s="201"/>
      <c r="L285" s="201"/>
      <c r="M285" s="383"/>
      <c r="N285" s="380"/>
      <c r="O285" s="61"/>
      <c r="P285" s="61"/>
      <c r="Q285" s="61"/>
      <c r="R285" s="386"/>
      <c r="S285" s="385"/>
      <c r="T285" s="61"/>
      <c r="U285" s="61"/>
      <c r="V285" s="61"/>
      <c r="W285" s="386"/>
      <c r="X285" s="385"/>
      <c r="Y285" s="61"/>
      <c r="Z285" s="61"/>
      <c r="AA285" s="61"/>
      <c r="AB285" s="386"/>
    </row>
    <row r="286" spans="1:28" ht="16.149999999999999" customHeight="1" x14ac:dyDescent="0.2">
      <c r="A286" s="390"/>
      <c r="B286" s="162" t="s">
        <v>886</v>
      </c>
      <c r="C286" s="383"/>
      <c r="D286" s="380"/>
      <c r="E286" s="201"/>
      <c r="F286" s="201"/>
      <c r="G286" s="201"/>
      <c r="H286" s="383"/>
      <c r="I286" s="380"/>
      <c r="J286" s="201"/>
      <c r="K286" s="201"/>
      <c r="L286" s="201"/>
      <c r="M286" s="383"/>
      <c r="N286" s="380"/>
      <c r="O286" s="61"/>
      <c r="P286" s="61"/>
      <c r="Q286" s="61"/>
      <c r="R286" s="386"/>
      <c r="S286" s="385"/>
      <c r="T286" s="61"/>
      <c r="U286" s="61"/>
      <c r="V286" s="61"/>
      <c r="W286" s="386"/>
      <c r="X286" s="385"/>
      <c r="Y286" s="61"/>
      <c r="Z286" s="61"/>
      <c r="AA286" s="61"/>
      <c r="AB286" s="386"/>
    </row>
    <row r="287" spans="1:28" ht="16.149999999999999" customHeight="1" x14ac:dyDescent="0.2">
      <c r="A287" s="390"/>
      <c r="B287" s="162" t="s">
        <v>901</v>
      </c>
      <c r="C287" s="383"/>
      <c r="D287" s="380"/>
      <c r="E287" s="201"/>
      <c r="F287" s="201"/>
      <c r="G287" s="201"/>
      <c r="H287" s="383"/>
      <c r="I287" s="380"/>
      <c r="J287" s="201"/>
      <c r="K287" s="201"/>
      <c r="L287" s="201"/>
      <c r="M287" s="383"/>
      <c r="N287" s="380"/>
      <c r="O287" s="61"/>
      <c r="P287" s="61"/>
      <c r="Q287" s="61"/>
      <c r="R287" s="386"/>
      <c r="S287" s="385"/>
      <c r="T287" s="61"/>
      <c r="U287" s="61"/>
      <c r="V287" s="61"/>
      <c r="W287" s="386"/>
      <c r="X287" s="385"/>
      <c r="Y287" s="61"/>
      <c r="Z287" s="61"/>
      <c r="AA287" s="61"/>
      <c r="AB287" s="386"/>
    </row>
    <row r="288" spans="1:28" ht="16.149999999999999" customHeight="1" x14ac:dyDescent="0.2">
      <c r="A288" s="390"/>
      <c r="B288" s="162" t="s">
        <v>900</v>
      </c>
      <c r="C288" s="383"/>
      <c r="D288" s="380"/>
      <c r="E288" s="201"/>
      <c r="F288" s="201"/>
      <c r="G288" s="201"/>
      <c r="H288" s="383"/>
      <c r="I288" s="380"/>
      <c r="J288" s="201"/>
      <c r="K288" s="201"/>
      <c r="L288" s="201"/>
      <c r="M288" s="383"/>
      <c r="N288" s="380"/>
      <c r="O288" s="61"/>
      <c r="P288" s="61"/>
      <c r="Q288" s="61"/>
      <c r="R288" s="386"/>
      <c r="S288" s="385"/>
      <c r="T288" s="61"/>
      <c r="U288" s="61"/>
      <c r="V288" s="61"/>
      <c r="W288" s="386"/>
      <c r="X288" s="385"/>
      <c r="Y288" s="61"/>
      <c r="Z288" s="61"/>
      <c r="AA288" s="61"/>
      <c r="AB288" s="386"/>
    </row>
    <row r="289" spans="1:28" ht="16.149999999999999" customHeight="1" x14ac:dyDescent="0.2">
      <c r="A289" s="390"/>
      <c r="B289" s="162" t="s">
        <v>887</v>
      </c>
      <c r="C289" s="383"/>
      <c r="D289" s="380"/>
      <c r="E289" s="201"/>
      <c r="F289" s="201"/>
      <c r="G289" s="201"/>
      <c r="H289" s="383"/>
      <c r="I289" s="380"/>
      <c r="J289" s="201"/>
      <c r="K289" s="201"/>
      <c r="L289" s="201"/>
      <c r="M289" s="383"/>
      <c r="N289" s="380"/>
      <c r="O289" s="61"/>
      <c r="P289" s="61"/>
      <c r="Q289" s="61"/>
      <c r="R289" s="386"/>
      <c r="S289" s="385"/>
      <c r="T289" s="61"/>
      <c r="U289" s="61"/>
      <c r="V289" s="61"/>
      <c r="W289" s="386"/>
      <c r="X289" s="385"/>
      <c r="Y289" s="61"/>
      <c r="Z289" s="61"/>
      <c r="AA289" s="61"/>
      <c r="AB289" s="386"/>
    </row>
    <row r="290" spans="1:28" ht="16.149999999999999" customHeight="1" x14ac:dyDescent="0.2">
      <c r="A290" s="390"/>
      <c r="B290" s="162" t="s">
        <v>899</v>
      </c>
      <c r="C290" s="383"/>
      <c r="D290" s="380"/>
      <c r="E290" s="201"/>
      <c r="F290" s="201"/>
      <c r="G290" s="201"/>
      <c r="H290" s="383"/>
      <c r="I290" s="380"/>
      <c r="J290" s="201"/>
      <c r="K290" s="201"/>
      <c r="L290" s="201"/>
      <c r="M290" s="383"/>
      <c r="N290" s="380"/>
      <c r="O290" s="61"/>
      <c r="P290" s="61"/>
      <c r="Q290" s="61"/>
      <c r="R290" s="386"/>
      <c r="S290" s="385"/>
      <c r="T290" s="61"/>
      <c r="U290" s="61"/>
      <c r="V290" s="61"/>
      <c r="W290" s="386"/>
      <c r="X290" s="385"/>
      <c r="Y290" s="61"/>
      <c r="Z290" s="61"/>
      <c r="AA290" s="61"/>
      <c r="AB290" s="386"/>
    </row>
    <row r="291" spans="1:28" ht="16.149999999999999" customHeight="1" x14ac:dyDescent="0.2">
      <c r="A291" s="390"/>
      <c r="B291" s="162" t="s">
        <v>898</v>
      </c>
      <c r="C291" s="383"/>
      <c r="D291" s="380"/>
      <c r="E291" s="201"/>
      <c r="F291" s="201"/>
      <c r="G291" s="201"/>
      <c r="H291" s="383"/>
      <c r="I291" s="380"/>
      <c r="J291" s="201"/>
      <c r="K291" s="201"/>
      <c r="L291" s="201"/>
      <c r="M291" s="383"/>
      <c r="N291" s="380"/>
      <c r="O291" s="61"/>
      <c r="P291" s="61"/>
      <c r="Q291" s="61"/>
      <c r="R291" s="386"/>
      <c r="S291" s="385"/>
      <c r="T291" s="61"/>
      <c r="U291" s="61"/>
      <c r="V291" s="61"/>
      <c r="W291" s="386"/>
      <c r="X291" s="385"/>
      <c r="Y291" s="61"/>
      <c r="Z291" s="61"/>
      <c r="AA291" s="61"/>
      <c r="AB291" s="386"/>
    </row>
    <row r="292" spans="1:28" ht="16.149999999999999" customHeight="1" x14ac:dyDescent="0.2">
      <c r="A292" s="390"/>
      <c r="B292" s="162" t="s">
        <v>897</v>
      </c>
      <c r="C292" s="383"/>
      <c r="D292" s="380"/>
      <c r="E292" s="201"/>
      <c r="F292" s="201"/>
      <c r="G292" s="201"/>
      <c r="H292" s="383"/>
      <c r="I292" s="380"/>
      <c r="J292" s="201"/>
      <c r="K292" s="201"/>
      <c r="L292" s="201"/>
      <c r="M292" s="383"/>
      <c r="N292" s="380"/>
      <c r="O292" s="61"/>
      <c r="P292" s="61"/>
      <c r="Q292" s="61"/>
      <c r="R292" s="386"/>
      <c r="S292" s="385"/>
      <c r="T292" s="61"/>
      <c r="U292" s="61"/>
      <c r="V292" s="61"/>
      <c r="W292" s="386"/>
      <c r="X292" s="385"/>
      <c r="Y292" s="61"/>
      <c r="Z292" s="61"/>
      <c r="AA292" s="61"/>
      <c r="AB292" s="386"/>
    </row>
    <row r="293" spans="1:28" ht="16.149999999999999" customHeight="1" x14ac:dyDescent="0.2">
      <c r="A293" s="390"/>
      <c r="B293" s="162" t="s">
        <v>888</v>
      </c>
      <c r="C293" s="383"/>
      <c r="D293" s="380"/>
      <c r="E293" s="201"/>
      <c r="F293" s="201"/>
      <c r="G293" s="201"/>
      <c r="H293" s="383"/>
      <c r="I293" s="380"/>
      <c r="J293" s="201"/>
      <c r="K293" s="201"/>
      <c r="L293" s="201"/>
      <c r="M293" s="383"/>
      <c r="N293" s="380"/>
      <c r="O293" s="61"/>
      <c r="P293" s="61"/>
      <c r="Q293" s="61"/>
      <c r="R293" s="386"/>
      <c r="S293" s="385"/>
      <c r="T293" s="61"/>
      <c r="U293" s="61"/>
      <c r="V293" s="61"/>
      <c r="W293" s="386"/>
      <c r="X293" s="385"/>
      <c r="Y293" s="61"/>
      <c r="Z293" s="61"/>
      <c r="AA293" s="61"/>
      <c r="AB293" s="386"/>
    </row>
    <row r="294" spans="1:28" ht="15" customHeight="1" x14ac:dyDescent="0.2">
      <c r="A294" s="390"/>
      <c r="B294" s="162" t="s">
        <v>889</v>
      </c>
      <c r="C294" s="383"/>
      <c r="D294" s="380"/>
      <c r="E294" s="201"/>
      <c r="F294" s="201"/>
      <c r="G294" s="201"/>
      <c r="H294" s="383"/>
      <c r="I294" s="380"/>
      <c r="J294" s="201"/>
      <c r="K294" s="201"/>
      <c r="L294" s="201"/>
      <c r="M294" s="383"/>
      <c r="N294" s="380"/>
      <c r="O294" s="61"/>
      <c r="P294" s="61"/>
      <c r="Q294" s="61"/>
      <c r="R294" s="386"/>
      <c r="S294" s="385"/>
      <c r="T294" s="61"/>
      <c r="U294" s="61"/>
      <c r="V294" s="61"/>
      <c r="W294" s="386"/>
      <c r="X294" s="385"/>
      <c r="Y294" s="61"/>
      <c r="Z294" s="61"/>
      <c r="AA294" s="61"/>
      <c r="AB294" s="386"/>
    </row>
    <row r="295" spans="1:28" ht="16.5" customHeight="1" x14ac:dyDescent="0.2">
      <c r="A295" s="390"/>
      <c r="B295" s="162" t="s">
        <v>896</v>
      </c>
      <c r="C295" s="383"/>
      <c r="D295" s="380"/>
      <c r="E295" s="201"/>
      <c r="F295" s="201"/>
      <c r="G295" s="201"/>
      <c r="H295" s="383"/>
      <c r="I295" s="380"/>
      <c r="J295" s="201"/>
      <c r="K295" s="201"/>
      <c r="L295" s="201"/>
      <c r="M295" s="383"/>
      <c r="N295" s="380"/>
      <c r="O295" s="61"/>
      <c r="P295" s="61"/>
      <c r="Q295" s="61"/>
      <c r="R295" s="386"/>
      <c r="S295" s="385"/>
      <c r="T295" s="61"/>
      <c r="U295" s="61"/>
      <c r="V295" s="61"/>
      <c r="W295" s="386"/>
      <c r="X295" s="385"/>
      <c r="Y295" s="61"/>
      <c r="Z295" s="61"/>
      <c r="AA295" s="61"/>
      <c r="AB295" s="386"/>
    </row>
    <row r="296" spans="1:28" ht="15.75" customHeight="1" x14ac:dyDescent="0.2">
      <c r="A296" s="390"/>
      <c r="B296" s="162" t="s">
        <v>890</v>
      </c>
      <c r="C296" s="383"/>
      <c r="D296" s="380"/>
      <c r="E296" s="199"/>
      <c r="F296" s="199"/>
      <c r="G296" s="199"/>
      <c r="H296" s="383"/>
      <c r="I296" s="380"/>
      <c r="J296" s="199"/>
      <c r="K296" s="199"/>
      <c r="L296" s="199"/>
      <c r="M296" s="383"/>
      <c r="N296" s="380"/>
      <c r="O296" s="200"/>
      <c r="P296" s="200"/>
      <c r="Q296" s="200"/>
      <c r="R296" s="386"/>
      <c r="S296" s="385"/>
      <c r="T296" s="200"/>
      <c r="U296" s="200"/>
      <c r="V296" s="200"/>
      <c r="W296" s="386"/>
      <c r="X296" s="385"/>
      <c r="Y296" s="200"/>
      <c r="Z296" s="200"/>
      <c r="AA296" s="200"/>
      <c r="AB296" s="386"/>
    </row>
    <row r="297" spans="1:28" ht="15.75" customHeight="1" x14ac:dyDescent="0.2">
      <c r="A297" s="390"/>
      <c r="B297" s="162" t="s">
        <v>891</v>
      </c>
      <c r="C297" s="383"/>
      <c r="D297" s="380"/>
      <c r="E297" s="199"/>
      <c r="F297" s="199"/>
      <c r="G297" s="199"/>
      <c r="H297" s="383"/>
      <c r="I297" s="380"/>
      <c r="J297" s="199"/>
      <c r="K297" s="199"/>
      <c r="L297" s="199"/>
      <c r="M297" s="383"/>
      <c r="N297" s="380"/>
      <c r="O297" s="200"/>
      <c r="P297" s="200"/>
      <c r="Q297" s="200"/>
      <c r="R297" s="386"/>
      <c r="S297" s="385"/>
      <c r="T297" s="200"/>
      <c r="U297" s="200"/>
      <c r="V297" s="200"/>
      <c r="W297" s="386"/>
      <c r="X297" s="385"/>
      <c r="Y297" s="200"/>
      <c r="Z297" s="200"/>
      <c r="AA297" s="200"/>
      <c r="AB297" s="386"/>
    </row>
    <row r="298" spans="1:28" ht="15.75" customHeight="1" x14ac:dyDescent="0.2">
      <c r="A298" s="390"/>
      <c r="B298" s="161" t="s">
        <v>329</v>
      </c>
      <c r="C298" s="383"/>
      <c r="D298" s="380"/>
      <c r="E298" s="199"/>
      <c r="F298" s="199"/>
      <c r="G298" s="199"/>
      <c r="H298" s="383"/>
      <c r="I298" s="380"/>
      <c r="J298" s="199"/>
      <c r="K298" s="199"/>
      <c r="L298" s="199"/>
      <c r="M298" s="383"/>
      <c r="N298" s="380"/>
      <c r="O298" s="200"/>
      <c r="P298" s="200"/>
      <c r="Q298" s="200"/>
      <c r="R298" s="386"/>
      <c r="S298" s="385"/>
      <c r="T298" s="200"/>
      <c r="U298" s="200"/>
      <c r="V298" s="200"/>
      <c r="W298" s="386"/>
      <c r="X298" s="385"/>
      <c r="Y298" s="200"/>
      <c r="Z298" s="200"/>
      <c r="AA298" s="200"/>
      <c r="AB298" s="386"/>
    </row>
    <row r="299" spans="1:28" ht="16.149999999999999" customHeight="1" x14ac:dyDescent="0.2">
      <c r="A299" s="390"/>
      <c r="B299" s="162" t="s">
        <v>902</v>
      </c>
      <c r="C299" s="383"/>
      <c r="D299" s="380"/>
      <c r="E299" s="199"/>
      <c r="F299" s="199"/>
      <c r="G299" s="199"/>
      <c r="H299" s="383"/>
      <c r="I299" s="380"/>
      <c r="J299" s="199"/>
      <c r="K299" s="199"/>
      <c r="L299" s="199"/>
      <c r="M299" s="383"/>
      <c r="N299" s="380"/>
      <c r="O299" s="200"/>
      <c r="P299" s="200"/>
      <c r="Q299" s="200"/>
      <c r="R299" s="386"/>
      <c r="S299" s="385"/>
      <c r="T299" s="200"/>
      <c r="U299" s="200"/>
      <c r="V299" s="200"/>
      <c r="W299" s="386"/>
      <c r="X299" s="385"/>
      <c r="Y299" s="200"/>
      <c r="Z299" s="200"/>
      <c r="AA299" s="200"/>
      <c r="AB299" s="386"/>
    </row>
    <row r="300" spans="1:28" ht="16.149999999999999" customHeight="1" x14ac:dyDescent="0.2">
      <c r="A300" s="390"/>
      <c r="B300" s="162" t="s">
        <v>904</v>
      </c>
      <c r="C300" s="383"/>
      <c r="D300" s="380"/>
      <c r="E300" s="199"/>
      <c r="F300" s="199"/>
      <c r="G300" s="199"/>
      <c r="H300" s="383"/>
      <c r="I300" s="380"/>
      <c r="J300" s="199"/>
      <c r="K300" s="199"/>
      <c r="L300" s="199"/>
      <c r="M300" s="383"/>
      <c r="N300" s="380"/>
      <c r="O300" s="200"/>
      <c r="P300" s="200"/>
      <c r="Q300" s="200"/>
      <c r="R300" s="386"/>
      <c r="S300" s="385"/>
      <c r="T300" s="200"/>
      <c r="U300" s="200"/>
      <c r="V300" s="200"/>
      <c r="W300" s="386"/>
      <c r="X300" s="385"/>
      <c r="Y300" s="200"/>
      <c r="Z300" s="200"/>
      <c r="AA300" s="200"/>
      <c r="AB300" s="386"/>
    </row>
    <row r="301" spans="1:28" ht="16.149999999999999" customHeight="1" x14ac:dyDescent="0.2">
      <c r="A301" s="390"/>
      <c r="B301" s="162" t="s">
        <v>905</v>
      </c>
      <c r="C301" s="383"/>
      <c r="D301" s="380"/>
      <c r="E301" s="199"/>
      <c r="F301" s="199"/>
      <c r="G301" s="199"/>
      <c r="H301" s="383"/>
      <c r="I301" s="380"/>
      <c r="J301" s="199"/>
      <c r="K301" s="199"/>
      <c r="L301" s="199"/>
      <c r="M301" s="383"/>
      <c r="N301" s="380"/>
      <c r="O301" s="200"/>
      <c r="P301" s="200"/>
      <c r="Q301" s="200"/>
      <c r="R301" s="386"/>
      <c r="S301" s="385"/>
      <c r="T301" s="200"/>
      <c r="U301" s="200"/>
      <c r="V301" s="200"/>
      <c r="W301" s="386"/>
      <c r="X301" s="385"/>
      <c r="Y301" s="200"/>
      <c r="Z301" s="200"/>
      <c r="AA301" s="200"/>
      <c r="AB301" s="386"/>
    </row>
    <row r="302" spans="1:28" ht="16.149999999999999" customHeight="1" x14ac:dyDescent="0.2">
      <c r="A302" s="390"/>
      <c r="B302" s="162" t="s">
        <v>906</v>
      </c>
      <c r="C302" s="383"/>
      <c r="D302" s="380"/>
      <c r="E302" s="199"/>
      <c r="F302" s="199"/>
      <c r="G302" s="199"/>
      <c r="H302" s="383"/>
      <c r="I302" s="380"/>
      <c r="J302" s="199"/>
      <c r="K302" s="199"/>
      <c r="L302" s="199"/>
      <c r="M302" s="383"/>
      <c r="N302" s="380"/>
      <c r="O302" s="200"/>
      <c r="P302" s="200"/>
      <c r="Q302" s="200"/>
      <c r="R302" s="386"/>
      <c r="S302" s="385"/>
      <c r="T302" s="200"/>
      <c r="U302" s="200"/>
      <c r="V302" s="200"/>
      <c r="W302" s="386"/>
      <c r="X302" s="385"/>
      <c r="Y302" s="200"/>
      <c r="Z302" s="200"/>
      <c r="AA302" s="200"/>
      <c r="AB302" s="386"/>
    </row>
    <row r="303" spans="1:28" ht="16.149999999999999" customHeight="1" x14ac:dyDescent="0.2">
      <c r="A303" s="390"/>
      <c r="B303" s="162" t="s">
        <v>907</v>
      </c>
      <c r="C303" s="383"/>
      <c r="D303" s="380"/>
      <c r="E303" s="199"/>
      <c r="F303" s="199"/>
      <c r="G303" s="199"/>
      <c r="H303" s="383"/>
      <c r="I303" s="380"/>
      <c r="J303" s="199"/>
      <c r="K303" s="199"/>
      <c r="L303" s="199"/>
      <c r="M303" s="383"/>
      <c r="N303" s="380"/>
      <c r="O303" s="200"/>
      <c r="P303" s="200"/>
      <c r="Q303" s="200"/>
      <c r="R303" s="386"/>
      <c r="S303" s="385"/>
      <c r="T303" s="200"/>
      <c r="U303" s="200"/>
      <c r="V303" s="200"/>
      <c r="W303" s="386"/>
      <c r="X303" s="385"/>
      <c r="Y303" s="200"/>
      <c r="Z303" s="200"/>
      <c r="AA303" s="200"/>
      <c r="AB303" s="386"/>
    </row>
    <row r="304" spans="1:28" ht="16.149999999999999" customHeight="1" x14ac:dyDescent="0.2">
      <c r="A304" s="390"/>
      <c r="B304" s="162" t="s">
        <v>328</v>
      </c>
      <c r="C304" s="383"/>
      <c r="D304" s="380"/>
      <c r="E304" s="199"/>
      <c r="F304" s="199"/>
      <c r="G304" s="199"/>
      <c r="H304" s="383"/>
      <c r="I304" s="380"/>
      <c r="J304" s="199"/>
      <c r="K304" s="199"/>
      <c r="L304" s="199"/>
      <c r="M304" s="383"/>
      <c r="N304" s="380"/>
      <c r="O304" s="200"/>
      <c r="P304" s="200"/>
      <c r="Q304" s="200"/>
      <c r="R304" s="386"/>
      <c r="S304" s="385"/>
      <c r="T304" s="200"/>
      <c r="U304" s="200"/>
      <c r="V304" s="200"/>
      <c r="W304" s="386"/>
      <c r="X304" s="385"/>
      <c r="Y304" s="200"/>
      <c r="Z304" s="200"/>
      <c r="AA304" s="200"/>
      <c r="AB304" s="386"/>
    </row>
    <row r="305" spans="1:28" ht="12.75" customHeight="1" x14ac:dyDescent="0.2">
      <c r="A305" s="390"/>
      <c r="B305" s="162" t="s">
        <v>908</v>
      </c>
      <c r="C305" s="383"/>
      <c r="D305" s="380"/>
      <c r="E305" s="199"/>
      <c r="F305" s="199"/>
      <c r="G305" s="199"/>
      <c r="H305" s="383"/>
      <c r="I305" s="380"/>
      <c r="J305" s="199"/>
      <c r="K305" s="199"/>
      <c r="L305" s="199"/>
      <c r="M305" s="383"/>
      <c r="N305" s="380"/>
      <c r="O305" s="200"/>
      <c r="P305" s="200"/>
      <c r="Q305" s="200"/>
      <c r="R305" s="386"/>
      <c r="S305" s="385"/>
      <c r="T305" s="200"/>
      <c r="U305" s="200"/>
      <c r="V305" s="200"/>
      <c r="W305" s="386"/>
      <c r="X305" s="385"/>
      <c r="Y305" s="200"/>
      <c r="Z305" s="200"/>
      <c r="AA305" s="200"/>
      <c r="AB305" s="386"/>
    </row>
    <row r="306" spans="1:28" ht="12.75" customHeight="1" x14ac:dyDescent="0.2">
      <c r="A306" s="390"/>
      <c r="B306" s="162" t="s">
        <v>909</v>
      </c>
      <c r="C306" s="383"/>
      <c r="D306" s="380"/>
      <c r="E306" s="199"/>
      <c r="F306" s="199"/>
      <c r="G306" s="199"/>
      <c r="H306" s="383"/>
      <c r="I306" s="380"/>
      <c r="J306" s="199"/>
      <c r="K306" s="199"/>
      <c r="L306" s="199"/>
      <c r="M306" s="383"/>
      <c r="N306" s="380"/>
      <c r="O306" s="200"/>
      <c r="P306" s="200"/>
      <c r="Q306" s="200"/>
      <c r="R306" s="386"/>
      <c r="S306" s="385"/>
      <c r="T306" s="200"/>
      <c r="U306" s="200"/>
      <c r="V306" s="200"/>
      <c r="W306" s="386"/>
      <c r="X306" s="385"/>
      <c r="Y306" s="200"/>
      <c r="Z306" s="200"/>
      <c r="AA306" s="200"/>
      <c r="AB306" s="386"/>
    </row>
    <row r="307" spans="1:28" ht="13.5" customHeight="1" x14ac:dyDescent="0.2">
      <c r="A307" s="390"/>
      <c r="B307" s="162" t="s">
        <v>910</v>
      </c>
      <c r="C307" s="383"/>
      <c r="D307" s="380"/>
      <c r="E307" s="199"/>
      <c r="F307" s="199"/>
      <c r="G307" s="199"/>
      <c r="H307" s="383"/>
      <c r="I307" s="380"/>
      <c r="J307" s="199"/>
      <c r="K307" s="199"/>
      <c r="L307" s="199"/>
      <c r="M307" s="383"/>
      <c r="N307" s="380"/>
      <c r="O307" s="200"/>
      <c r="P307" s="200"/>
      <c r="Q307" s="200"/>
      <c r="R307" s="386"/>
      <c r="S307" s="385"/>
      <c r="T307" s="200"/>
      <c r="U307" s="200"/>
      <c r="V307" s="200"/>
      <c r="W307" s="386"/>
      <c r="X307" s="385"/>
      <c r="Y307" s="200"/>
      <c r="Z307" s="200"/>
      <c r="AA307" s="200"/>
      <c r="AB307" s="386"/>
    </row>
    <row r="308" spans="1:28" ht="16.149999999999999" customHeight="1" x14ac:dyDescent="0.2">
      <c r="A308" s="390"/>
      <c r="B308" s="162" t="s">
        <v>911</v>
      </c>
      <c r="C308" s="383"/>
      <c r="D308" s="380"/>
      <c r="E308" s="199"/>
      <c r="F308" s="199"/>
      <c r="G308" s="199"/>
      <c r="H308" s="383"/>
      <c r="I308" s="380"/>
      <c r="J308" s="199"/>
      <c r="K308" s="199"/>
      <c r="L308" s="199"/>
      <c r="M308" s="383"/>
      <c r="N308" s="380"/>
      <c r="O308" s="200"/>
      <c r="P308" s="200"/>
      <c r="Q308" s="200"/>
      <c r="R308" s="386"/>
      <c r="S308" s="385"/>
      <c r="T308" s="200"/>
      <c r="U308" s="200"/>
      <c r="V308" s="200"/>
      <c r="W308" s="386"/>
      <c r="X308" s="385"/>
      <c r="Y308" s="200"/>
      <c r="Z308" s="200"/>
      <c r="AA308" s="200"/>
      <c r="AB308" s="386"/>
    </row>
    <row r="309" spans="1:28" ht="16.149999999999999" customHeight="1" x14ac:dyDescent="0.2">
      <c r="A309" s="390"/>
      <c r="B309" s="202" t="s">
        <v>912</v>
      </c>
      <c r="C309" s="383"/>
      <c r="D309" s="380"/>
      <c r="E309" s="203"/>
      <c r="F309" s="203"/>
      <c r="G309" s="203"/>
      <c r="H309" s="383"/>
      <c r="I309" s="380"/>
      <c r="J309" s="203"/>
      <c r="K309" s="203"/>
      <c r="L309" s="203"/>
      <c r="M309" s="383"/>
      <c r="N309" s="380"/>
      <c r="O309" s="204"/>
      <c r="P309" s="204"/>
      <c r="Q309" s="204"/>
      <c r="R309" s="386"/>
      <c r="S309" s="385"/>
      <c r="T309" s="204"/>
      <c r="U309" s="204"/>
      <c r="V309" s="204"/>
      <c r="W309" s="386"/>
      <c r="X309" s="385"/>
      <c r="Y309" s="204"/>
      <c r="Z309" s="204"/>
      <c r="AA309" s="204"/>
      <c r="AB309" s="386"/>
    </row>
    <row r="310" spans="1:28" ht="16.149999999999999" customHeight="1" x14ac:dyDescent="0.2">
      <c r="A310" s="390"/>
      <c r="B310" s="202" t="s">
        <v>913</v>
      </c>
      <c r="C310" s="383"/>
      <c r="D310" s="380"/>
      <c r="E310" s="199"/>
      <c r="F310" s="199"/>
      <c r="G310" s="199"/>
      <c r="H310" s="383"/>
      <c r="I310" s="380"/>
      <c r="J310" s="199"/>
      <c r="K310" s="199"/>
      <c r="L310" s="199"/>
      <c r="M310" s="383"/>
      <c r="N310" s="380"/>
      <c r="O310" s="200"/>
      <c r="P310" s="200"/>
      <c r="Q310" s="200"/>
      <c r="R310" s="386"/>
      <c r="S310" s="385"/>
      <c r="T310" s="200"/>
      <c r="U310" s="200"/>
      <c r="V310" s="200"/>
      <c r="W310" s="386"/>
      <c r="X310" s="385"/>
      <c r="Y310" s="200"/>
      <c r="Z310" s="200"/>
      <c r="AA310" s="200"/>
      <c r="AB310" s="386"/>
    </row>
    <row r="311" spans="1:28" ht="16.149999999999999" customHeight="1" x14ac:dyDescent="0.2">
      <c r="A311" s="390"/>
      <c r="B311" s="202" t="s">
        <v>914</v>
      </c>
      <c r="C311" s="383"/>
      <c r="D311" s="380"/>
      <c r="E311" s="203"/>
      <c r="F311" s="203"/>
      <c r="G311" s="203"/>
      <c r="H311" s="383"/>
      <c r="I311" s="380"/>
      <c r="J311" s="203"/>
      <c r="K311" s="203"/>
      <c r="L311" s="203"/>
      <c r="M311" s="383"/>
      <c r="N311" s="380"/>
      <c r="O311" s="204"/>
      <c r="P311" s="204"/>
      <c r="Q311" s="204"/>
      <c r="R311" s="386"/>
      <c r="S311" s="385"/>
      <c r="T311" s="204"/>
      <c r="U311" s="204"/>
      <c r="V311" s="204"/>
      <c r="W311" s="386"/>
      <c r="X311" s="385"/>
      <c r="Y311" s="204"/>
      <c r="Z311" s="204"/>
      <c r="AA311" s="204"/>
      <c r="AB311" s="386"/>
    </row>
    <row r="312" spans="1:28" ht="16.149999999999999" customHeight="1" x14ac:dyDescent="0.2">
      <c r="A312" s="390"/>
      <c r="B312" s="202" t="s">
        <v>915</v>
      </c>
      <c r="C312" s="383"/>
      <c r="D312" s="380"/>
      <c r="E312" s="199"/>
      <c r="F312" s="199"/>
      <c r="G312" s="199"/>
      <c r="H312" s="383"/>
      <c r="I312" s="380"/>
      <c r="J312" s="199"/>
      <c r="K312" s="199"/>
      <c r="L312" s="199"/>
      <c r="M312" s="383"/>
      <c r="N312" s="380"/>
      <c r="O312" s="200"/>
      <c r="P312" s="200"/>
      <c r="Q312" s="200"/>
      <c r="R312" s="386"/>
      <c r="S312" s="385"/>
      <c r="T312" s="200"/>
      <c r="U312" s="200"/>
      <c r="V312" s="200"/>
      <c r="W312" s="386"/>
      <c r="X312" s="385"/>
      <c r="Y312" s="200"/>
      <c r="Z312" s="200"/>
      <c r="AA312" s="200"/>
      <c r="AB312" s="386"/>
    </row>
    <row r="313" spans="1:28" ht="33.75" customHeight="1" x14ac:dyDescent="0.2">
      <c r="A313" s="390"/>
      <c r="B313" s="202" t="s">
        <v>916</v>
      </c>
      <c r="C313" s="383"/>
      <c r="D313" s="380"/>
      <c r="E313" s="199"/>
      <c r="F313" s="199"/>
      <c r="G313" s="199"/>
      <c r="H313" s="383"/>
      <c r="I313" s="380"/>
      <c r="J313" s="199"/>
      <c r="K313" s="199"/>
      <c r="L313" s="199"/>
      <c r="M313" s="383"/>
      <c r="N313" s="380"/>
      <c r="O313" s="200"/>
      <c r="P313" s="200"/>
      <c r="Q313" s="200"/>
      <c r="R313" s="386"/>
      <c r="S313" s="385"/>
      <c r="T313" s="200"/>
      <c r="U313" s="200"/>
      <c r="V313" s="200"/>
      <c r="W313" s="386"/>
      <c r="X313" s="385"/>
      <c r="Y313" s="200"/>
      <c r="Z313" s="200"/>
      <c r="AA313" s="200"/>
      <c r="AB313" s="386"/>
    </row>
    <row r="314" spans="1:28" ht="16.149999999999999" customHeight="1" x14ac:dyDescent="0.2">
      <c r="A314" s="390"/>
      <c r="B314" s="202" t="s">
        <v>917</v>
      </c>
      <c r="C314" s="383"/>
      <c r="D314" s="380"/>
      <c r="E314" s="199"/>
      <c r="F314" s="199"/>
      <c r="G314" s="199"/>
      <c r="H314" s="383"/>
      <c r="I314" s="380"/>
      <c r="J314" s="199"/>
      <c r="K314" s="199"/>
      <c r="L314" s="199"/>
      <c r="M314" s="383"/>
      <c r="N314" s="380"/>
      <c r="O314" s="200"/>
      <c r="P314" s="200"/>
      <c r="Q314" s="200"/>
      <c r="R314" s="386"/>
      <c r="S314" s="385"/>
      <c r="T314" s="200"/>
      <c r="U314" s="200"/>
      <c r="V314" s="200"/>
      <c r="W314" s="386"/>
      <c r="X314" s="385"/>
      <c r="Y314" s="200"/>
      <c r="Z314" s="200"/>
      <c r="AA314" s="200"/>
      <c r="AB314" s="386"/>
    </row>
    <row r="315" spans="1:28" ht="22.5" customHeight="1" x14ac:dyDescent="0.2">
      <c r="A315" s="390"/>
      <c r="B315" s="202" t="s">
        <v>918</v>
      </c>
      <c r="C315" s="383"/>
      <c r="D315" s="380"/>
      <c r="E315" s="199"/>
      <c r="F315" s="199"/>
      <c r="G315" s="199"/>
      <c r="H315" s="383"/>
      <c r="I315" s="380"/>
      <c r="J315" s="199"/>
      <c r="K315" s="199"/>
      <c r="L315" s="199"/>
      <c r="M315" s="383"/>
      <c r="N315" s="380"/>
      <c r="O315" s="200"/>
      <c r="P315" s="200"/>
      <c r="Q315" s="200"/>
      <c r="R315" s="386"/>
      <c r="S315" s="385"/>
      <c r="T315" s="200"/>
      <c r="U315" s="200"/>
      <c r="V315" s="200"/>
      <c r="W315" s="386"/>
      <c r="X315" s="385"/>
      <c r="Y315" s="200"/>
      <c r="Z315" s="200"/>
      <c r="AA315" s="200"/>
      <c r="AB315" s="386"/>
    </row>
    <row r="316" spans="1:28" ht="16.149999999999999" customHeight="1" x14ac:dyDescent="0.2">
      <c r="A316" s="390"/>
      <c r="B316" s="202" t="s">
        <v>919</v>
      </c>
      <c r="C316" s="383"/>
      <c r="D316" s="380"/>
      <c r="E316" s="205"/>
      <c r="F316" s="205"/>
      <c r="G316" s="205"/>
      <c r="H316" s="383"/>
      <c r="I316" s="380"/>
      <c r="J316" s="205"/>
      <c r="K316" s="205"/>
      <c r="L316" s="205"/>
      <c r="M316" s="383"/>
      <c r="N316" s="380"/>
      <c r="O316" s="206"/>
      <c r="P316" s="206"/>
      <c r="Q316" s="206"/>
      <c r="R316" s="386"/>
      <c r="S316" s="385"/>
      <c r="T316" s="206"/>
      <c r="U316" s="206"/>
      <c r="V316" s="206"/>
      <c r="W316" s="386"/>
      <c r="X316" s="385"/>
      <c r="Y316" s="206"/>
      <c r="Z316" s="206"/>
      <c r="AA316" s="206"/>
      <c r="AB316" s="386"/>
    </row>
    <row r="317" spans="1:28" ht="16.149999999999999" customHeight="1" x14ac:dyDescent="0.2">
      <c r="A317" s="390"/>
      <c r="B317" s="202" t="s">
        <v>920</v>
      </c>
      <c r="C317" s="383"/>
      <c r="D317" s="380"/>
      <c r="E317" s="205"/>
      <c r="F317" s="205"/>
      <c r="G317" s="205"/>
      <c r="H317" s="383"/>
      <c r="I317" s="380"/>
      <c r="J317" s="205"/>
      <c r="K317" s="205"/>
      <c r="L317" s="205"/>
      <c r="M317" s="383"/>
      <c r="N317" s="380"/>
      <c r="O317" s="206"/>
      <c r="P317" s="206"/>
      <c r="Q317" s="206"/>
      <c r="R317" s="386"/>
      <c r="S317" s="385"/>
      <c r="T317" s="206"/>
      <c r="U317" s="206"/>
      <c r="V317" s="206"/>
      <c r="W317" s="386"/>
      <c r="X317" s="385"/>
      <c r="Y317" s="206"/>
      <c r="Z317" s="206"/>
      <c r="AA317" s="206"/>
      <c r="AB317" s="386"/>
    </row>
    <row r="318" spans="1:28" ht="16.149999999999999" customHeight="1" x14ac:dyDescent="0.2">
      <c r="A318" s="390"/>
      <c r="B318" s="202" t="s">
        <v>921</v>
      </c>
      <c r="C318" s="383"/>
      <c r="D318" s="380"/>
      <c r="E318" s="205"/>
      <c r="F318" s="205"/>
      <c r="G318" s="205"/>
      <c r="H318" s="383"/>
      <c r="I318" s="380"/>
      <c r="J318" s="205"/>
      <c r="K318" s="205"/>
      <c r="L318" s="205"/>
      <c r="M318" s="383"/>
      <c r="N318" s="380"/>
      <c r="O318" s="206"/>
      <c r="P318" s="206"/>
      <c r="Q318" s="206"/>
      <c r="R318" s="386"/>
      <c r="S318" s="385"/>
      <c r="T318" s="206"/>
      <c r="U318" s="206"/>
      <c r="V318" s="206"/>
      <c r="W318" s="386"/>
      <c r="X318" s="385"/>
      <c r="Y318" s="206"/>
      <c r="Z318" s="206"/>
      <c r="AA318" s="206"/>
      <c r="AB318" s="386"/>
    </row>
    <row r="319" spans="1:28" ht="16.149999999999999" customHeight="1" x14ac:dyDescent="0.2">
      <c r="A319" s="390"/>
      <c r="B319" s="202" t="s">
        <v>922</v>
      </c>
      <c r="C319" s="383"/>
      <c r="D319" s="380"/>
      <c r="E319" s="205"/>
      <c r="F319" s="205"/>
      <c r="G319" s="205"/>
      <c r="H319" s="383"/>
      <c r="I319" s="380"/>
      <c r="J319" s="205"/>
      <c r="K319" s="205"/>
      <c r="L319" s="205"/>
      <c r="M319" s="383"/>
      <c r="N319" s="380"/>
      <c r="O319" s="206"/>
      <c r="P319" s="206"/>
      <c r="Q319" s="206"/>
      <c r="R319" s="386"/>
      <c r="S319" s="385"/>
      <c r="T319" s="206"/>
      <c r="U319" s="206"/>
      <c r="V319" s="206"/>
      <c r="W319" s="386"/>
      <c r="X319" s="385"/>
      <c r="Y319" s="206"/>
      <c r="Z319" s="206"/>
      <c r="AA319" s="206"/>
      <c r="AB319" s="386"/>
    </row>
    <row r="320" spans="1:28" ht="16.149999999999999" customHeight="1" x14ac:dyDescent="0.2">
      <c r="A320" s="390"/>
      <c r="B320" s="202" t="s">
        <v>923</v>
      </c>
      <c r="C320" s="383"/>
      <c r="D320" s="380"/>
      <c r="E320" s="205"/>
      <c r="F320" s="205"/>
      <c r="G320" s="205"/>
      <c r="H320" s="383"/>
      <c r="I320" s="380"/>
      <c r="J320" s="205"/>
      <c r="K320" s="205"/>
      <c r="L320" s="205"/>
      <c r="M320" s="383"/>
      <c r="N320" s="380"/>
      <c r="O320" s="206"/>
      <c r="P320" s="206"/>
      <c r="Q320" s="206"/>
      <c r="R320" s="386"/>
      <c r="S320" s="385"/>
      <c r="T320" s="206"/>
      <c r="U320" s="206"/>
      <c r="V320" s="206"/>
      <c r="W320" s="386"/>
      <c r="X320" s="385"/>
      <c r="Y320" s="206"/>
      <c r="Z320" s="206"/>
      <c r="AA320" s="206"/>
      <c r="AB320" s="386"/>
    </row>
    <row r="321" spans="1:28" ht="16.149999999999999" customHeight="1" x14ac:dyDescent="0.2">
      <c r="A321" s="390"/>
      <c r="B321" s="162" t="s">
        <v>924</v>
      </c>
      <c r="C321" s="383"/>
      <c r="D321" s="380"/>
      <c r="E321" s="205"/>
      <c r="F321" s="205"/>
      <c r="G321" s="205"/>
      <c r="H321" s="383"/>
      <c r="I321" s="380"/>
      <c r="J321" s="205"/>
      <c r="K321" s="205"/>
      <c r="L321" s="205"/>
      <c r="M321" s="383"/>
      <c r="N321" s="380"/>
      <c r="O321" s="206"/>
      <c r="P321" s="206"/>
      <c r="Q321" s="206"/>
      <c r="R321" s="386"/>
      <c r="S321" s="385"/>
      <c r="T321" s="206"/>
      <c r="U321" s="206"/>
      <c r="V321" s="206"/>
      <c r="W321" s="386"/>
      <c r="X321" s="385"/>
      <c r="Y321" s="206"/>
      <c r="Z321" s="206"/>
      <c r="AA321" s="206"/>
      <c r="AB321" s="386"/>
    </row>
    <row r="322" spans="1:28" ht="16.149999999999999" customHeight="1" x14ac:dyDescent="0.2">
      <c r="A322" s="390"/>
      <c r="B322" s="162" t="s">
        <v>925</v>
      </c>
      <c r="C322" s="383"/>
      <c r="D322" s="380"/>
      <c r="E322" s="205"/>
      <c r="F322" s="205"/>
      <c r="G322" s="205"/>
      <c r="H322" s="383"/>
      <c r="I322" s="380"/>
      <c r="J322" s="205"/>
      <c r="K322" s="205"/>
      <c r="L322" s="205"/>
      <c r="M322" s="383"/>
      <c r="N322" s="380"/>
      <c r="O322" s="206"/>
      <c r="P322" s="206"/>
      <c r="Q322" s="206"/>
      <c r="R322" s="386"/>
      <c r="S322" s="385"/>
      <c r="T322" s="206"/>
      <c r="U322" s="206"/>
      <c r="V322" s="206"/>
      <c r="W322" s="386"/>
      <c r="X322" s="385"/>
      <c r="Y322" s="206"/>
      <c r="Z322" s="206"/>
      <c r="AA322" s="206"/>
      <c r="AB322" s="386"/>
    </row>
    <row r="323" spans="1:28" ht="16.149999999999999" customHeight="1" x14ac:dyDescent="0.2">
      <c r="A323" s="390"/>
      <c r="B323" s="162" t="s">
        <v>926</v>
      </c>
      <c r="C323" s="383"/>
      <c r="D323" s="380"/>
      <c r="E323" s="205"/>
      <c r="F323" s="205"/>
      <c r="G323" s="205"/>
      <c r="H323" s="383"/>
      <c r="I323" s="380"/>
      <c r="J323" s="205"/>
      <c r="K323" s="205"/>
      <c r="L323" s="205"/>
      <c r="M323" s="383"/>
      <c r="N323" s="380"/>
      <c r="O323" s="206"/>
      <c r="P323" s="206"/>
      <c r="Q323" s="206"/>
      <c r="R323" s="386"/>
      <c r="S323" s="385"/>
      <c r="T323" s="206"/>
      <c r="U323" s="206"/>
      <c r="V323" s="206"/>
      <c r="W323" s="386"/>
      <c r="X323" s="385"/>
      <c r="Y323" s="206"/>
      <c r="Z323" s="206"/>
      <c r="AA323" s="206"/>
      <c r="AB323" s="386"/>
    </row>
    <row r="324" spans="1:28" ht="16.149999999999999" customHeight="1" x14ac:dyDescent="0.2">
      <c r="A324" s="390"/>
      <c r="B324" s="162" t="s">
        <v>927</v>
      </c>
      <c r="C324" s="383"/>
      <c r="D324" s="380"/>
      <c r="E324" s="203"/>
      <c r="F324" s="203"/>
      <c r="G324" s="203"/>
      <c r="H324" s="383"/>
      <c r="I324" s="380"/>
      <c r="J324" s="203"/>
      <c r="K324" s="203"/>
      <c r="L324" s="203"/>
      <c r="M324" s="383"/>
      <c r="N324" s="380"/>
      <c r="O324" s="204"/>
      <c r="P324" s="204"/>
      <c r="Q324" s="204"/>
      <c r="R324" s="386"/>
      <c r="S324" s="385"/>
      <c r="T324" s="204"/>
      <c r="U324" s="204"/>
      <c r="V324" s="204"/>
      <c r="W324" s="386"/>
      <c r="X324" s="385"/>
      <c r="Y324" s="204"/>
      <c r="Z324" s="204"/>
      <c r="AA324" s="204"/>
      <c r="AB324" s="386"/>
    </row>
    <row r="325" spans="1:28" ht="16.149999999999999" customHeight="1" x14ac:dyDescent="0.2">
      <c r="A325" s="390"/>
      <c r="B325" s="162" t="s">
        <v>928</v>
      </c>
      <c r="C325" s="383"/>
      <c r="D325" s="380"/>
      <c r="E325" s="203"/>
      <c r="F325" s="203"/>
      <c r="G325" s="203"/>
      <c r="H325" s="383"/>
      <c r="I325" s="380"/>
      <c r="J325" s="203"/>
      <c r="K325" s="203"/>
      <c r="L325" s="203"/>
      <c r="M325" s="383"/>
      <c r="N325" s="380"/>
      <c r="O325" s="204"/>
      <c r="P325" s="204"/>
      <c r="Q325" s="204"/>
      <c r="R325" s="386"/>
      <c r="S325" s="385"/>
      <c r="T325" s="204"/>
      <c r="U325" s="204"/>
      <c r="V325" s="204"/>
      <c r="W325" s="386"/>
      <c r="X325" s="385"/>
      <c r="Y325" s="204"/>
      <c r="Z325" s="204"/>
      <c r="AA325" s="204"/>
      <c r="AB325" s="386"/>
    </row>
    <row r="326" spans="1:28" ht="16.149999999999999" customHeight="1" x14ac:dyDescent="0.2">
      <c r="A326" s="390"/>
      <c r="B326" s="162" t="s">
        <v>929</v>
      </c>
      <c r="C326" s="383"/>
      <c r="D326" s="380"/>
      <c r="E326" s="203"/>
      <c r="F326" s="203"/>
      <c r="G326" s="203"/>
      <c r="H326" s="383"/>
      <c r="I326" s="380"/>
      <c r="J326" s="203"/>
      <c r="K326" s="203"/>
      <c r="L326" s="203"/>
      <c r="M326" s="383"/>
      <c r="N326" s="380"/>
      <c r="O326" s="204"/>
      <c r="P326" s="204"/>
      <c r="Q326" s="204"/>
      <c r="R326" s="386"/>
      <c r="S326" s="385"/>
      <c r="T326" s="204"/>
      <c r="U326" s="204"/>
      <c r="V326" s="204"/>
      <c r="W326" s="386"/>
      <c r="X326" s="385"/>
      <c r="Y326" s="204"/>
      <c r="Z326" s="204"/>
      <c r="AA326" s="204"/>
      <c r="AB326" s="386"/>
    </row>
    <row r="327" spans="1:28" ht="16.149999999999999" customHeight="1" x14ac:dyDescent="0.2">
      <c r="A327" s="390"/>
      <c r="B327" s="162" t="s">
        <v>930</v>
      </c>
      <c r="C327" s="383"/>
      <c r="D327" s="380"/>
      <c r="E327" s="203"/>
      <c r="F327" s="203"/>
      <c r="G327" s="203"/>
      <c r="H327" s="383"/>
      <c r="I327" s="380"/>
      <c r="J327" s="203"/>
      <c r="K327" s="203"/>
      <c r="L327" s="203"/>
      <c r="M327" s="383"/>
      <c r="N327" s="380"/>
      <c r="O327" s="204"/>
      <c r="P327" s="204"/>
      <c r="Q327" s="204"/>
      <c r="R327" s="386"/>
      <c r="S327" s="385"/>
      <c r="T327" s="204"/>
      <c r="U327" s="204"/>
      <c r="V327" s="204"/>
      <c r="W327" s="386"/>
      <c r="X327" s="385"/>
      <c r="Y327" s="204"/>
      <c r="Z327" s="204"/>
      <c r="AA327" s="204"/>
      <c r="AB327" s="386"/>
    </row>
    <row r="328" spans="1:28" ht="16.149999999999999" customHeight="1" x14ac:dyDescent="0.2">
      <c r="A328" s="390"/>
      <c r="B328" s="162" t="s">
        <v>931</v>
      </c>
      <c r="C328" s="383"/>
      <c r="D328" s="380"/>
      <c r="E328" s="203"/>
      <c r="F328" s="203"/>
      <c r="G328" s="203"/>
      <c r="H328" s="383"/>
      <c r="I328" s="380"/>
      <c r="J328" s="203"/>
      <c r="K328" s="203"/>
      <c r="L328" s="203"/>
      <c r="M328" s="383"/>
      <c r="N328" s="380"/>
      <c r="O328" s="204"/>
      <c r="P328" s="204"/>
      <c r="Q328" s="204"/>
      <c r="R328" s="386"/>
      <c r="S328" s="385"/>
      <c r="T328" s="204"/>
      <c r="U328" s="204"/>
      <c r="V328" s="204"/>
      <c r="W328" s="386"/>
      <c r="X328" s="385"/>
      <c r="Y328" s="204"/>
      <c r="Z328" s="204"/>
      <c r="AA328" s="204"/>
      <c r="AB328" s="386"/>
    </row>
    <row r="329" spans="1:28" ht="16.149999999999999" customHeight="1" x14ac:dyDescent="0.2">
      <c r="A329" s="390"/>
      <c r="B329" s="162" t="s">
        <v>932</v>
      </c>
      <c r="C329" s="383"/>
      <c r="D329" s="380"/>
      <c r="E329" s="203"/>
      <c r="F329" s="203"/>
      <c r="G329" s="203"/>
      <c r="H329" s="383"/>
      <c r="I329" s="380"/>
      <c r="J329" s="203"/>
      <c r="K329" s="203"/>
      <c r="L329" s="203"/>
      <c r="M329" s="383"/>
      <c r="N329" s="380"/>
      <c r="O329" s="204"/>
      <c r="P329" s="204"/>
      <c r="Q329" s="204"/>
      <c r="R329" s="386"/>
      <c r="S329" s="385"/>
      <c r="T329" s="204"/>
      <c r="U329" s="204"/>
      <c r="V329" s="204"/>
      <c r="W329" s="386"/>
      <c r="X329" s="385"/>
      <c r="Y329" s="204"/>
      <c r="Z329" s="204"/>
      <c r="AA329" s="204"/>
      <c r="AB329" s="386"/>
    </row>
    <row r="330" spans="1:28" ht="16.149999999999999" customHeight="1" x14ac:dyDescent="0.2">
      <c r="A330" s="390"/>
      <c r="B330" s="162" t="s">
        <v>933</v>
      </c>
      <c r="C330" s="383"/>
      <c r="D330" s="380"/>
      <c r="E330" s="203"/>
      <c r="F330" s="203"/>
      <c r="G330" s="203"/>
      <c r="H330" s="383"/>
      <c r="I330" s="380"/>
      <c r="J330" s="203"/>
      <c r="K330" s="203"/>
      <c r="L330" s="203"/>
      <c r="M330" s="383"/>
      <c r="N330" s="380"/>
      <c r="O330" s="204"/>
      <c r="P330" s="204"/>
      <c r="Q330" s="204"/>
      <c r="R330" s="386"/>
      <c r="S330" s="385"/>
      <c r="T330" s="204"/>
      <c r="U330" s="204"/>
      <c r="V330" s="204"/>
      <c r="W330" s="386"/>
      <c r="X330" s="385"/>
      <c r="Y330" s="204"/>
      <c r="Z330" s="204"/>
      <c r="AA330" s="204"/>
      <c r="AB330" s="386"/>
    </row>
    <row r="331" spans="1:28" ht="16.149999999999999" customHeight="1" x14ac:dyDescent="0.2">
      <c r="A331" s="390"/>
      <c r="B331" s="162" t="s">
        <v>934</v>
      </c>
      <c r="C331" s="383"/>
      <c r="D331" s="380"/>
      <c r="E331" s="203"/>
      <c r="F331" s="203"/>
      <c r="G331" s="203"/>
      <c r="H331" s="383"/>
      <c r="I331" s="380"/>
      <c r="J331" s="203"/>
      <c r="K331" s="203"/>
      <c r="L331" s="203"/>
      <c r="M331" s="383"/>
      <c r="N331" s="380"/>
      <c r="O331" s="204"/>
      <c r="P331" s="204"/>
      <c r="Q331" s="204"/>
      <c r="R331" s="386"/>
      <c r="S331" s="385"/>
      <c r="T331" s="204"/>
      <c r="U331" s="204"/>
      <c r="V331" s="204"/>
      <c r="W331" s="386"/>
      <c r="X331" s="385"/>
      <c r="Y331" s="204"/>
      <c r="Z331" s="204"/>
      <c r="AA331" s="204"/>
      <c r="AB331" s="386"/>
    </row>
    <row r="332" spans="1:28" ht="16.149999999999999" customHeight="1" x14ac:dyDescent="0.2">
      <c r="A332" s="390"/>
      <c r="B332" s="162" t="s">
        <v>935</v>
      </c>
      <c r="C332" s="383"/>
      <c r="D332" s="380"/>
      <c r="E332" s="203"/>
      <c r="F332" s="203"/>
      <c r="G332" s="203"/>
      <c r="H332" s="383"/>
      <c r="I332" s="380"/>
      <c r="J332" s="203"/>
      <c r="K332" s="203"/>
      <c r="L332" s="203"/>
      <c r="M332" s="383"/>
      <c r="N332" s="380"/>
      <c r="O332" s="204"/>
      <c r="P332" s="204"/>
      <c r="Q332" s="204"/>
      <c r="R332" s="386"/>
      <c r="S332" s="385"/>
      <c r="T332" s="204"/>
      <c r="U332" s="204"/>
      <c r="V332" s="204"/>
      <c r="W332" s="386"/>
      <c r="X332" s="385"/>
      <c r="Y332" s="204"/>
      <c r="Z332" s="204"/>
      <c r="AA332" s="204"/>
      <c r="AB332" s="386"/>
    </row>
    <row r="333" spans="1:28" ht="16.149999999999999" customHeight="1" x14ac:dyDescent="0.2">
      <c r="A333" s="390"/>
      <c r="B333" s="162" t="s">
        <v>936</v>
      </c>
      <c r="C333" s="383"/>
      <c r="D333" s="380"/>
      <c r="E333" s="203"/>
      <c r="F333" s="203"/>
      <c r="G333" s="203"/>
      <c r="H333" s="383"/>
      <c r="I333" s="380"/>
      <c r="J333" s="203"/>
      <c r="K333" s="203"/>
      <c r="L333" s="203"/>
      <c r="M333" s="383"/>
      <c r="N333" s="380"/>
      <c r="O333" s="204"/>
      <c r="P333" s="204"/>
      <c r="Q333" s="204"/>
      <c r="R333" s="386"/>
      <c r="S333" s="385"/>
      <c r="T333" s="204"/>
      <c r="U333" s="204"/>
      <c r="V333" s="204"/>
      <c r="W333" s="386"/>
      <c r="X333" s="385"/>
      <c r="Y333" s="204"/>
      <c r="Z333" s="204"/>
      <c r="AA333" s="204"/>
      <c r="AB333" s="386"/>
    </row>
    <row r="334" spans="1:28" ht="16.149999999999999" customHeight="1" x14ac:dyDescent="0.2">
      <c r="A334" s="390"/>
      <c r="B334" s="162" t="s">
        <v>937</v>
      </c>
      <c r="C334" s="383"/>
      <c r="D334" s="380"/>
      <c r="E334" s="203"/>
      <c r="F334" s="203"/>
      <c r="G334" s="203"/>
      <c r="H334" s="383"/>
      <c r="I334" s="380"/>
      <c r="J334" s="203"/>
      <c r="K334" s="203"/>
      <c r="L334" s="203"/>
      <c r="M334" s="383"/>
      <c r="N334" s="380"/>
      <c r="O334" s="204"/>
      <c r="P334" s="204"/>
      <c r="Q334" s="204"/>
      <c r="R334" s="386"/>
      <c r="S334" s="385"/>
      <c r="T334" s="204"/>
      <c r="U334" s="204"/>
      <c r="V334" s="204"/>
      <c r="W334" s="386"/>
      <c r="X334" s="385"/>
      <c r="Y334" s="204"/>
      <c r="Z334" s="204"/>
      <c r="AA334" s="204"/>
      <c r="AB334" s="386"/>
    </row>
    <row r="335" spans="1:28" ht="30.75" customHeight="1" x14ac:dyDescent="0.2">
      <c r="A335" s="390"/>
      <c r="B335" s="162" t="s">
        <v>938</v>
      </c>
      <c r="C335" s="383"/>
      <c r="D335" s="380"/>
      <c r="E335" s="203"/>
      <c r="F335" s="203"/>
      <c r="G335" s="203"/>
      <c r="H335" s="383"/>
      <c r="I335" s="380"/>
      <c r="J335" s="203"/>
      <c r="K335" s="203"/>
      <c r="L335" s="203"/>
      <c r="M335" s="383"/>
      <c r="N335" s="380"/>
      <c r="O335" s="204"/>
      <c r="P335" s="204"/>
      <c r="Q335" s="204"/>
      <c r="R335" s="386"/>
      <c r="S335" s="385"/>
      <c r="T335" s="204"/>
      <c r="U335" s="204"/>
      <c r="V335" s="204"/>
      <c r="W335" s="386"/>
      <c r="X335" s="385"/>
      <c r="Y335" s="204"/>
      <c r="Z335" s="204"/>
      <c r="AA335" s="204"/>
      <c r="AB335" s="386"/>
    </row>
    <row r="336" spans="1:28" ht="16.5" customHeight="1" x14ac:dyDescent="0.2">
      <c r="A336" s="390"/>
      <c r="B336" s="162" t="s">
        <v>940</v>
      </c>
      <c r="C336" s="383"/>
      <c r="D336" s="380"/>
      <c r="E336" s="203"/>
      <c r="F336" s="203"/>
      <c r="G336" s="203"/>
      <c r="H336" s="383"/>
      <c r="I336" s="380"/>
      <c r="J336" s="203"/>
      <c r="K336" s="203"/>
      <c r="L336" s="203"/>
      <c r="M336" s="383"/>
      <c r="N336" s="380"/>
      <c r="O336" s="204"/>
      <c r="P336" s="204"/>
      <c r="Q336" s="204"/>
      <c r="R336" s="386"/>
      <c r="S336" s="385"/>
      <c r="T336" s="204"/>
      <c r="U336" s="204"/>
      <c r="V336" s="204"/>
      <c r="W336" s="386"/>
      <c r="X336" s="385"/>
      <c r="Y336" s="204"/>
      <c r="Z336" s="204"/>
      <c r="AA336" s="204"/>
      <c r="AB336" s="386"/>
    </row>
    <row r="337" spans="1:28" ht="16.149999999999999" customHeight="1" x14ac:dyDescent="0.2">
      <c r="A337" s="390"/>
      <c r="B337" s="162" t="s">
        <v>939</v>
      </c>
      <c r="C337" s="383"/>
      <c r="D337" s="380"/>
      <c r="E337" s="203"/>
      <c r="F337" s="203"/>
      <c r="G337" s="203"/>
      <c r="H337" s="383"/>
      <c r="I337" s="380"/>
      <c r="J337" s="203"/>
      <c r="K337" s="203"/>
      <c r="L337" s="203"/>
      <c r="M337" s="383"/>
      <c r="N337" s="380"/>
      <c r="O337" s="204"/>
      <c r="P337" s="204"/>
      <c r="Q337" s="204"/>
      <c r="R337" s="386"/>
      <c r="S337" s="385"/>
      <c r="T337" s="204"/>
      <c r="U337" s="204"/>
      <c r="V337" s="204"/>
      <c r="W337" s="386"/>
      <c r="X337" s="385"/>
      <c r="Y337" s="204"/>
      <c r="Z337" s="204"/>
      <c r="AA337" s="204"/>
      <c r="AB337" s="386"/>
    </row>
    <row r="338" spans="1:28" ht="16.149999999999999" customHeight="1" x14ac:dyDescent="0.2">
      <c r="A338" s="390"/>
      <c r="B338" s="162" t="s">
        <v>941</v>
      </c>
      <c r="C338" s="383"/>
      <c r="D338" s="380"/>
      <c r="E338" s="203"/>
      <c r="F338" s="203"/>
      <c r="G338" s="203"/>
      <c r="H338" s="383"/>
      <c r="I338" s="380"/>
      <c r="J338" s="203"/>
      <c r="K338" s="203"/>
      <c r="L338" s="203"/>
      <c r="M338" s="383"/>
      <c r="N338" s="380"/>
      <c r="O338" s="204"/>
      <c r="P338" s="204"/>
      <c r="Q338" s="204"/>
      <c r="R338" s="386"/>
      <c r="S338" s="385"/>
      <c r="T338" s="204"/>
      <c r="U338" s="204"/>
      <c r="V338" s="204"/>
      <c r="W338" s="386"/>
      <c r="X338" s="385"/>
      <c r="Y338" s="204"/>
      <c r="Z338" s="204"/>
      <c r="AA338" s="204"/>
      <c r="AB338" s="386"/>
    </row>
    <row r="339" spans="1:28" ht="16.149999999999999" customHeight="1" x14ac:dyDescent="0.2">
      <c r="A339" s="390"/>
      <c r="B339" s="162" t="s">
        <v>942</v>
      </c>
      <c r="C339" s="383"/>
      <c r="D339" s="380"/>
      <c r="E339" s="203"/>
      <c r="F339" s="203"/>
      <c r="G339" s="203"/>
      <c r="H339" s="383"/>
      <c r="I339" s="380"/>
      <c r="J339" s="203"/>
      <c r="K339" s="203"/>
      <c r="L339" s="203"/>
      <c r="M339" s="383"/>
      <c r="N339" s="380"/>
      <c r="O339" s="204"/>
      <c r="P339" s="204"/>
      <c r="Q339" s="204"/>
      <c r="R339" s="386"/>
      <c r="S339" s="385"/>
      <c r="T339" s="204"/>
      <c r="U339" s="204"/>
      <c r="V339" s="204"/>
      <c r="W339" s="386"/>
      <c r="X339" s="385"/>
      <c r="Y339" s="204"/>
      <c r="Z339" s="204"/>
      <c r="AA339" s="204"/>
      <c r="AB339" s="386"/>
    </row>
    <row r="340" spans="1:28" ht="16.149999999999999" customHeight="1" x14ac:dyDescent="0.2">
      <c r="A340" s="390"/>
      <c r="B340" s="162" t="s">
        <v>943</v>
      </c>
      <c r="C340" s="383"/>
      <c r="D340" s="380"/>
      <c r="E340" s="203"/>
      <c r="F340" s="203"/>
      <c r="G340" s="203"/>
      <c r="H340" s="383"/>
      <c r="I340" s="380"/>
      <c r="J340" s="203"/>
      <c r="K340" s="203"/>
      <c r="L340" s="203"/>
      <c r="M340" s="383"/>
      <c r="N340" s="380"/>
      <c r="O340" s="204"/>
      <c r="P340" s="204"/>
      <c r="Q340" s="204"/>
      <c r="R340" s="386"/>
      <c r="S340" s="385"/>
      <c r="T340" s="204"/>
      <c r="U340" s="204"/>
      <c r="V340" s="204"/>
      <c r="W340" s="386"/>
      <c r="X340" s="385"/>
      <c r="Y340" s="204"/>
      <c r="Z340" s="204"/>
      <c r="AA340" s="204"/>
      <c r="AB340" s="386"/>
    </row>
    <row r="341" spans="1:28" ht="16.149999999999999" customHeight="1" x14ac:dyDescent="0.2">
      <c r="A341" s="390"/>
      <c r="B341" s="162" t="s">
        <v>944</v>
      </c>
      <c r="C341" s="383"/>
      <c r="D341" s="380"/>
      <c r="E341" s="203"/>
      <c r="F341" s="203"/>
      <c r="G341" s="203"/>
      <c r="H341" s="383"/>
      <c r="I341" s="380"/>
      <c r="J341" s="203"/>
      <c r="K341" s="203"/>
      <c r="L341" s="203"/>
      <c r="M341" s="383"/>
      <c r="N341" s="380"/>
      <c r="O341" s="204"/>
      <c r="P341" s="204"/>
      <c r="Q341" s="204"/>
      <c r="R341" s="386"/>
      <c r="S341" s="385"/>
      <c r="T341" s="204"/>
      <c r="U341" s="204"/>
      <c r="V341" s="204"/>
      <c r="W341" s="386"/>
      <c r="X341" s="385"/>
      <c r="Y341" s="204"/>
      <c r="Z341" s="204"/>
      <c r="AA341" s="204"/>
      <c r="AB341" s="386"/>
    </row>
    <row r="342" spans="1:28" ht="16.149999999999999" customHeight="1" x14ac:dyDescent="0.2">
      <c r="A342" s="390"/>
      <c r="B342" s="162" t="s">
        <v>945</v>
      </c>
      <c r="C342" s="383"/>
      <c r="D342" s="380"/>
      <c r="E342" s="203"/>
      <c r="F342" s="203"/>
      <c r="G342" s="203"/>
      <c r="H342" s="383"/>
      <c r="I342" s="380"/>
      <c r="J342" s="203"/>
      <c r="K342" s="203"/>
      <c r="L342" s="203"/>
      <c r="M342" s="383"/>
      <c r="N342" s="380"/>
      <c r="O342" s="204"/>
      <c r="P342" s="204"/>
      <c r="Q342" s="204"/>
      <c r="R342" s="386"/>
      <c r="S342" s="385"/>
      <c r="T342" s="204"/>
      <c r="U342" s="204"/>
      <c r="V342" s="204"/>
      <c r="W342" s="386"/>
      <c r="X342" s="385"/>
      <c r="Y342" s="204"/>
      <c r="Z342" s="204"/>
      <c r="AA342" s="204"/>
      <c r="AB342" s="386"/>
    </row>
    <row r="343" spans="1:28" ht="16.149999999999999" customHeight="1" x14ac:dyDescent="0.2">
      <c r="A343" s="390"/>
      <c r="B343" s="162" t="s">
        <v>946</v>
      </c>
      <c r="C343" s="383"/>
      <c r="D343" s="380"/>
      <c r="E343" s="203"/>
      <c r="F343" s="203"/>
      <c r="G343" s="203"/>
      <c r="H343" s="383"/>
      <c r="I343" s="380"/>
      <c r="J343" s="203"/>
      <c r="K343" s="203"/>
      <c r="L343" s="203"/>
      <c r="M343" s="383"/>
      <c r="N343" s="380"/>
      <c r="O343" s="204"/>
      <c r="P343" s="204"/>
      <c r="Q343" s="204"/>
      <c r="R343" s="386"/>
      <c r="S343" s="385"/>
      <c r="T343" s="204"/>
      <c r="U343" s="204"/>
      <c r="V343" s="204"/>
      <c r="W343" s="386"/>
      <c r="X343" s="385"/>
      <c r="Y343" s="204"/>
      <c r="Z343" s="204"/>
      <c r="AA343" s="204"/>
      <c r="AB343" s="386"/>
    </row>
    <row r="344" spans="1:28" ht="16.149999999999999" customHeight="1" x14ac:dyDescent="0.2">
      <c r="A344" s="390"/>
      <c r="B344" s="162" t="s">
        <v>947</v>
      </c>
      <c r="C344" s="383"/>
      <c r="D344" s="380"/>
      <c r="E344" s="203"/>
      <c r="F344" s="203"/>
      <c r="G344" s="203"/>
      <c r="H344" s="383"/>
      <c r="I344" s="380"/>
      <c r="J344" s="203"/>
      <c r="K344" s="203"/>
      <c r="L344" s="203"/>
      <c r="M344" s="383"/>
      <c r="N344" s="380"/>
      <c r="O344" s="204"/>
      <c r="P344" s="204"/>
      <c r="Q344" s="204"/>
      <c r="R344" s="386"/>
      <c r="S344" s="385"/>
      <c r="T344" s="204"/>
      <c r="U344" s="204"/>
      <c r="V344" s="204"/>
      <c r="W344" s="386"/>
      <c r="X344" s="385"/>
      <c r="Y344" s="204"/>
      <c r="Z344" s="204"/>
      <c r="AA344" s="204"/>
      <c r="AB344" s="386"/>
    </row>
    <row r="345" spans="1:28" ht="16.149999999999999" customHeight="1" x14ac:dyDescent="0.2">
      <c r="A345" s="390"/>
      <c r="B345" s="162" t="s">
        <v>948</v>
      </c>
      <c r="C345" s="383"/>
      <c r="D345" s="380"/>
      <c r="E345" s="203"/>
      <c r="F345" s="203"/>
      <c r="G345" s="203"/>
      <c r="H345" s="383"/>
      <c r="I345" s="380"/>
      <c r="J345" s="203"/>
      <c r="K345" s="203"/>
      <c r="L345" s="203"/>
      <c r="M345" s="383"/>
      <c r="N345" s="380"/>
      <c r="O345" s="204"/>
      <c r="P345" s="204"/>
      <c r="Q345" s="204"/>
      <c r="R345" s="386"/>
      <c r="S345" s="385"/>
      <c r="T345" s="204"/>
      <c r="U345" s="204"/>
      <c r="V345" s="204"/>
      <c r="W345" s="386"/>
      <c r="X345" s="385"/>
      <c r="Y345" s="204"/>
      <c r="Z345" s="204"/>
      <c r="AA345" s="204"/>
      <c r="AB345" s="386"/>
    </row>
    <row r="346" spans="1:28" ht="15.75" customHeight="1" x14ac:dyDescent="0.2">
      <c r="A346" s="390"/>
      <c r="B346" s="162" t="s">
        <v>949</v>
      </c>
      <c r="C346" s="383"/>
      <c r="D346" s="380"/>
      <c r="E346" s="203"/>
      <c r="F346" s="203"/>
      <c r="G346" s="203"/>
      <c r="H346" s="383"/>
      <c r="I346" s="380"/>
      <c r="J346" s="203"/>
      <c r="K346" s="203"/>
      <c r="L346" s="203"/>
      <c r="M346" s="383"/>
      <c r="N346" s="380"/>
      <c r="O346" s="204"/>
      <c r="P346" s="204"/>
      <c r="Q346" s="204"/>
      <c r="R346" s="386"/>
      <c r="S346" s="385"/>
      <c r="T346" s="204"/>
      <c r="U346" s="204"/>
      <c r="V346" s="204"/>
      <c r="W346" s="386"/>
      <c r="X346" s="385"/>
      <c r="Y346" s="204"/>
      <c r="Z346" s="204"/>
      <c r="AA346" s="204"/>
      <c r="AB346" s="386"/>
    </row>
    <row r="347" spans="1:28" ht="16.149999999999999" customHeight="1" x14ac:dyDescent="0.2">
      <c r="A347" s="390"/>
      <c r="B347" s="162" t="s">
        <v>950</v>
      </c>
      <c r="C347" s="383"/>
      <c r="D347" s="380"/>
      <c r="E347" s="203"/>
      <c r="F347" s="203"/>
      <c r="G347" s="203"/>
      <c r="H347" s="383"/>
      <c r="I347" s="380"/>
      <c r="J347" s="203"/>
      <c r="K347" s="203"/>
      <c r="L347" s="203"/>
      <c r="M347" s="205"/>
      <c r="N347" s="207"/>
      <c r="O347" s="204"/>
      <c r="P347" s="204"/>
      <c r="Q347" s="204"/>
      <c r="R347" s="386"/>
      <c r="S347" s="385"/>
      <c r="T347" s="204"/>
      <c r="U347" s="204"/>
      <c r="V347" s="204"/>
      <c r="W347" s="386"/>
      <c r="X347" s="385"/>
      <c r="Y347" s="204"/>
      <c r="Z347" s="204"/>
      <c r="AA347" s="204"/>
      <c r="AB347" s="386"/>
    </row>
    <row r="348" spans="1:28" ht="16.149999999999999" customHeight="1" x14ac:dyDescent="0.2">
      <c r="A348" s="390"/>
      <c r="B348" s="162" t="s">
        <v>951</v>
      </c>
      <c r="C348" s="383"/>
      <c r="D348" s="380"/>
      <c r="E348" s="203"/>
      <c r="F348" s="203"/>
      <c r="G348" s="203"/>
      <c r="H348" s="383"/>
      <c r="I348" s="380"/>
      <c r="J348" s="203"/>
      <c r="K348" s="203"/>
      <c r="L348" s="203"/>
      <c r="M348" s="205"/>
      <c r="N348" s="207"/>
      <c r="O348" s="204"/>
      <c r="P348" s="204"/>
      <c r="Q348" s="204"/>
      <c r="R348" s="386"/>
      <c r="S348" s="385"/>
      <c r="T348" s="204"/>
      <c r="U348" s="204"/>
      <c r="V348" s="204"/>
      <c r="W348" s="386"/>
      <c r="X348" s="385"/>
      <c r="Y348" s="204"/>
      <c r="Z348" s="204"/>
      <c r="AA348" s="204"/>
      <c r="AB348" s="386"/>
    </row>
    <row r="349" spans="1:28" ht="16.149999999999999" customHeight="1" x14ac:dyDescent="0.2">
      <c r="A349" s="390"/>
      <c r="B349" s="162" t="s">
        <v>952</v>
      </c>
      <c r="C349" s="383"/>
      <c r="D349" s="380"/>
      <c r="E349" s="203"/>
      <c r="F349" s="203"/>
      <c r="G349" s="203"/>
      <c r="H349" s="383"/>
      <c r="I349" s="380"/>
      <c r="J349" s="203"/>
      <c r="K349" s="203"/>
      <c r="L349" s="203"/>
      <c r="M349" s="205"/>
      <c r="N349" s="207"/>
      <c r="O349" s="204"/>
      <c r="P349" s="204"/>
      <c r="Q349" s="204"/>
      <c r="R349" s="386"/>
      <c r="S349" s="385"/>
      <c r="T349" s="204"/>
      <c r="U349" s="204"/>
      <c r="V349" s="204"/>
      <c r="W349" s="386"/>
      <c r="X349" s="385"/>
      <c r="Y349" s="204"/>
      <c r="Z349" s="204"/>
      <c r="AA349" s="204"/>
      <c r="AB349" s="386"/>
    </row>
    <row r="350" spans="1:28" ht="16.149999999999999" customHeight="1" x14ac:dyDescent="0.2">
      <c r="A350" s="390"/>
      <c r="B350" s="162" t="s">
        <v>953</v>
      </c>
      <c r="C350" s="383"/>
      <c r="D350" s="380"/>
      <c r="E350" s="203"/>
      <c r="F350" s="203"/>
      <c r="G350" s="203"/>
      <c r="H350" s="383"/>
      <c r="I350" s="380"/>
      <c r="J350" s="203"/>
      <c r="K350" s="203"/>
      <c r="L350" s="203"/>
      <c r="M350" s="205"/>
      <c r="N350" s="207"/>
      <c r="O350" s="204"/>
      <c r="P350" s="204"/>
      <c r="Q350" s="204"/>
      <c r="R350" s="386"/>
      <c r="S350" s="385"/>
      <c r="T350" s="204"/>
      <c r="U350" s="204"/>
      <c r="V350" s="204"/>
      <c r="W350" s="386"/>
      <c r="X350" s="385"/>
      <c r="Y350" s="204"/>
      <c r="Z350" s="204"/>
      <c r="AA350" s="204"/>
      <c r="AB350" s="386"/>
    </row>
    <row r="351" spans="1:28" ht="16.149999999999999" customHeight="1" x14ac:dyDescent="0.2">
      <c r="A351" s="390"/>
      <c r="B351" s="162" t="s">
        <v>954</v>
      </c>
      <c r="C351" s="383"/>
      <c r="D351" s="380"/>
      <c r="E351" s="203"/>
      <c r="F351" s="203"/>
      <c r="G351" s="203"/>
      <c r="H351" s="383"/>
      <c r="I351" s="380"/>
      <c r="J351" s="203"/>
      <c r="K351" s="203"/>
      <c r="L351" s="203"/>
      <c r="M351" s="205"/>
      <c r="N351" s="207"/>
      <c r="O351" s="204"/>
      <c r="P351" s="204"/>
      <c r="Q351" s="204"/>
      <c r="R351" s="386"/>
      <c r="S351" s="385"/>
      <c r="T351" s="204"/>
      <c r="U351" s="204"/>
      <c r="V351" s="204"/>
      <c r="W351" s="386"/>
      <c r="X351" s="385"/>
      <c r="Y351" s="204"/>
      <c r="Z351" s="204"/>
      <c r="AA351" s="204"/>
      <c r="AB351" s="386"/>
    </row>
    <row r="352" spans="1:28" ht="16.149999999999999" customHeight="1" x14ac:dyDescent="0.2">
      <c r="A352" s="390"/>
      <c r="B352" s="162" t="s">
        <v>955</v>
      </c>
      <c r="C352" s="383"/>
      <c r="D352" s="380"/>
      <c r="E352" s="203"/>
      <c r="F352" s="203"/>
      <c r="G352" s="203"/>
      <c r="H352" s="383"/>
      <c r="I352" s="380"/>
      <c r="J352" s="203"/>
      <c r="K352" s="203"/>
      <c r="L352" s="203"/>
      <c r="M352" s="205"/>
      <c r="N352" s="207"/>
      <c r="O352" s="204"/>
      <c r="P352" s="204"/>
      <c r="Q352" s="204"/>
      <c r="R352" s="386"/>
      <c r="S352" s="385"/>
      <c r="T352" s="204"/>
      <c r="U352" s="204"/>
      <c r="V352" s="204"/>
      <c r="W352" s="386"/>
      <c r="X352" s="385"/>
      <c r="Y352" s="204"/>
      <c r="Z352" s="204"/>
      <c r="AA352" s="204"/>
      <c r="AB352" s="386"/>
    </row>
    <row r="353" spans="1:28" ht="16.149999999999999" customHeight="1" x14ac:dyDescent="0.2">
      <c r="A353" s="390"/>
      <c r="B353" s="162" t="s">
        <v>956</v>
      </c>
      <c r="C353" s="383"/>
      <c r="D353" s="380"/>
      <c r="E353" s="203"/>
      <c r="F353" s="203"/>
      <c r="G353" s="203"/>
      <c r="H353" s="383"/>
      <c r="I353" s="380"/>
      <c r="J353" s="203"/>
      <c r="K353" s="203"/>
      <c r="L353" s="203"/>
      <c r="M353" s="205"/>
      <c r="N353" s="207"/>
      <c r="O353" s="204"/>
      <c r="P353" s="204"/>
      <c r="Q353" s="204"/>
      <c r="R353" s="386"/>
      <c r="S353" s="385"/>
      <c r="T353" s="204"/>
      <c r="U353" s="204"/>
      <c r="V353" s="204"/>
      <c r="W353" s="386"/>
      <c r="X353" s="385"/>
      <c r="Y353" s="204"/>
      <c r="Z353" s="204"/>
      <c r="AA353" s="204"/>
      <c r="AB353" s="386"/>
    </row>
    <row r="354" spans="1:28" ht="16.149999999999999" customHeight="1" x14ac:dyDescent="0.2">
      <c r="A354" s="390"/>
      <c r="B354" s="162" t="s">
        <v>957</v>
      </c>
      <c r="C354" s="383"/>
      <c r="D354" s="380"/>
      <c r="E354" s="203"/>
      <c r="F354" s="203"/>
      <c r="G354" s="203"/>
      <c r="H354" s="383"/>
      <c r="I354" s="380"/>
      <c r="J354" s="203"/>
      <c r="K354" s="203"/>
      <c r="L354" s="203"/>
      <c r="M354" s="205"/>
      <c r="N354" s="207"/>
      <c r="O354" s="204"/>
      <c r="P354" s="204"/>
      <c r="Q354" s="204"/>
      <c r="R354" s="386"/>
      <c r="S354" s="385"/>
      <c r="T354" s="204"/>
      <c r="U354" s="204"/>
      <c r="V354" s="204"/>
      <c r="W354" s="386"/>
      <c r="X354" s="385"/>
      <c r="Y354" s="204"/>
      <c r="Z354" s="204"/>
      <c r="AA354" s="204"/>
      <c r="AB354" s="386"/>
    </row>
    <row r="355" spans="1:28" ht="16.149999999999999" customHeight="1" x14ac:dyDescent="0.2">
      <c r="A355" s="390"/>
      <c r="B355" s="162" t="s">
        <v>958</v>
      </c>
      <c r="C355" s="383"/>
      <c r="D355" s="380"/>
      <c r="E355" s="203"/>
      <c r="F355" s="203"/>
      <c r="G355" s="203"/>
      <c r="H355" s="383"/>
      <c r="I355" s="380"/>
      <c r="J355" s="203"/>
      <c r="K355" s="203"/>
      <c r="L355" s="203"/>
      <c r="M355" s="205"/>
      <c r="N355" s="207"/>
      <c r="O355" s="204"/>
      <c r="P355" s="204"/>
      <c r="Q355" s="204"/>
      <c r="R355" s="386"/>
      <c r="S355" s="385"/>
      <c r="T355" s="204"/>
      <c r="U355" s="204"/>
      <c r="V355" s="204"/>
      <c r="W355" s="386"/>
      <c r="X355" s="385"/>
      <c r="Y355" s="204"/>
      <c r="Z355" s="204"/>
      <c r="AA355" s="204"/>
      <c r="AB355" s="386"/>
    </row>
    <row r="356" spans="1:28" ht="16.149999999999999" customHeight="1" x14ac:dyDescent="0.2">
      <c r="A356" s="390"/>
      <c r="B356" s="162" t="s">
        <v>959</v>
      </c>
      <c r="C356" s="383"/>
      <c r="D356" s="380"/>
      <c r="E356" s="203"/>
      <c r="F356" s="203"/>
      <c r="G356" s="203"/>
      <c r="H356" s="383"/>
      <c r="I356" s="380"/>
      <c r="J356" s="203"/>
      <c r="K356" s="203"/>
      <c r="L356" s="203"/>
      <c r="M356" s="205"/>
      <c r="N356" s="207"/>
      <c r="O356" s="204"/>
      <c r="P356" s="204"/>
      <c r="Q356" s="204"/>
      <c r="R356" s="386"/>
      <c r="S356" s="385"/>
      <c r="T356" s="204"/>
      <c r="U356" s="204"/>
      <c r="V356" s="204"/>
      <c r="W356" s="386"/>
      <c r="X356" s="385"/>
      <c r="Y356" s="204"/>
      <c r="Z356" s="204"/>
      <c r="AA356" s="204"/>
      <c r="AB356" s="386"/>
    </row>
    <row r="357" spans="1:28" ht="16.149999999999999" customHeight="1" x14ac:dyDescent="0.2">
      <c r="A357" s="390"/>
      <c r="B357" s="162" t="s">
        <v>960</v>
      </c>
      <c r="C357" s="383"/>
      <c r="D357" s="380"/>
      <c r="E357" s="203"/>
      <c r="F357" s="203"/>
      <c r="G357" s="203"/>
      <c r="H357" s="383"/>
      <c r="I357" s="380"/>
      <c r="J357" s="203"/>
      <c r="K357" s="203"/>
      <c r="L357" s="203"/>
      <c r="M357" s="205"/>
      <c r="N357" s="207"/>
      <c r="O357" s="204"/>
      <c r="P357" s="204"/>
      <c r="Q357" s="204"/>
      <c r="R357" s="386"/>
      <c r="S357" s="385"/>
      <c r="T357" s="204"/>
      <c r="U357" s="204"/>
      <c r="V357" s="204"/>
      <c r="W357" s="386"/>
      <c r="X357" s="385"/>
      <c r="Y357" s="204"/>
      <c r="Z357" s="204"/>
      <c r="AA357" s="204"/>
      <c r="AB357" s="386"/>
    </row>
    <row r="358" spans="1:28" ht="16.149999999999999" customHeight="1" x14ac:dyDescent="0.2">
      <c r="A358" s="390"/>
      <c r="B358" s="162" t="s">
        <v>961</v>
      </c>
      <c r="C358" s="383"/>
      <c r="D358" s="380"/>
      <c r="E358" s="203"/>
      <c r="F358" s="203"/>
      <c r="G358" s="203"/>
      <c r="H358" s="383"/>
      <c r="I358" s="380"/>
      <c r="J358" s="203"/>
      <c r="K358" s="203"/>
      <c r="L358" s="203"/>
      <c r="M358" s="205"/>
      <c r="N358" s="207"/>
      <c r="O358" s="204"/>
      <c r="P358" s="204"/>
      <c r="Q358" s="204"/>
      <c r="R358" s="386"/>
      <c r="S358" s="385"/>
      <c r="T358" s="204"/>
      <c r="U358" s="204"/>
      <c r="V358" s="204"/>
      <c r="W358" s="386"/>
      <c r="X358" s="385"/>
      <c r="Y358" s="204"/>
      <c r="Z358" s="204"/>
      <c r="AA358" s="204"/>
      <c r="AB358" s="386"/>
    </row>
    <row r="359" spans="1:28" ht="16.149999999999999" customHeight="1" x14ac:dyDescent="0.2">
      <c r="A359" s="390"/>
      <c r="B359" s="162" t="s">
        <v>962</v>
      </c>
      <c r="C359" s="383"/>
      <c r="D359" s="380"/>
      <c r="E359" s="203"/>
      <c r="F359" s="203"/>
      <c r="G359" s="203"/>
      <c r="H359" s="383"/>
      <c r="I359" s="380"/>
      <c r="J359" s="203"/>
      <c r="K359" s="203"/>
      <c r="L359" s="203"/>
      <c r="M359" s="205"/>
      <c r="N359" s="207"/>
      <c r="O359" s="204"/>
      <c r="P359" s="204"/>
      <c r="Q359" s="204"/>
      <c r="R359" s="386"/>
      <c r="S359" s="385"/>
      <c r="T359" s="204"/>
      <c r="U359" s="204"/>
      <c r="V359" s="204"/>
      <c r="W359" s="386"/>
      <c r="X359" s="385"/>
      <c r="Y359" s="204"/>
      <c r="Z359" s="204"/>
      <c r="AA359" s="204"/>
      <c r="AB359" s="386"/>
    </row>
    <row r="360" spans="1:28" ht="16.149999999999999" customHeight="1" x14ac:dyDescent="0.2">
      <c r="A360" s="390"/>
      <c r="B360" s="162" t="s">
        <v>963</v>
      </c>
      <c r="C360" s="383"/>
      <c r="D360" s="380"/>
      <c r="E360" s="203"/>
      <c r="F360" s="203"/>
      <c r="G360" s="203"/>
      <c r="H360" s="383"/>
      <c r="I360" s="380"/>
      <c r="J360" s="203"/>
      <c r="K360" s="203"/>
      <c r="L360" s="203"/>
      <c r="M360" s="205"/>
      <c r="N360" s="207"/>
      <c r="O360" s="204"/>
      <c r="P360" s="204"/>
      <c r="Q360" s="204"/>
      <c r="R360" s="386"/>
      <c r="S360" s="385"/>
      <c r="T360" s="204"/>
      <c r="U360" s="204"/>
      <c r="V360" s="204"/>
      <c r="W360" s="386"/>
      <c r="X360" s="385"/>
      <c r="Y360" s="204"/>
      <c r="Z360" s="204"/>
      <c r="AA360" s="204"/>
      <c r="AB360" s="386"/>
    </row>
    <row r="361" spans="1:28" ht="16.149999999999999" customHeight="1" x14ac:dyDescent="0.2">
      <c r="A361" s="390"/>
      <c r="B361" s="162" t="s">
        <v>964</v>
      </c>
      <c r="C361" s="383"/>
      <c r="D361" s="380"/>
      <c r="E361" s="203"/>
      <c r="F361" s="203"/>
      <c r="G361" s="203"/>
      <c r="H361" s="383"/>
      <c r="I361" s="380"/>
      <c r="J361" s="203"/>
      <c r="K361" s="203"/>
      <c r="L361" s="203"/>
      <c r="M361" s="205"/>
      <c r="N361" s="207"/>
      <c r="O361" s="204"/>
      <c r="P361" s="204"/>
      <c r="Q361" s="204"/>
      <c r="R361" s="386"/>
      <c r="S361" s="385"/>
      <c r="T361" s="204"/>
      <c r="U361" s="204"/>
      <c r="V361" s="204"/>
      <c r="W361" s="386"/>
      <c r="X361" s="385"/>
      <c r="Y361" s="204"/>
      <c r="Z361" s="204"/>
      <c r="AA361" s="204"/>
      <c r="AB361" s="386"/>
    </row>
    <row r="362" spans="1:28" ht="16.149999999999999" customHeight="1" x14ac:dyDescent="0.2">
      <c r="A362" s="390"/>
      <c r="B362" s="162" t="s">
        <v>970</v>
      </c>
      <c r="C362" s="383"/>
      <c r="D362" s="380"/>
      <c r="E362" s="203"/>
      <c r="F362" s="203"/>
      <c r="G362" s="203"/>
      <c r="H362" s="383"/>
      <c r="I362" s="380"/>
      <c r="J362" s="203"/>
      <c r="K362" s="203"/>
      <c r="L362" s="203"/>
      <c r="M362" s="205"/>
      <c r="N362" s="207"/>
      <c r="O362" s="204"/>
      <c r="P362" s="204"/>
      <c r="Q362" s="204"/>
      <c r="R362" s="386"/>
      <c r="S362" s="385"/>
      <c r="T362" s="204"/>
      <c r="U362" s="204"/>
      <c r="V362" s="204"/>
      <c r="W362" s="386"/>
      <c r="X362" s="385"/>
      <c r="Y362" s="204"/>
      <c r="Z362" s="204"/>
      <c r="AA362" s="204"/>
      <c r="AB362" s="386"/>
    </row>
    <row r="363" spans="1:28" ht="16.149999999999999" customHeight="1" x14ac:dyDescent="0.2">
      <c r="A363" s="390"/>
      <c r="B363" s="162" t="s">
        <v>965</v>
      </c>
      <c r="C363" s="383"/>
      <c r="D363" s="380"/>
      <c r="E363" s="203"/>
      <c r="F363" s="203"/>
      <c r="G363" s="203"/>
      <c r="H363" s="383"/>
      <c r="I363" s="380"/>
      <c r="J363" s="203"/>
      <c r="K363" s="203"/>
      <c r="L363" s="203"/>
      <c r="M363" s="205"/>
      <c r="N363" s="207"/>
      <c r="O363" s="204"/>
      <c r="P363" s="204"/>
      <c r="Q363" s="204"/>
      <c r="R363" s="386"/>
      <c r="S363" s="385"/>
      <c r="T363" s="204"/>
      <c r="U363" s="204"/>
      <c r="V363" s="204"/>
      <c r="W363" s="386"/>
      <c r="X363" s="385"/>
      <c r="Y363" s="204"/>
      <c r="Z363" s="204"/>
      <c r="AA363" s="204"/>
      <c r="AB363" s="386"/>
    </row>
    <row r="364" spans="1:28" ht="16.149999999999999" customHeight="1" x14ac:dyDescent="0.2">
      <c r="A364" s="390"/>
      <c r="B364" s="162" t="s">
        <v>969</v>
      </c>
      <c r="C364" s="383"/>
      <c r="D364" s="380"/>
      <c r="E364" s="203"/>
      <c r="F364" s="203"/>
      <c r="G364" s="203"/>
      <c r="H364" s="383"/>
      <c r="I364" s="380"/>
      <c r="J364" s="203"/>
      <c r="K364" s="203"/>
      <c r="L364" s="203"/>
      <c r="M364" s="205"/>
      <c r="N364" s="207"/>
      <c r="O364" s="204"/>
      <c r="P364" s="204"/>
      <c r="Q364" s="204"/>
      <c r="R364" s="386"/>
      <c r="S364" s="385"/>
      <c r="T364" s="204"/>
      <c r="U364" s="204"/>
      <c r="V364" s="204"/>
      <c r="W364" s="386"/>
      <c r="X364" s="385"/>
      <c r="Y364" s="204"/>
      <c r="Z364" s="204"/>
      <c r="AA364" s="204"/>
      <c r="AB364" s="386"/>
    </row>
    <row r="365" spans="1:28" ht="16.149999999999999" customHeight="1" x14ac:dyDescent="0.2">
      <c r="A365" s="390"/>
      <c r="B365" s="162" t="s">
        <v>966</v>
      </c>
      <c r="C365" s="383"/>
      <c r="D365" s="380"/>
      <c r="E365" s="203"/>
      <c r="F365" s="203"/>
      <c r="G365" s="203"/>
      <c r="H365" s="383"/>
      <c r="I365" s="380"/>
      <c r="J365" s="203"/>
      <c r="K365" s="203"/>
      <c r="L365" s="203"/>
      <c r="M365" s="205"/>
      <c r="N365" s="207"/>
      <c r="O365" s="204"/>
      <c r="P365" s="204"/>
      <c r="Q365" s="204"/>
      <c r="R365" s="386"/>
      <c r="S365" s="385"/>
      <c r="T365" s="204"/>
      <c r="U365" s="204"/>
      <c r="V365" s="204"/>
      <c r="W365" s="386"/>
      <c r="X365" s="385"/>
      <c r="Y365" s="204"/>
      <c r="Z365" s="204"/>
      <c r="AA365" s="204"/>
      <c r="AB365" s="386"/>
    </row>
    <row r="366" spans="1:28" ht="16.149999999999999" customHeight="1" x14ac:dyDescent="0.2">
      <c r="A366" s="390"/>
      <c r="B366" s="162" t="s">
        <v>967</v>
      </c>
      <c r="C366" s="383"/>
      <c r="D366" s="380"/>
      <c r="E366" s="203"/>
      <c r="F366" s="203"/>
      <c r="G366" s="203"/>
      <c r="H366" s="383"/>
      <c r="I366" s="380"/>
      <c r="J366" s="203"/>
      <c r="K366" s="203"/>
      <c r="L366" s="203"/>
      <c r="M366" s="205"/>
      <c r="N366" s="207"/>
      <c r="O366" s="204"/>
      <c r="P366" s="204"/>
      <c r="Q366" s="204"/>
      <c r="R366" s="386"/>
      <c r="S366" s="385"/>
      <c r="T366" s="204"/>
      <c r="U366" s="204"/>
      <c r="V366" s="204"/>
      <c r="W366" s="386"/>
      <c r="X366" s="385"/>
      <c r="Y366" s="204"/>
      <c r="Z366" s="204"/>
      <c r="AA366" s="204"/>
      <c r="AB366" s="386"/>
    </row>
    <row r="367" spans="1:28" ht="16.149999999999999" customHeight="1" x14ac:dyDescent="0.2">
      <c r="A367" s="390"/>
      <c r="B367" s="162" t="s">
        <v>968</v>
      </c>
      <c r="C367" s="383"/>
      <c r="D367" s="380"/>
      <c r="E367" s="203"/>
      <c r="F367" s="203"/>
      <c r="G367" s="203"/>
      <c r="H367" s="383"/>
      <c r="I367" s="380"/>
      <c r="J367" s="203"/>
      <c r="K367" s="203"/>
      <c r="L367" s="203"/>
      <c r="M367" s="205"/>
      <c r="N367" s="207"/>
      <c r="O367" s="204"/>
      <c r="P367" s="204"/>
      <c r="Q367" s="204"/>
      <c r="R367" s="386"/>
      <c r="S367" s="385"/>
      <c r="T367" s="204"/>
      <c r="U367" s="204"/>
      <c r="V367" s="204"/>
      <c r="W367" s="386"/>
      <c r="X367" s="385"/>
      <c r="Y367" s="204"/>
      <c r="Z367" s="204"/>
      <c r="AA367" s="204"/>
      <c r="AB367" s="386"/>
    </row>
    <row r="368" spans="1:28" ht="16.149999999999999" customHeight="1" x14ac:dyDescent="0.2">
      <c r="A368" s="390"/>
      <c r="B368" s="162" t="s">
        <v>971</v>
      </c>
      <c r="C368" s="383"/>
      <c r="D368" s="380"/>
      <c r="E368" s="203"/>
      <c r="F368" s="203"/>
      <c r="G368" s="203"/>
      <c r="H368" s="383"/>
      <c r="I368" s="380"/>
      <c r="J368" s="203"/>
      <c r="K368" s="203"/>
      <c r="L368" s="203"/>
      <c r="M368" s="205"/>
      <c r="N368" s="207"/>
      <c r="O368" s="204"/>
      <c r="P368" s="204"/>
      <c r="Q368" s="204"/>
      <c r="R368" s="386"/>
      <c r="S368" s="385"/>
      <c r="T368" s="204"/>
      <c r="U368" s="204"/>
      <c r="V368" s="204"/>
      <c r="W368" s="386"/>
      <c r="X368" s="385"/>
      <c r="Y368" s="204"/>
      <c r="Z368" s="204"/>
      <c r="AA368" s="204"/>
      <c r="AB368" s="386"/>
    </row>
    <row r="369" spans="1:28" ht="16.149999999999999" customHeight="1" x14ac:dyDescent="0.2">
      <c r="A369" s="390"/>
      <c r="B369" s="162" t="s">
        <v>972</v>
      </c>
      <c r="C369" s="383"/>
      <c r="D369" s="380"/>
      <c r="E369" s="203"/>
      <c r="F369" s="203"/>
      <c r="G369" s="203"/>
      <c r="H369" s="383"/>
      <c r="I369" s="380"/>
      <c r="J369" s="203"/>
      <c r="K369" s="203"/>
      <c r="L369" s="203"/>
      <c r="M369" s="205"/>
      <c r="N369" s="207"/>
      <c r="O369" s="204"/>
      <c r="P369" s="204"/>
      <c r="Q369" s="204"/>
      <c r="R369" s="386"/>
      <c r="S369" s="385"/>
      <c r="T369" s="204"/>
      <c r="U369" s="204"/>
      <c r="V369" s="204"/>
      <c r="W369" s="386"/>
      <c r="X369" s="385"/>
      <c r="Y369" s="204"/>
      <c r="Z369" s="204"/>
      <c r="AA369" s="204"/>
      <c r="AB369" s="386"/>
    </row>
    <row r="370" spans="1:28" ht="16.149999999999999" customHeight="1" x14ac:dyDescent="0.2">
      <c r="A370" s="390"/>
      <c r="B370" s="162" t="s">
        <v>973</v>
      </c>
      <c r="C370" s="383"/>
      <c r="D370" s="380"/>
      <c r="E370" s="203"/>
      <c r="F370" s="203"/>
      <c r="G370" s="203"/>
      <c r="H370" s="383"/>
      <c r="I370" s="380"/>
      <c r="J370" s="203"/>
      <c r="K370" s="203"/>
      <c r="L370" s="203"/>
      <c r="M370" s="205"/>
      <c r="N370" s="207"/>
      <c r="O370" s="204"/>
      <c r="P370" s="204"/>
      <c r="Q370" s="204"/>
      <c r="R370" s="386"/>
      <c r="S370" s="385"/>
      <c r="T370" s="204"/>
      <c r="U370" s="204"/>
      <c r="V370" s="204"/>
      <c r="W370" s="386"/>
      <c r="X370" s="385"/>
      <c r="Y370" s="204"/>
      <c r="Z370" s="204"/>
      <c r="AA370" s="204"/>
      <c r="AB370" s="386"/>
    </row>
    <row r="371" spans="1:28" ht="16.149999999999999" customHeight="1" x14ac:dyDescent="0.2">
      <c r="A371" s="390"/>
      <c r="B371" s="162" t="s">
        <v>974</v>
      </c>
      <c r="C371" s="383"/>
      <c r="D371" s="380"/>
      <c r="E371" s="203"/>
      <c r="F371" s="203"/>
      <c r="G371" s="203"/>
      <c r="H371" s="383"/>
      <c r="I371" s="380"/>
      <c r="J371" s="203"/>
      <c r="K371" s="203"/>
      <c r="L371" s="203"/>
      <c r="M371" s="205"/>
      <c r="N371" s="207"/>
      <c r="O371" s="204"/>
      <c r="P371" s="204"/>
      <c r="Q371" s="204"/>
      <c r="R371" s="386"/>
      <c r="S371" s="385"/>
      <c r="T371" s="204"/>
      <c r="U371" s="204"/>
      <c r="V371" s="204"/>
      <c r="W371" s="386"/>
      <c r="X371" s="385"/>
      <c r="Y371" s="204"/>
      <c r="Z371" s="204"/>
      <c r="AA371" s="204"/>
      <c r="AB371" s="386"/>
    </row>
    <row r="372" spans="1:28" ht="16.149999999999999" customHeight="1" x14ac:dyDescent="0.2">
      <c r="A372" s="390"/>
      <c r="B372" s="162" t="s">
        <v>975</v>
      </c>
      <c r="C372" s="383"/>
      <c r="D372" s="380"/>
      <c r="E372" s="203"/>
      <c r="F372" s="203"/>
      <c r="G372" s="203"/>
      <c r="H372" s="383"/>
      <c r="I372" s="380"/>
      <c r="J372" s="203"/>
      <c r="K372" s="203"/>
      <c r="L372" s="203"/>
      <c r="M372" s="205"/>
      <c r="N372" s="207"/>
      <c r="O372" s="204"/>
      <c r="P372" s="204"/>
      <c r="Q372" s="204"/>
      <c r="R372" s="386"/>
      <c r="S372" s="385"/>
      <c r="T372" s="204"/>
      <c r="U372" s="204"/>
      <c r="V372" s="204"/>
      <c r="W372" s="386"/>
      <c r="X372" s="385"/>
      <c r="Y372" s="204"/>
      <c r="Z372" s="204"/>
      <c r="AA372" s="204"/>
      <c r="AB372" s="386"/>
    </row>
    <row r="373" spans="1:28" ht="16.149999999999999" customHeight="1" x14ac:dyDescent="0.2">
      <c r="A373" s="390"/>
      <c r="B373" s="162" t="s">
        <v>976</v>
      </c>
      <c r="C373" s="383"/>
      <c r="D373" s="380"/>
      <c r="E373" s="203"/>
      <c r="F373" s="203"/>
      <c r="G373" s="203"/>
      <c r="H373" s="383"/>
      <c r="I373" s="380"/>
      <c r="J373" s="203"/>
      <c r="K373" s="203"/>
      <c r="L373" s="203"/>
      <c r="M373" s="205"/>
      <c r="N373" s="207"/>
      <c r="O373" s="204"/>
      <c r="P373" s="204"/>
      <c r="Q373" s="204"/>
      <c r="R373" s="386"/>
      <c r="S373" s="385"/>
      <c r="T373" s="204"/>
      <c r="U373" s="204"/>
      <c r="V373" s="204"/>
      <c r="W373" s="386"/>
      <c r="X373" s="385"/>
      <c r="Y373" s="204"/>
      <c r="Z373" s="204"/>
      <c r="AA373" s="204"/>
      <c r="AB373" s="386"/>
    </row>
    <row r="374" spans="1:28" ht="16.149999999999999" customHeight="1" x14ac:dyDescent="0.2">
      <c r="A374" s="390"/>
      <c r="B374" s="161" t="s">
        <v>382</v>
      </c>
      <c r="C374" s="383"/>
      <c r="D374" s="380"/>
      <c r="E374" s="203"/>
      <c r="F374" s="203"/>
      <c r="G374" s="203"/>
      <c r="H374" s="383"/>
      <c r="I374" s="380"/>
      <c r="J374" s="203"/>
      <c r="K374" s="203"/>
      <c r="L374" s="203"/>
      <c r="M374" s="205"/>
      <c r="N374" s="207"/>
      <c r="O374" s="204"/>
      <c r="P374" s="204"/>
      <c r="Q374" s="204"/>
      <c r="R374" s="386"/>
      <c r="S374" s="385"/>
      <c r="T374" s="204"/>
      <c r="U374" s="204"/>
      <c r="V374" s="204"/>
      <c r="W374" s="386"/>
      <c r="X374" s="385"/>
      <c r="Y374" s="204"/>
      <c r="Z374" s="204"/>
      <c r="AA374" s="204"/>
      <c r="AB374" s="386"/>
    </row>
    <row r="375" spans="1:28" ht="16.149999999999999" customHeight="1" x14ac:dyDescent="0.2">
      <c r="A375" s="390"/>
      <c r="B375" s="162" t="s">
        <v>977</v>
      </c>
      <c r="C375" s="383"/>
      <c r="D375" s="380"/>
      <c r="E375" s="203"/>
      <c r="F375" s="203"/>
      <c r="G375" s="203"/>
      <c r="H375" s="383"/>
      <c r="I375" s="380"/>
      <c r="J375" s="203"/>
      <c r="K375" s="203"/>
      <c r="L375" s="203"/>
      <c r="M375" s="205"/>
      <c r="N375" s="207"/>
      <c r="O375" s="204"/>
      <c r="P375" s="204"/>
      <c r="Q375" s="204"/>
      <c r="R375" s="386"/>
      <c r="S375" s="385"/>
      <c r="T375" s="204"/>
      <c r="U375" s="204"/>
      <c r="V375" s="204"/>
      <c r="W375" s="386"/>
      <c r="X375" s="385"/>
      <c r="Y375" s="204"/>
      <c r="Z375" s="204"/>
      <c r="AA375" s="204"/>
      <c r="AB375" s="386"/>
    </row>
    <row r="376" spans="1:28" ht="16.149999999999999" customHeight="1" x14ac:dyDescent="0.2">
      <c r="A376" s="390"/>
      <c r="B376" s="162" t="s">
        <v>978</v>
      </c>
      <c r="C376" s="383"/>
      <c r="D376" s="380"/>
      <c r="E376" s="203"/>
      <c r="F376" s="203"/>
      <c r="G376" s="203"/>
      <c r="H376" s="383"/>
      <c r="I376" s="380"/>
      <c r="J376" s="203"/>
      <c r="K376" s="203"/>
      <c r="L376" s="203"/>
      <c r="M376" s="205"/>
      <c r="N376" s="207"/>
      <c r="O376" s="204"/>
      <c r="P376" s="204"/>
      <c r="Q376" s="204"/>
      <c r="R376" s="386"/>
      <c r="S376" s="385"/>
      <c r="T376" s="204"/>
      <c r="U376" s="204"/>
      <c r="V376" s="204"/>
      <c r="W376" s="386"/>
      <c r="X376" s="385"/>
      <c r="Y376" s="204"/>
      <c r="Z376" s="204"/>
      <c r="AA376" s="204"/>
      <c r="AB376" s="386"/>
    </row>
    <row r="377" spans="1:28" ht="16.149999999999999" customHeight="1" x14ac:dyDescent="0.2">
      <c r="A377" s="390"/>
      <c r="B377" s="162" t="s">
        <v>979</v>
      </c>
      <c r="C377" s="383"/>
      <c r="D377" s="380"/>
      <c r="E377" s="203"/>
      <c r="F377" s="203"/>
      <c r="G377" s="203"/>
      <c r="H377" s="383"/>
      <c r="I377" s="380"/>
      <c r="J377" s="203"/>
      <c r="K377" s="203"/>
      <c r="L377" s="203"/>
      <c r="M377" s="205"/>
      <c r="N377" s="207"/>
      <c r="O377" s="204"/>
      <c r="P377" s="204"/>
      <c r="Q377" s="204"/>
      <c r="R377" s="386"/>
      <c r="S377" s="385"/>
      <c r="T377" s="204"/>
      <c r="U377" s="204"/>
      <c r="V377" s="204"/>
      <c r="W377" s="386"/>
      <c r="X377" s="385"/>
      <c r="Y377" s="204"/>
      <c r="Z377" s="204"/>
      <c r="AA377" s="204"/>
      <c r="AB377" s="386"/>
    </row>
    <row r="378" spans="1:28" ht="16.149999999999999" customHeight="1" x14ac:dyDescent="0.2">
      <c r="A378" s="390"/>
      <c r="B378" s="162" t="s">
        <v>980</v>
      </c>
      <c r="C378" s="383"/>
      <c r="D378" s="380"/>
      <c r="E378" s="203"/>
      <c r="F378" s="203"/>
      <c r="G378" s="203"/>
      <c r="H378" s="383"/>
      <c r="I378" s="380"/>
      <c r="J378" s="203"/>
      <c r="K378" s="203"/>
      <c r="L378" s="203"/>
      <c r="M378" s="205"/>
      <c r="N378" s="207"/>
      <c r="O378" s="204"/>
      <c r="P378" s="204"/>
      <c r="Q378" s="204"/>
      <c r="R378" s="386"/>
      <c r="S378" s="385"/>
      <c r="T378" s="204"/>
      <c r="U378" s="204"/>
      <c r="V378" s="204"/>
      <c r="W378" s="386"/>
      <c r="X378" s="385"/>
      <c r="Y378" s="204"/>
      <c r="Z378" s="204"/>
      <c r="AA378" s="204"/>
      <c r="AB378" s="386"/>
    </row>
    <row r="379" spans="1:28" ht="16.149999999999999" customHeight="1" x14ac:dyDescent="0.2">
      <c r="A379" s="390"/>
      <c r="B379" s="162" t="s">
        <v>981</v>
      </c>
      <c r="C379" s="383"/>
      <c r="D379" s="380"/>
      <c r="E379" s="203"/>
      <c r="F379" s="203"/>
      <c r="G379" s="203"/>
      <c r="H379" s="383"/>
      <c r="I379" s="380"/>
      <c r="J379" s="203"/>
      <c r="K379" s="203"/>
      <c r="L379" s="203"/>
      <c r="M379" s="205"/>
      <c r="N379" s="207"/>
      <c r="O379" s="204"/>
      <c r="P379" s="204"/>
      <c r="Q379" s="204"/>
      <c r="R379" s="386"/>
      <c r="S379" s="385"/>
      <c r="T379" s="204"/>
      <c r="U379" s="204"/>
      <c r="V379" s="204"/>
      <c r="W379" s="386"/>
      <c r="X379" s="385"/>
      <c r="Y379" s="204"/>
      <c r="Z379" s="204"/>
      <c r="AA379" s="204"/>
      <c r="AB379" s="386"/>
    </row>
    <row r="380" spans="1:28" ht="16.149999999999999" customHeight="1" x14ac:dyDescent="0.2">
      <c r="A380" s="390"/>
      <c r="B380" s="162" t="s">
        <v>982</v>
      </c>
      <c r="C380" s="383"/>
      <c r="D380" s="380"/>
      <c r="E380" s="203"/>
      <c r="F380" s="203"/>
      <c r="G380" s="203"/>
      <c r="H380" s="383"/>
      <c r="I380" s="380"/>
      <c r="J380" s="203"/>
      <c r="K380" s="203"/>
      <c r="L380" s="203"/>
      <c r="M380" s="205"/>
      <c r="N380" s="207"/>
      <c r="O380" s="204"/>
      <c r="P380" s="204"/>
      <c r="Q380" s="204"/>
      <c r="R380" s="386"/>
      <c r="S380" s="385"/>
      <c r="T380" s="204"/>
      <c r="U380" s="204"/>
      <c r="V380" s="204"/>
      <c r="W380" s="386"/>
      <c r="X380" s="385"/>
      <c r="Y380" s="204"/>
      <c r="Z380" s="204"/>
      <c r="AA380" s="204"/>
      <c r="AB380" s="386"/>
    </row>
    <row r="381" spans="1:28" ht="16.149999999999999" customHeight="1" x14ac:dyDescent="0.2">
      <c r="A381" s="390"/>
      <c r="B381" s="162" t="s">
        <v>983</v>
      </c>
      <c r="C381" s="383"/>
      <c r="D381" s="380"/>
      <c r="E381" s="203"/>
      <c r="F381" s="203"/>
      <c r="G381" s="203"/>
      <c r="H381" s="383"/>
      <c r="I381" s="380"/>
      <c r="J381" s="203"/>
      <c r="K381" s="203"/>
      <c r="L381" s="203"/>
      <c r="M381" s="205"/>
      <c r="N381" s="207"/>
      <c r="O381" s="204"/>
      <c r="P381" s="204"/>
      <c r="Q381" s="204"/>
      <c r="R381" s="386"/>
      <c r="S381" s="385"/>
      <c r="T381" s="204"/>
      <c r="U381" s="204"/>
      <c r="V381" s="204"/>
      <c r="W381" s="386"/>
      <c r="X381" s="385"/>
      <c r="Y381" s="204"/>
      <c r="Z381" s="204"/>
      <c r="AA381" s="204"/>
      <c r="AB381" s="386"/>
    </row>
    <row r="382" spans="1:28" ht="16.149999999999999" customHeight="1" x14ac:dyDescent="0.2">
      <c r="A382" s="390"/>
      <c r="B382" s="162" t="s">
        <v>984</v>
      </c>
      <c r="C382" s="383"/>
      <c r="D382" s="380"/>
      <c r="E382" s="203"/>
      <c r="F382" s="203"/>
      <c r="G382" s="203"/>
      <c r="H382" s="383"/>
      <c r="I382" s="380"/>
      <c r="J382" s="203"/>
      <c r="K382" s="203"/>
      <c r="L382" s="203"/>
      <c r="M382" s="205"/>
      <c r="N382" s="207"/>
      <c r="O382" s="204"/>
      <c r="P382" s="204"/>
      <c r="Q382" s="204"/>
      <c r="R382" s="386"/>
      <c r="S382" s="385"/>
      <c r="T382" s="204"/>
      <c r="U382" s="204"/>
      <c r="V382" s="204"/>
      <c r="W382" s="386"/>
      <c r="X382" s="385"/>
      <c r="Y382" s="204"/>
      <c r="Z382" s="204"/>
      <c r="AA382" s="204"/>
      <c r="AB382" s="386"/>
    </row>
    <row r="383" spans="1:28" ht="16.149999999999999" customHeight="1" x14ac:dyDescent="0.2">
      <c r="A383" s="390"/>
      <c r="B383" s="162" t="s">
        <v>985</v>
      </c>
      <c r="C383" s="383"/>
      <c r="D383" s="380"/>
      <c r="E383" s="203"/>
      <c r="F383" s="203"/>
      <c r="G383" s="203"/>
      <c r="H383" s="383"/>
      <c r="I383" s="380"/>
      <c r="J383" s="203"/>
      <c r="K383" s="203"/>
      <c r="L383" s="203"/>
      <c r="M383" s="205"/>
      <c r="N383" s="207"/>
      <c r="O383" s="204"/>
      <c r="P383" s="204"/>
      <c r="Q383" s="204"/>
      <c r="R383" s="386"/>
      <c r="S383" s="385"/>
      <c r="T383" s="204"/>
      <c r="U383" s="204"/>
      <c r="V383" s="204"/>
      <c r="W383" s="386"/>
      <c r="X383" s="385"/>
      <c r="Y383" s="204"/>
      <c r="Z383" s="204"/>
      <c r="AA383" s="204"/>
      <c r="AB383" s="386"/>
    </row>
    <row r="384" spans="1:28" ht="16.149999999999999" customHeight="1" x14ac:dyDescent="0.2">
      <c r="A384" s="390"/>
      <c r="B384" s="162" t="s">
        <v>986</v>
      </c>
      <c r="C384" s="383"/>
      <c r="D384" s="380"/>
      <c r="E384" s="203"/>
      <c r="F384" s="203"/>
      <c r="G384" s="203"/>
      <c r="H384" s="383"/>
      <c r="I384" s="380"/>
      <c r="J384" s="203"/>
      <c r="K384" s="203"/>
      <c r="L384" s="203"/>
      <c r="M384" s="205"/>
      <c r="N384" s="207"/>
      <c r="O384" s="204"/>
      <c r="P384" s="204"/>
      <c r="Q384" s="204"/>
      <c r="R384" s="386"/>
      <c r="S384" s="385"/>
      <c r="T384" s="204"/>
      <c r="U384" s="204"/>
      <c r="V384" s="204"/>
      <c r="W384" s="386"/>
      <c r="X384" s="385"/>
      <c r="Y384" s="204"/>
      <c r="Z384" s="204"/>
      <c r="AA384" s="204"/>
      <c r="AB384" s="386"/>
    </row>
    <row r="385" spans="1:28" ht="16.149999999999999" customHeight="1" x14ac:dyDescent="0.2">
      <c r="A385" s="390"/>
      <c r="B385" s="162" t="s">
        <v>987</v>
      </c>
      <c r="C385" s="383"/>
      <c r="D385" s="380"/>
      <c r="E385" s="203"/>
      <c r="F385" s="203"/>
      <c r="G385" s="203"/>
      <c r="H385" s="383"/>
      <c r="I385" s="380"/>
      <c r="J385" s="203"/>
      <c r="K385" s="203"/>
      <c r="L385" s="203"/>
      <c r="M385" s="205"/>
      <c r="N385" s="207"/>
      <c r="O385" s="204"/>
      <c r="P385" s="204"/>
      <c r="Q385" s="204"/>
      <c r="R385" s="386"/>
      <c r="S385" s="385"/>
      <c r="T385" s="204"/>
      <c r="U385" s="204"/>
      <c r="V385" s="204"/>
      <c r="W385" s="386"/>
      <c r="X385" s="385"/>
      <c r="Y385" s="204"/>
      <c r="Z385" s="204"/>
      <c r="AA385" s="204"/>
      <c r="AB385" s="386"/>
    </row>
    <row r="386" spans="1:28" ht="16.149999999999999" customHeight="1" x14ac:dyDescent="0.2">
      <c r="A386" s="390"/>
      <c r="B386" s="162" t="s">
        <v>988</v>
      </c>
      <c r="C386" s="383"/>
      <c r="D386" s="380"/>
      <c r="E386" s="203"/>
      <c r="F386" s="203"/>
      <c r="G386" s="203"/>
      <c r="H386" s="383"/>
      <c r="I386" s="380"/>
      <c r="J386" s="203"/>
      <c r="K386" s="203"/>
      <c r="L386" s="203"/>
      <c r="M386" s="205"/>
      <c r="N386" s="207"/>
      <c r="O386" s="204"/>
      <c r="P386" s="204"/>
      <c r="Q386" s="204"/>
      <c r="R386" s="386"/>
      <c r="S386" s="385"/>
      <c r="T386" s="204"/>
      <c r="U386" s="204"/>
      <c r="V386" s="204"/>
      <c r="W386" s="386"/>
      <c r="X386" s="385"/>
      <c r="Y386" s="204"/>
      <c r="Z386" s="204"/>
      <c r="AA386" s="204"/>
      <c r="AB386" s="386"/>
    </row>
    <row r="387" spans="1:28" ht="16.149999999999999" customHeight="1" x14ac:dyDescent="0.2">
      <c r="A387" s="390"/>
      <c r="B387" s="162" t="s">
        <v>989</v>
      </c>
      <c r="C387" s="383"/>
      <c r="D387" s="380"/>
      <c r="E387" s="203"/>
      <c r="F387" s="203"/>
      <c r="G387" s="203"/>
      <c r="H387" s="383"/>
      <c r="I387" s="380"/>
      <c r="J387" s="203"/>
      <c r="K387" s="203"/>
      <c r="L387" s="203"/>
      <c r="M387" s="205"/>
      <c r="N387" s="207"/>
      <c r="O387" s="204"/>
      <c r="P387" s="204"/>
      <c r="Q387" s="204"/>
      <c r="R387" s="386"/>
      <c r="S387" s="385"/>
      <c r="T387" s="204"/>
      <c r="U387" s="204"/>
      <c r="V387" s="204"/>
      <c r="W387" s="386"/>
      <c r="X387" s="385"/>
      <c r="Y387" s="204"/>
      <c r="Z387" s="204"/>
      <c r="AA387" s="204"/>
      <c r="AB387" s="386"/>
    </row>
    <row r="388" spans="1:28" ht="16.149999999999999" customHeight="1" x14ac:dyDescent="0.2">
      <c r="A388" s="390"/>
      <c r="B388" s="162" t="s">
        <v>990</v>
      </c>
      <c r="C388" s="383"/>
      <c r="D388" s="380"/>
      <c r="E388" s="203"/>
      <c r="F388" s="203"/>
      <c r="G388" s="203"/>
      <c r="H388" s="383"/>
      <c r="I388" s="380"/>
      <c r="J388" s="203"/>
      <c r="K388" s="203"/>
      <c r="L388" s="203"/>
      <c r="M388" s="205"/>
      <c r="N388" s="207"/>
      <c r="O388" s="204"/>
      <c r="P388" s="204"/>
      <c r="Q388" s="204"/>
      <c r="R388" s="386"/>
      <c r="S388" s="385"/>
      <c r="T388" s="204"/>
      <c r="U388" s="204"/>
      <c r="V388" s="204"/>
      <c r="W388" s="386"/>
      <c r="X388" s="385"/>
      <c r="Y388" s="204"/>
      <c r="Z388" s="204"/>
      <c r="AA388" s="204"/>
      <c r="AB388" s="386"/>
    </row>
    <row r="389" spans="1:28" ht="16.149999999999999" customHeight="1" x14ac:dyDescent="0.2">
      <c r="A389" s="390"/>
      <c r="B389" s="162" t="s">
        <v>991</v>
      </c>
      <c r="C389" s="383"/>
      <c r="D389" s="380"/>
      <c r="E389" s="203"/>
      <c r="F389" s="203"/>
      <c r="G389" s="203"/>
      <c r="H389" s="383"/>
      <c r="I389" s="380"/>
      <c r="J389" s="203"/>
      <c r="K389" s="203"/>
      <c r="L389" s="203"/>
      <c r="M389" s="205"/>
      <c r="N389" s="207"/>
      <c r="O389" s="204"/>
      <c r="P389" s="204"/>
      <c r="Q389" s="204"/>
      <c r="R389" s="386"/>
      <c r="S389" s="385"/>
      <c r="T389" s="204"/>
      <c r="U389" s="204"/>
      <c r="V389" s="204"/>
      <c r="W389" s="386"/>
      <c r="X389" s="385"/>
      <c r="Y389" s="204"/>
      <c r="Z389" s="204"/>
      <c r="AA389" s="204"/>
      <c r="AB389" s="386"/>
    </row>
    <row r="390" spans="1:28" ht="16.149999999999999" customHeight="1" x14ac:dyDescent="0.2">
      <c r="A390" s="390"/>
      <c r="B390" s="162" t="s">
        <v>992</v>
      </c>
      <c r="C390" s="383"/>
      <c r="D390" s="380"/>
      <c r="E390" s="203"/>
      <c r="F390" s="203"/>
      <c r="G390" s="203"/>
      <c r="H390" s="383"/>
      <c r="I390" s="380"/>
      <c r="J390" s="203"/>
      <c r="K390" s="203"/>
      <c r="L390" s="203"/>
      <c r="M390" s="205"/>
      <c r="N390" s="207"/>
      <c r="O390" s="204"/>
      <c r="P390" s="204"/>
      <c r="Q390" s="204"/>
      <c r="R390" s="386"/>
      <c r="S390" s="385"/>
      <c r="T390" s="204"/>
      <c r="U390" s="204"/>
      <c r="V390" s="204"/>
      <c r="W390" s="386"/>
      <c r="X390" s="385"/>
      <c r="Y390" s="204"/>
      <c r="Z390" s="204"/>
      <c r="AA390" s="204"/>
      <c r="AB390" s="386"/>
    </row>
    <row r="391" spans="1:28" ht="16.149999999999999" customHeight="1" x14ac:dyDescent="0.2">
      <c r="A391" s="390"/>
      <c r="B391" s="162" t="s">
        <v>993</v>
      </c>
      <c r="C391" s="383"/>
      <c r="D391" s="380"/>
      <c r="E391" s="203"/>
      <c r="F391" s="203"/>
      <c r="G391" s="203"/>
      <c r="H391" s="383"/>
      <c r="I391" s="380"/>
      <c r="J391" s="203"/>
      <c r="K391" s="203"/>
      <c r="L391" s="203"/>
      <c r="M391" s="205"/>
      <c r="N391" s="207"/>
      <c r="O391" s="204"/>
      <c r="P391" s="204"/>
      <c r="Q391" s="204"/>
      <c r="R391" s="386"/>
      <c r="S391" s="385"/>
      <c r="T391" s="204"/>
      <c r="U391" s="204"/>
      <c r="V391" s="204"/>
      <c r="W391" s="386"/>
      <c r="X391" s="385"/>
      <c r="Y391" s="204"/>
      <c r="Z391" s="204"/>
      <c r="AA391" s="204"/>
      <c r="AB391" s="386"/>
    </row>
    <row r="392" spans="1:28" ht="16.149999999999999" customHeight="1" x14ac:dyDescent="0.2">
      <c r="A392" s="390"/>
      <c r="B392" s="162" t="s">
        <v>994</v>
      </c>
      <c r="C392" s="383"/>
      <c r="D392" s="380"/>
      <c r="E392" s="203"/>
      <c r="F392" s="203"/>
      <c r="G392" s="203"/>
      <c r="H392" s="383"/>
      <c r="I392" s="380"/>
      <c r="J392" s="203"/>
      <c r="K392" s="203"/>
      <c r="L392" s="203"/>
      <c r="M392" s="205"/>
      <c r="N392" s="207"/>
      <c r="O392" s="204"/>
      <c r="P392" s="204"/>
      <c r="Q392" s="204"/>
      <c r="R392" s="386"/>
      <c r="S392" s="385"/>
      <c r="T392" s="204"/>
      <c r="U392" s="204"/>
      <c r="V392" s="204"/>
      <c r="W392" s="386"/>
      <c r="X392" s="385"/>
      <c r="Y392" s="204"/>
      <c r="Z392" s="204"/>
      <c r="AA392" s="204"/>
      <c r="AB392" s="386"/>
    </row>
    <row r="393" spans="1:28" ht="16.149999999999999" customHeight="1" x14ac:dyDescent="0.2">
      <c r="A393" s="390"/>
      <c r="B393" s="162" t="s">
        <v>995</v>
      </c>
      <c r="C393" s="383"/>
      <c r="D393" s="380"/>
      <c r="E393" s="203"/>
      <c r="F393" s="203"/>
      <c r="G393" s="203"/>
      <c r="H393" s="383"/>
      <c r="I393" s="380"/>
      <c r="J393" s="203"/>
      <c r="K393" s="203"/>
      <c r="L393" s="203"/>
      <c r="M393" s="205"/>
      <c r="N393" s="207"/>
      <c r="O393" s="204"/>
      <c r="P393" s="204"/>
      <c r="Q393" s="204"/>
      <c r="R393" s="386"/>
      <c r="S393" s="385"/>
      <c r="T393" s="204"/>
      <c r="U393" s="204"/>
      <c r="V393" s="204"/>
      <c r="W393" s="386"/>
      <c r="X393" s="385"/>
      <c r="Y393" s="204"/>
      <c r="Z393" s="204"/>
      <c r="AA393" s="204"/>
      <c r="AB393" s="386"/>
    </row>
    <row r="394" spans="1:28" ht="16.149999999999999" customHeight="1" x14ac:dyDescent="0.2">
      <c r="A394" s="390"/>
      <c r="B394" s="162" t="s">
        <v>996</v>
      </c>
      <c r="C394" s="383"/>
      <c r="D394" s="380"/>
      <c r="E394" s="203"/>
      <c r="F394" s="203"/>
      <c r="G394" s="203"/>
      <c r="H394" s="383"/>
      <c r="I394" s="380"/>
      <c r="J394" s="203"/>
      <c r="K394" s="203"/>
      <c r="L394" s="203"/>
      <c r="M394" s="205"/>
      <c r="N394" s="207"/>
      <c r="O394" s="204"/>
      <c r="P394" s="204"/>
      <c r="Q394" s="204"/>
      <c r="R394" s="386"/>
      <c r="S394" s="385"/>
      <c r="T394" s="204"/>
      <c r="U394" s="204"/>
      <c r="V394" s="204"/>
      <c r="W394" s="386"/>
      <c r="X394" s="385"/>
      <c r="Y394" s="204"/>
      <c r="Z394" s="204"/>
      <c r="AA394" s="204"/>
      <c r="AB394" s="386"/>
    </row>
    <row r="395" spans="1:28" ht="16.149999999999999" customHeight="1" x14ac:dyDescent="0.2">
      <c r="A395" s="390"/>
      <c r="B395" s="162" t="s">
        <v>997</v>
      </c>
      <c r="C395" s="383"/>
      <c r="D395" s="380"/>
      <c r="E395" s="203"/>
      <c r="F395" s="203"/>
      <c r="G395" s="203"/>
      <c r="H395" s="383"/>
      <c r="I395" s="380"/>
      <c r="J395" s="203"/>
      <c r="K395" s="203"/>
      <c r="L395" s="203"/>
      <c r="M395" s="205"/>
      <c r="N395" s="207"/>
      <c r="O395" s="204"/>
      <c r="P395" s="204"/>
      <c r="Q395" s="204"/>
      <c r="R395" s="386"/>
      <c r="S395" s="385"/>
      <c r="T395" s="204"/>
      <c r="U395" s="204"/>
      <c r="V395" s="204"/>
      <c r="W395" s="386"/>
      <c r="X395" s="385"/>
      <c r="Y395" s="204"/>
      <c r="Z395" s="204"/>
      <c r="AA395" s="204"/>
      <c r="AB395" s="386"/>
    </row>
    <row r="396" spans="1:28" ht="16.149999999999999" customHeight="1" x14ac:dyDescent="0.2">
      <c r="A396" s="390"/>
      <c r="B396" s="162" t="s">
        <v>998</v>
      </c>
      <c r="C396" s="383"/>
      <c r="D396" s="380"/>
      <c r="E396" s="203"/>
      <c r="F396" s="203"/>
      <c r="G396" s="203"/>
      <c r="H396" s="383"/>
      <c r="I396" s="380"/>
      <c r="J396" s="203"/>
      <c r="K396" s="203"/>
      <c r="L396" s="203"/>
      <c r="M396" s="205"/>
      <c r="N396" s="207"/>
      <c r="O396" s="204"/>
      <c r="P396" s="204"/>
      <c r="Q396" s="204"/>
      <c r="R396" s="386"/>
      <c r="S396" s="385"/>
      <c r="T396" s="204"/>
      <c r="U396" s="204"/>
      <c r="V396" s="204"/>
      <c r="W396" s="386"/>
      <c r="X396" s="385"/>
      <c r="Y396" s="204"/>
      <c r="Z396" s="204"/>
      <c r="AA396" s="204"/>
      <c r="AB396" s="386"/>
    </row>
    <row r="397" spans="1:28" ht="16.149999999999999" customHeight="1" x14ac:dyDescent="0.2">
      <c r="A397" s="390"/>
      <c r="B397" s="162" t="s">
        <v>999</v>
      </c>
      <c r="C397" s="383"/>
      <c r="D397" s="380"/>
      <c r="E397" s="203"/>
      <c r="F397" s="203"/>
      <c r="G397" s="203"/>
      <c r="H397" s="383"/>
      <c r="I397" s="380"/>
      <c r="J397" s="203"/>
      <c r="K397" s="203"/>
      <c r="L397" s="203"/>
      <c r="M397" s="205"/>
      <c r="N397" s="207"/>
      <c r="O397" s="204"/>
      <c r="P397" s="204"/>
      <c r="Q397" s="204"/>
      <c r="R397" s="386"/>
      <c r="S397" s="385"/>
      <c r="T397" s="204"/>
      <c r="U397" s="204"/>
      <c r="V397" s="204"/>
      <c r="W397" s="386"/>
      <c r="X397" s="385"/>
      <c r="Y397" s="204"/>
      <c r="Z397" s="204"/>
      <c r="AA397" s="204"/>
      <c r="AB397" s="386"/>
    </row>
    <row r="398" spans="1:28" ht="16.149999999999999" customHeight="1" x14ac:dyDescent="0.2">
      <c r="A398" s="390"/>
      <c r="B398" s="162" t="s">
        <v>1000</v>
      </c>
      <c r="C398" s="383"/>
      <c r="D398" s="380"/>
      <c r="E398" s="203"/>
      <c r="F398" s="203"/>
      <c r="G398" s="203"/>
      <c r="H398" s="383"/>
      <c r="I398" s="380"/>
      <c r="J398" s="203"/>
      <c r="K398" s="203"/>
      <c r="L398" s="203"/>
      <c r="M398" s="205"/>
      <c r="N398" s="207"/>
      <c r="O398" s="204"/>
      <c r="P398" s="204"/>
      <c r="Q398" s="204"/>
      <c r="R398" s="386"/>
      <c r="S398" s="385"/>
      <c r="T398" s="204"/>
      <c r="U398" s="204"/>
      <c r="V398" s="204"/>
      <c r="W398" s="386"/>
      <c r="X398" s="385"/>
      <c r="Y398" s="204"/>
      <c r="Z398" s="204"/>
      <c r="AA398" s="204"/>
      <c r="AB398" s="386"/>
    </row>
    <row r="399" spans="1:28" ht="16.149999999999999" customHeight="1" x14ac:dyDescent="0.2">
      <c r="A399" s="390"/>
      <c r="B399" s="162" t="s">
        <v>1001</v>
      </c>
      <c r="C399" s="383"/>
      <c r="D399" s="380"/>
      <c r="E399" s="203"/>
      <c r="F399" s="203"/>
      <c r="G399" s="203"/>
      <c r="H399" s="383"/>
      <c r="I399" s="380"/>
      <c r="J399" s="203"/>
      <c r="K399" s="203"/>
      <c r="L399" s="203"/>
      <c r="M399" s="205"/>
      <c r="N399" s="207"/>
      <c r="O399" s="204"/>
      <c r="P399" s="204"/>
      <c r="Q399" s="204"/>
      <c r="R399" s="386"/>
      <c r="S399" s="385"/>
      <c r="T399" s="204"/>
      <c r="U399" s="204"/>
      <c r="V399" s="204"/>
      <c r="W399" s="386"/>
      <c r="X399" s="385"/>
      <c r="Y399" s="204"/>
      <c r="Z399" s="204"/>
      <c r="AA399" s="204"/>
      <c r="AB399" s="386"/>
    </row>
    <row r="400" spans="1:28" ht="16.149999999999999" customHeight="1" x14ac:dyDescent="0.2">
      <c r="A400" s="390"/>
      <c r="B400" s="162" t="s">
        <v>1002</v>
      </c>
      <c r="C400" s="383"/>
      <c r="D400" s="380"/>
      <c r="E400" s="203"/>
      <c r="F400" s="203"/>
      <c r="G400" s="203"/>
      <c r="H400" s="383"/>
      <c r="I400" s="380"/>
      <c r="J400" s="203"/>
      <c r="K400" s="203"/>
      <c r="L400" s="203"/>
      <c r="M400" s="205"/>
      <c r="N400" s="207"/>
      <c r="O400" s="204"/>
      <c r="P400" s="204"/>
      <c r="Q400" s="204"/>
      <c r="R400" s="386"/>
      <c r="S400" s="385"/>
      <c r="T400" s="204"/>
      <c r="U400" s="204"/>
      <c r="V400" s="204"/>
      <c r="W400" s="386"/>
      <c r="X400" s="385"/>
      <c r="Y400" s="204"/>
      <c r="Z400" s="204"/>
      <c r="AA400" s="204"/>
      <c r="AB400" s="386"/>
    </row>
    <row r="401" spans="1:28" ht="16.149999999999999" customHeight="1" x14ac:dyDescent="0.2">
      <c r="A401" s="390"/>
      <c r="B401" s="162" t="s">
        <v>1003</v>
      </c>
      <c r="C401" s="383"/>
      <c r="D401" s="380"/>
      <c r="E401" s="203"/>
      <c r="F401" s="203"/>
      <c r="G401" s="203"/>
      <c r="H401" s="383"/>
      <c r="I401" s="380"/>
      <c r="J401" s="203"/>
      <c r="K401" s="203"/>
      <c r="L401" s="203"/>
      <c r="M401" s="205"/>
      <c r="N401" s="207"/>
      <c r="O401" s="204"/>
      <c r="P401" s="204"/>
      <c r="Q401" s="204"/>
      <c r="R401" s="386"/>
      <c r="S401" s="385"/>
      <c r="T401" s="204"/>
      <c r="U401" s="204"/>
      <c r="V401" s="204"/>
      <c r="W401" s="386"/>
      <c r="X401" s="385"/>
      <c r="Y401" s="204"/>
      <c r="Z401" s="204"/>
      <c r="AA401" s="204"/>
      <c r="AB401" s="386"/>
    </row>
    <row r="402" spans="1:28" ht="16.149999999999999" customHeight="1" x14ac:dyDescent="0.2">
      <c r="A402" s="390"/>
      <c r="B402" s="162" t="s">
        <v>1004</v>
      </c>
      <c r="C402" s="383"/>
      <c r="D402" s="380"/>
      <c r="E402" s="203"/>
      <c r="F402" s="203"/>
      <c r="G402" s="203"/>
      <c r="H402" s="383"/>
      <c r="I402" s="380"/>
      <c r="J402" s="203"/>
      <c r="K402" s="203"/>
      <c r="L402" s="203"/>
      <c r="M402" s="205"/>
      <c r="N402" s="207"/>
      <c r="O402" s="204"/>
      <c r="P402" s="204"/>
      <c r="Q402" s="204"/>
      <c r="R402" s="386"/>
      <c r="S402" s="385"/>
      <c r="T402" s="204"/>
      <c r="U402" s="204"/>
      <c r="V402" s="204"/>
      <c r="W402" s="386"/>
      <c r="X402" s="385"/>
      <c r="Y402" s="204"/>
      <c r="Z402" s="204"/>
      <c r="AA402" s="204"/>
      <c r="AB402" s="386"/>
    </row>
    <row r="403" spans="1:28" ht="16.149999999999999" customHeight="1" x14ac:dyDescent="0.2">
      <c r="A403" s="390"/>
      <c r="B403" s="162" t="s">
        <v>1005</v>
      </c>
      <c r="C403" s="383"/>
      <c r="D403" s="380"/>
      <c r="E403" s="203"/>
      <c r="F403" s="203"/>
      <c r="G403" s="203"/>
      <c r="H403" s="383"/>
      <c r="I403" s="380"/>
      <c r="J403" s="203"/>
      <c r="K403" s="203"/>
      <c r="L403" s="203"/>
      <c r="M403" s="205"/>
      <c r="N403" s="207"/>
      <c r="O403" s="204"/>
      <c r="P403" s="204"/>
      <c r="Q403" s="204"/>
      <c r="R403" s="386"/>
      <c r="S403" s="385"/>
      <c r="T403" s="204"/>
      <c r="U403" s="204"/>
      <c r="V403" s="204"/>
      <c r="W403" s="386"/>
      <c r="X403" s="385"/>
      <c r="Y403" s="204"/>
      <c r="Z403" s="204"/>
      <c r="AA403" s="204"/>
      <c r="AB403" s="386"/>
    </row>
    <row r="404" spans="1:28" ht="16.149999999999999" customHeight="1" x14ac:dyDescent="0.2">
      <c r="A404" s="390"/>
      <c r="B404" s="162" t="s">
        <v>1006</v>
      </c>
      <c r="C404" s="383"/>
      <c r="D404" s="380"/>
      <c r="E404" s="203"/>
      <c r="F404" s="203"/>
      <c r="G404" s="203"/>
      <c r="H404" s="383"/>
      <c r="I404" s="380"/>
      <c r="J404" s="203"/>
      <c r="K404" s="203"/>
      <c r="L404" s="203"/>
      <c r="M404" s="205"/>
      <c r="N404" s="207"/>
      <c r="O404" s="204"/>
      <c r="P404" s="204"/>
      <c r="Q404" s="204"/>
      <c r="R404" s="386"/>
      <c r="S404" s="385"/>
      <c r="T404" s="204"/>
      <c r="U404" s="204"/>
      <c r="V404" s="204"/>
      <c r="W404" s="386"/>
      <c r="X404" s="385"/>
      <c r="Y404" s="204"/>
      <c r="Z404" s="204"/>
      <c r="AA404" s="204"/>
      <c r="AB404" s="386"/>
    </row>
    <row r="405" spans="1:28" ht="16.149999999999999" customHeight="1" x14ac:dyDescent="0.2">
      <c r="A405" s="390"/>
      <c r="B405" s="162" t="s">
        <v>1007</v>
      </c>
      <c r="C405" s="383"/>
      <c r="D405" s="380"/>
      <c r="E405" s="203"/>
      <c r="F405" s="203"/>
      <c r="G405" s="203"/>
      <c r="H405" s="383"/>
      <c r="I405" s="380"/>
      <c r="J405" s="203"/>
      <c r="K405" s="203"/>
      <c r="L405" s="203"/>
      <c r="M405" s="205"/>
      <c r="N405" s="207"/>
      <c r="O405" s="204"/>
      <c r="P405" s="204"/>
      <c r="Q405" s="204"/>
      <c r="R405" s="386"/>
      <c r="S405" s="385"/>
      <c r="T405" s="204"/>
      <c r="U405" s="204"/>
      <c r="V405" s="204"/>
      <c r="W405" s="386"/>
      <c r="X405" s="385"/>
      <c r="Y405" s="204"/>
      <c r="Z405" s="204"/>
      <c r="AA405" s="204"/>
      <c r="AB405" s="386"/>
    </row>
    <row r="406" spans="1:28" ht="16.149999999999999" customHeight="1" x14ac:dyDescent="0.2">
      <c r="A406" s="390"/>
      <c r="B406" s="162" t="s">
        <v>1008</v>
      </c>
      <c r="C406" s="383"/>
      <c r="D406" s="380"/>
      <c r="E406" s="203"/>
      <c r="F406" s="203"/>
      <c r="G406" s="203"/>
      <c r="H406" s="383"/>
      <c r="I406" s="380"/>
      <c r="J406" s="203"/>
      <c r="K406" s="203"/>
      <c r="L406" s="203"/>
      <c r="M406" s="205"/>
      <c r="N406" s="207"/>
      <c r="O406" s="204"/>
      <c r="P406" s="204"/>
      <c r="Q406" s="204"/>
      <c r="R406" s="386"/>
      <c r="S406" s="385"/>
      <c r="T406" s="204"/>
      <c r="U406" s="204"/>
      <c r="V406" s="204"/>
      <c r="W406" s="386"/>
      <c r="X406" s="385"/>
      <c r="Y406" s="204"/>
      <c r="Z406" s="204"/>
      <c r="AA406" s="204"/>
      <c r="AB406" s="386"/>
    </row>
    <row r="407" spans="1:28" ht="16.149999999999999" customHeight="1" x14ac:dyDescent="0.2">
      <c r="A407" s="390"/>
      <c r="B407" s="162" t="s">
        <v>1009</v>
      </c>
      <c r="C407" s="383"/>
      <c r="D407" s="380"/>
      <c r="E407" s="203"/>
      <c r="F407" s="203"/>
      <c r="G407" s="203"/>
      <c r="H407" s="383"/>
      <c r="I407" s="380"/>
      <c r="J407" s="203"/>
      <c r="K407" s="203"/>
      <c r="L407" s="203"/>
      <c r="M407" s="205"/>
      <c r="N407" s="207"/>
      <c r="O407" s="204"/>
      <c r="P407" s="204"/>
      <c r="Q407" s="204"/>
      <c r="R407" s="386"/>
      <c r="S407" s="385"/>
      <c r="T407" s="204"/>
      <c r="U407" s="204"/>
      <c r="V407" s="204"/>
      <c r="W407" s="386"/>
      <c r="X407" s="385"/>
      <c r="Y407" s="204"/>
      <c r="Z407" s="204"/>
      <c r="AA407" s="204"/>
      <c r="AB407" s="386"/>
    </row>
    <row r="408" spans="1:28" ht="16.149999999999999" customHeight="1" x14ac:dyDescent="0.2">
      <c r="A408" s="390"/>
      <c r="B408" s="162" t="s">
        <v>1010</v>
      </c>
      <c r="C408" s="383"/>
      <c r="D408" s="380"/>
      <c r="E408" s="203"/>
      <c r="F408" s="203"/>
      <c r="G408" s="203"/>
      <c r="H408" s="383"/>
      <c r="I408" s="380"/>
      <c r="J408" s="203"/>
      <c r="K408" s="203"/>
      <c r="L408" s="203"/>
      <c r="M408" s="205"/>
      <c r="N408" s="207"/>
      <c r="O408" s="204"/>
      <c r="P408" s="204"/>
      <c r="Q408" s="204"/>
      <c r="R408" s="386"/>
      <c r="S408" s="385"/>
      <c r="T408" s="204"/>
      <c r="U408" s="204"/>
      <c r="V408" s="204"/>
      <c r="W408" s="386"/>
      <c r="X408" s="385"/>
      <c r="Y408" s="204"/>
      <c r="Z408" s="204"/>
      <c r="AA408" s="204"/>
      <c r="AB408" s="386"/>
    </row>
    <row r="409" spans="1:28" ht="16.149999999999999" customHeight="1" x14ac:dyDescent="0.2">
      <c r="A409" s="390"/>
      <c r="B409" s="162" t="s">
        <v>1011</v>
      </c>
      <c r="C409" s="383"/>
      <c r="D409" s="380"/>
      <c r="E409" s="203"/>
      <c r="F409" s="203"/>
      <c r="G409" s="203"/>
      <c r="H409" s="383"/>
      <c r="I409" s="380"/>
      <c r="J409" s="203"/>
      <c r="K409" s="203"/>
      <c r="L409" s="203"/>
      <c r="M409" s="205"/>
      <c r="N409" s="207"/>
      <c r="O409" s="204"/>
      <c r="P409" s="204"/>
      <c r="Q409" s="204"/>
      <c r="R409" s="386"/>
      <c r="S409" s="385"/>
      <c r="T409" s="204"/>
      <c r="U409" s="204"/>
      <c r="V409" s="204"/>
      <c r="W409" s="386"/>
      <c r="X409" s="385"/>
      <c r="Y409" s="204"/>
      <c r="Z409" s="204"/>
      <c r="AA409" s="204"/>
      <c r="AB409" s="386"/>
    </row>
    <row r="410" spans="1:28" ht="16.149999999999999" customHeight="1" x14ac:dyDescent="0.2">
      <c r="A410" s="390"/>
      <c r="B410" s="162" t="s">
        <v>1013</v>
      </c>
      <c r="C410" s="383"/>
      <c r="D410" s="380"/>
      <c r="E410" s="203"/>
      <c r="F410" s="203"/>
      <c r="G410" s="203"/>
      <c r="H410" s="383"/>
      <c r="I410" s="380"/>
      <c r="J410" s="203"/>
      <c r="K410" s="203"/>
      <c r="L410" s="203"/>
      <c r="M410" s="205"/>
      <c r="N410" s="207"/>
      <c r="O410" s="204"/>
      <c r="P410" s="204"/>
      <c r="Q410" s="204"/>
      <c r="R410" s="386"/>
      <c r="S410" s="385"/>
      <c r="T410" s="204"/>
      <c r="U410" s="204"/>
      <c r="V410" s="204"/>
      <c r="W410" s="386"/>
      <c r="X410" s="385"/>
      <c r="Y410" s="204"/>
      <c r="Z410" s="204"/>
      <c r="AA410" s="204"/>
      <c r="AB410" s="386"/>
    </row>
    <row r="411" spans="1:28" ht="16.149999999999999" customHeight="1" x14ac:dyDescent="0.2">
      <c r="A411" s="390"/>
      <c r="B411" s="162" t="s">
        <v>1012</v>
      </c>
      <c r="C411" s="383"/>
      <c r="D411" s="380"/>
      <c r="E411" s="203"/>
      <c r="F411" s="203"/>
      <c r="G411" s="203"/>
      <c r="H411" s="383"/>
      <c r="I411" s="380"/>
      <c r="J411" s="203"/>
      <c r="K411" s="203"/>
      <c r="L411" s="203"/>
      <c r="M411" s="205"/>
      <c r="N411" s="207"/>
      <c r="O411" s="204"/>
      <c r="P411" s="204"/>
      <c r="Q411" s="204"/>
      <c r="R411" s="386"/>
      <c r="S411" s="385"/>
      <c r="T411" s="204"/>
      <c r="U411" s="204"/>
      <c r="V411" s="204"/>
      <c r="W411" s="386"/>
      <c r="X411" s="385"/>
      <c r="Y411" s="204"/>
      <c r="Z411" s="204"/>
      <c r="AA411" s="204"/>
      <c r="AB411" s="386"/>
    </row>
    <row r="412" spans="1:28" ht="16.149999999999999" customHeight="1" x14ac:dyDescent="0.2">
      <c r="A412" s="390"/>
      <c r="B412" s="162" t="s">
        <v>1014</v>
      </c>
      <c r="C412" s="383"/>
      <c r="D412" s="380"/>
      <c r="E412" s="203"/>
      <c r="F412" s="203"/>
      <c r="G412" s="203"/>
      <c r="H412" s="383"/>
      <c r="I412" s="380"/>
      <c r="J412" s="203"/>
      <c r="K412" s="203"/>
      <c r="L412" s="203"/>
      <c r="M412" s="205"/>
      <c r="N412" s="207"/>
      <c r="O412" s="204"/>
      <c r="P412" s="204"/>
      <c r="Q412" s="204"/>
      <c r="R412" s="386"/>
      <c r="S412" s="385"/>
      <c r="T412" s="204"/>
      <c r="U412" s="204"/>
      <c r="V412" s="204"/>
      <c r="W412" s="386"/>
      <c r="X412" s="385"/>
      <c r="Y412" s="204"/>
      <c r="Z412" s="204"/>
      <c r="AA412" s="204"/>
      <c r="AB412" s="386"/>
    </row>
    <row r="413" spans="1:28" ht="16.149999999999999" customHeight="1" x14ac:dyDescent="0.2">
      <c r="A413" s="390"/>
      <c r="B413" s="162" t="s">
        <v>1015</v>
      </c>
      <c r="C413" s="383"/>
      <c r="D413" s="380"/>
      <c r="E413" s="203"/>
      <c r="F413" s="203"/>
      <c r="G413" s="203"/>
      <c r="H413" s="383"/>
      <c r="I413" s="380"/>
      <c r="J413" s="203"/>
      <c r="K413" s="203"/>
      <c r="L413" s="203"/>
      <c r="M413" s="205"/>
      <c r="N413" s="207"/>
      <c r="O413" s="204"/>
      <c r="P413" s="204"/>
      <c r="Q413" s="204"/>
      <c r="R413" s="386"/>
      <c r="S413" s="385"/>
      <c r="T413" s="204"/>
      <c r="U413" s="204"/>
      <c r="V413" s="204"/>
      <c r="W413" s="386"/>
      <c r="X413" s="385"/>
      <c r="Y413" s="204"/>
      <c r="Z413" s="204"/>
      <c r="AA413" s="204"/>
      <c r="AB413" s="386"/>
    </row>
    <row r="414" spans="1:28" ht="16.149999999999999" customHeight="1" x14ac:dyDescent="0.2">
      <c r="A414" s="390"/>
      <c r="B414" s="162" t="s">
        <v>1016</v>
      </c>
      <c r="C414" s="383"/>
      <c r="D414" s="380"/>
      <c r="E414" s="203"/>
      <c r="F414" s="203"/>
      <c r="G414" s="203"/>
      <c r="H414" s="383"/>
      <c r="I414" s="380"/>
      <c r="J414" s="203"/>
      <c r="K414" s="203"/>
      <c r="L414" s="203"/>
      <c r="M414" s="205"/>
      <c r="N414" s="207"/>
      <c r="O414" s="204"/>
      <c r="P414" s="204"/>
      <c r="Q414" s="204"/>
      <c r="R414" s="386"/>
      <c r="S414" s="385"/>
      <c r="T414" s="204"/>
      <c r="U414" s="204"/>
      <c r="V414" s="204"/>
      <c r="W414" s="386"/>
      <c r="X414" s="385"/>
      <c r="Y414" s="204"/>
      <c r="Z414" s="204"/>
      <c r="AA414" s="204"/>
      <c r="AB414" s="386"/>
    </row>
    <row r="415" spans="1:28" ht="16.149999999999999" customHeight="1" x14ac:dyDescent="0.2">
      <c r="A415" s="390"/>
      <c r="B415" s="162" t="s">
        <v>1017</v>
      </c>
      <c r="C415" s="383"/>
      <c r="D415" s="380"/>
      <c r="E415" s="203"/>
      <c r="F415" s="203"/>
      <c r="G415" s="203"/>
      <c r="H415" s="383"/>
      <c r="I415" s="380"/>
      <c r="J415" s="203"/>
      <c r="K415" s="203"/>
      <c r="L415" s="203"/>
      <c r="M415" s="205"/>
      <c r="N415" s="207"/>
      <c r="O415" s="204"/>
      <c r="P415" s="204"/>
      <c r="Q415" s="204"/>
      <c r="R415" s="386"/>
      <c r="S415" s="385"/>
      <c r="T415" s="204"/>
      <c r="U415" s="204"/>
      <c r="V415" s="204"/>
      <c r="W415" s="386"/>
      <c r="X415" s="385"/>
      <c r="Y415" s="204"/>
      <c r="Z415" s="204"/>
      <c r="AA415" s="204"/>
      <c r="AB415" s="386"/>
    </row>
    <row r="416" spans="1:28" ht="16.149999999999999" customHeight="1" x14ac:dyDescent="0.2">
      <c r="A416" s="390"/>
      <c r="B416" s="162" t="s">
        <v>1023</v>
      </c>
      <c r="C416" s="383"/>
      <c r="D416" s="380"/>
      <c r="E416" s="203"/>
      <c r="F416" s="203"/>
      <c r="G416" s="203"/>
      <c r="H416" s="383"/>
      <c r="I416" s="380"/>
      <c r="J416" s="203"/>
      <c r="K416" s="203"/>
      <c r="L416" s="203"/>
      <c r="M416" s="205"/>
      <c r="N416" s="207"/>
      <c r="O416" s="204"/>
      <c r="P416" s="204"/>
      <c r="Q416" s="204"/>
      <c r="R416" s="386"/>
      <c r="S416" s="385"/>
      <c r="T416" s="204"/>
      <c r="U416" s="204"/>
      <c r="V416" s="204"/>
      <c r="W416" s="386"/>
      <c r="X416" s="385"/>
      <c r="Y416" s="204"/>
      <c r="Z416" s="204"/>
      <c r="AA416" s="204"/>
      <c r="AB416" s="386"/>
    </row>
    <row r="417" spans="1:28" ht="16.149999999999999" customHeight="1" x14ac:dyDescent="0.2">
      <c r="A417" s="390"/>
      <c r="B417" s="162" t="s">
        <v>1018</v>
      </c>
      <c r="C417" s="383"/>
      <c r="D417" s="380"/>
      <c r="E417" s="203"/>
      <c r="F417" s="203"/>
      <c r="G417" s="203"/>
      <c r="H417" s="383"/>
      <c r="I417" s="380"/>
      <c r="J417" s="203"/>
      <c r="K417" s="203"/>
      <c r="L417" s="203"/>
      <c r="M417" s="205"/>
      <c r="N417" s="207"/>
      <c r="O417" s="204"/>
      <c r="P417" s="204"/>
      <c r="Q417" s="204"/>
      <c r="R417" s="386"/>
      <c r="S417" s="385"/>
      <c r="T417" s="204"/>
      <c r="U417" s="204"/>
      <c r="V417" s="204"/>
      <c r="W417" s="386"/>
      <c r="X417" s="385"/>
      <c r="Y417" s="204"/>
      <c r="Z417" s="204"/>
      <c r="AA417" s="204"/>
      <c r="AB417" s="386"/>
    </row>
    <row r="418" spans="1:28" ht="16.149999999999999" customHeight="1" x14ac:dyDescent="0.2">
      <c r="A418" s="390"/>
      <c r="B418" s="162" t="s">
        <v>1019</v>
      </c>
      <c r="C418" s="383"/>
      <c r="D418" s="380"/>
      <c r="E418" s="203"/>
      <c r="F418" s="203"/>
      <c r="G418" s="203"/>
      <c r="H418" s="383"/>
      <c r="I418" s="380"/>
      <c r="J418" s="203"/>
      <c r="K418" s="203"/>
      <c r="L418" s="203"/>
      <c r="M418" s="205"/>
      <c r="N418" s="207"/>
      <c r="O418" s="204"/>
      <c r="P418" s="204"/>
      <c r="Q418" s="204"/>
      <c r="R418" s="386"/>
      <c r="S418" s="385"/>
      <c r="T418" s="204"/>
      <c r="U418" s="204"/>
      <c r="V418" s="204"/>
      <c r="W418" s="386"/>
      <c r="X418" s="385"/>
      <c r="Y418" s="204"/>
      <c r="Z418" s="204"/>
      <c r="AA418" s="204"/>
      <c r="AB418" s="386"/>
    </row>
    <row r="419" spans="1:28" ht="16.149999999999999" customHeight="1" x14ac:dyDescent="0.2">
      <c r="A419" s="390"/>
      <c r="B419" s="162" t="s">
        <v>1024</v>
      </c>
      <c r="C419" s="383"/>
      <c r="D419" s="380"/>
      <c r="E419" s="203"/>
      <c r="F419" s="203"/>
      <c r="G419" s="203"/>
      <c r="H419" s="383"/>
      <c r="I419" s="380"/>
      <c r="J419" s="203"/>
      <c r="K419" s="203"/>
      <c r="L419" s="203"/>
      <c r="M419" s="205"/>
      <c r="N419" s="207"/>
      <c r="O419" s="204"/>
      <c r="P419" s="204"/>
      <c r="Q419" s="204"/>
      <c r="R419" s="386"/>
      <c r="S419" s="385"/>
      <c r="T419" s="204"/>
      <c r="U419" s="204"/>
      <c r="V419" s="204"/>
      <c r="W419" s="386"/>
      <c r="X419" s="385"/>
      <c r="Y419" s="204"/>
      <c r="Z419" s="204"/>
      <c r="AA419" s="204"/>
      <c r="AB419" s="386"/>
    </row>
    <row r="420" spans="1:28" ht="16.149999999999999" customHeight="1" x14ac:dyDescent="0.2">
      <c r="A420" s="390"/>
      <c r="B420" s="162" t="s">
        <v>1020</v>
      </c>
      <c r="C420" s="383"/>
      <c r="D420" s="380"/>
      <c r="E420" s="203"/>
      <c r="F420" s="203"/>
      <c r="G420" s="203"/>
      <c r="H420" s="383"/>
      <c r="I420" s="380"/>
      <c r="J420" s="203"/>
      <c r="K420" s="203"/>
      <c r="L420" s="203"/>
      <c r="M420" s="205"/>
      <c r="N420" s="207"/>
      <c r="O420" s="204"/>
      <c r="P420" s="204"/>
      <c r="Q420" s="204"/>
      <c r="R420" s="386"/>
      <c r="S420" s="385"/>
      <c r="T420" s="204"/>
      <c r="U420" s="204"/>
      <c r="V420" s="204"/>
      <c r="W420" s="386"/>
      <c r="X420" s="385"/>
      <c r="Y420" s="204"/>
      <c r="Z420" s="204"/>
      <c r="AA420" s="204"/>
      <c r="AB420" s="386"/>
    </row>
    <row r="421" spans="1:28" ht="16.149999999999999" customHeight="1" x14ac:dyDescent="0.2">
      <c r="A421" s="390"/>
      <c r="B421" s="162" t="s">
        <v>1025</v>
      </c>
      <c r="C421" s="383"/>
      <c r="D421" s="380"/>
      <c r="E421" s="203"/>
      <c r="F421" s="203"/>
      <c r="G421" s="203"/>
      <c r="H421" s="383"/>
      <c r="I421" s="380"/>
      <c r="J421" s="203"/>
      <c r="K421" s="203"/>
      <c r="L421" s="203"/>
      <c r="M421" s="205"/>
      <c r="N421" s="207"/>
      <c r="O421" s="204"/>
      <c r="P421" s="204"/>
      <c r="Q421" s="204"/>
      <c r="R421" s="386"/>
      <c r="S421" s="385"/>
      <c r="T421" s="204"/>
      <c r="U421" s="204"/>
      <c r="V421" s="204"/>
      <c r="W421" s="386"/>
      <c r="X421" s="385"/>
      <c r="Y421" s="204"/>
      <c r="Z421" s="204"/>
      <c r="AA421" s="204"/>
      <c r="AB421" s="386"/>
    </row>
    <row r="422" spans="1:28" ht="16.149999999999999" customHeight="1" x14ac:dyDescent="0.2">
      <c r="A422" s="390"/>
      <c r="B422" s="162" t="s">
        <v>1021</v>
      </c>
      <c r="C422" s="383"/>
      <c r="D422" s="380"/>
      <c r="E422" s="203"/>
      <c r="F422" s="203"/>
      <c r="G422" s="203"/>
      <c r="H422" s="383"/>
      <c r="I422" s="380"/>
      <c r="J422" s="203"/>
      <c r="K422" s="203"/>
      <c r="L422" s="203"/>
      <c r="M422" s="205"/>
      <c r="N422" s="207"/>
      <c r="O422" s="204"/>
      <c r="P422" s="204"/>
      <c r="Q422" s="204"/>
      <c r="R422" s="386"/>
      <c r="S422" s="385"/>
      <c r="T422" s="204"/>
      <c r="U422" s="204"/>
      <c r="V422" s="204"/>
      <c r="W422" s="386"/>
      <c r="X422" s="385"/>
      <c r="Y422" s="204"/>
      <c r="Z422" s="204"/>
      <c r="AA422" s="204"/>
      <c r="AB422" s="386"/>
    </row>
    <row r="423" spans="1:28" ht="16.149999999999999" customHeight="1" x14ac:dyDescent="0.2">
      <c r="A423" s="390"/>
      <c r="B423" s="162" t="s">
        <v>1026</v>
      </c>
      <c r="C423" s="383"/>
      <c r="D423" s="380"/>
      <c r="E423" s="203"/>
      <c r="F423" s="203"/>
      <c r="G423" s="203"/>
      <c r="H423" s="383"/>
      <c r="I423" s="380"/>
      <c r="J423" s="203"/>
      <c r="K423" s="203"/>
      <c r="L423" s="203"/>
      <c r="M423" s="205"/>
      <c r="N423" s="207"/>
      <c r="O423" s="204"/>
      <c r="P423" s="204"/>
      <c r="Q423" s="204"/>
      <c r="R423" s="386"/>
      <c r="S423" s="385"/>
      <c r="T423" s="204"/>
      <c r="U423" s="204"/>
      <c r="V423" s="204"/>
      <c r="W423" s="386"/>
      <c r="X423" s="385"/>
      <c r="Y423" s="204"/>
      <c r="Z423" s="204"/>
      <c r="AA423" s="204"/>
      <c r="AB423" s="386"/>
    </row>
    <row r="424" spans="1:28" ht="16.149999999999999" customHeight="1" x14ac:dyDescent="0.2">
      <c r="A424" s="390"/>
      <c r="B424" s="162" t="s">
        <v>1027</v>
      </c>
      <c r="C424" s="383"/>
      <c r="D424" s="380"/>
      <c r="E424" s="203"/>
      <c r="F424" s="203"/>
      <c r="G424" s="203"/>
      <c r="H424" s="383"/>
      <c r="I424" s="380"/>
      <c r="J424" s="203"/>
      <c r="K424" s="203"/>
      <c r="L424" s="203"/>
      <c r="M424" s="205"/>
      <c r="N424" s="207"/>
      <c r="O424" s="204"/>
      <c r="P424" s="204"/>
      <c r="Q424" s="204"/>
      <c r="R424" s="386"/>
      <c r="S424" s="385"/>
      <c r="T424" s="204"/>
      <c r="U424" s="204"/>
      <c r="V424" s="204"/>
      <c r="W424" s="386"/>
      <c r="X424" s="385"/>
      <c r="Y424" s="204"/>
      <c r="Z424" s="204"/>
      <c r="AA424" s="204"/>
      <c r="AB424" s="386"/>
    </row>
    <row r="425" spans="1:28" ht="16.149999999999999" customHeight="1" x14ac:dyDescent="0.2">
      <c r="A425" s="390"/>
      <c r="B425" s="162" t="s">
        <v>1028</v>
      </c>
      <c r="C425" s="383"/>
      <c r="D425" s="380"/>
      <c r="E425" s="203"/>
      <c r="F425" s="203"/>
      <c r="G425" s="203"/>
      <c r="H425" s="383"/>
      <c r="I425" s="380"/>
      <c r="J425" s="203"/>
      <c r="K425" s="203"/>
      <c r="L425" s="203"/>
      <c r="M425" s="205"/>
      <c r="N425" s="207"/>
      <c r="O425" s="204"/>
      <c r="P425" s="204"/>
      <c r="Q425" s="204"/>
      <c r="R425" s="386"/>
      <c r="S425" s="385"/>
      <c r="T425" s="204"/>
      <c r="U425" s="204"/>
      <c r="V425" s="204"/>
      <c r="W425" s="386"/>
      <c r="X425" s="385"/>
      <c r="Y425" s="204"/>
      <c r="Z425" s="204"/>
      <c r="AA425" s="204"/>
      <c r="AB425" s="386"/>
    </row>
    <row r="426" spans="1:28" ht="16.149999999999999" customHeight="1" x14ac:dyDescent="0.2">
      <c r="A426" s="390"/>
      <c r="B426" s="162" t="s">
        <v>1022</v>
      </c>
      <c r="C426" s="383"/>
      <c r="D426" s="380"/>
      <c r="E426" s="203"/>
      <c r="F426" s="203"/>
      <c r="G426" s="203"/>
      <c r="H426" s="383"/>
      <c r="I426" s="380"/>
      <c r="J426" s="203"/>
      <c r="K426" s="203"/>
      <c r="L426" s="203"/>
      <c r="M426" s="205"/>
      <c r="N426" s="207"/>
      <c r="O426" s="204"/>
      <c r="P426" s="204"/>
      <c r="Q426" s="204"/>
      <c r="R426" s="386"/>
      <c r="S426" s="385"/>
      <c r="T426" s="204"/>
      <c r="U426" s="204"/>
      <c r="V426" s="204"/>
      <c r="W426" s="386"/>
      <c r="X426" s="385"/>
      <c r="Y426" s="204"/>
      <c r="Z426" s="204"/>
      <c r="AA426" s="204"/>
      <c r="AB426" s="386"/>
    </row>
    <row r="427" spans="1:28" ht="16.149999999999999" customHeight="1" x14ac:dyDescent="0.2">
      <c r="A427" s="390"/>
      <c r="B427" s="162" t="s">
        <v>1029</v>
      </c>
      <c r="C427" s="383"/>
      <c r="D427" s="380"/>
      <c r="E427" s="203"/>
      <c r="F427" s="203"/>
      <c r="G427" s="203"/>
      <c r="H427" s="383"/>
      <c r="I427" s="380"/>
      <c r="J427" s="203"/>
      <c r="K427" s="203"/>
      <c r="L427" s="203"/>
      <c r="M427" s="205"/>
      <c r="N427" s="207"/>
      <c r="O427" s="204"/>
      <c r="P427" s="204"/>
      <c r="Q427" s="204"/>
      <c r="R427" s="386"/>
      <c r="S427" s="385"/>
      <c r="T427" s="204"/>
      <c r="U427" s="204"/>
      <c r="V427" s="204"/>
      <c r="W427" s="386"/>
      <c r="X427" s="385"/>
      <c r="Y427" s="204"/>
      <c r="Z427" s="204"/>
      <c r="AA427" s="204"/>
      <c r="AB427" s="386"/>
    </row>
    <row r="428" spans="1:28" ht="16.149999999999999" customHeight="1" x14ac:dyDescent="0.2">
      <c r="A428" s="390"/>
      <c r="B428" s="162" t="s">
        <v>1030</v>
      </c>
      <c r="C428" s="383"/>
      <c r="D428" s="380"/>
      <c r="E428" s="203"/>
      <c r="F428" s="203"/>
      <c r="G428" s="203"/>
      <c r="H428" s="383"/>
      <c r="I428" s="380"/>
      <c r="J428" s="203"/>
      <c r="K428" s="203"/>
      <c r="L428" s="203"/>
      <c r="M428" s="205"/>
      <c r="N428" s="207"/>
      <c r="O428" s="204"/>
      <c r="P428" s="204"/>
      <c r="Q428" s="204"/>
      <c r="R428" s="386"/>
      <c r="S428" s="385"/>
      <c r="T428" s="204"/>
      <c r="U428" s="204"/>
      <c r="V428" s="204"/>
      <c r="W428" s="386"/>
      <c r="X428" s="385"/>
      <c r="Y428" s="204"/>
      <c r="Z428" s="204"/>
      <c r="AA428" s="204"/>
      <c r="AB428" s="386"/>
    </row>
    <row r="429" spans="1:28" ht="16.149999999999999" customHeight="1" x14ac:dyDescent="0.2">
      <c r="A429" s="390"/>
      <c r="B429" s="162" t="s">
        <v>1031</v>
      </c>
      <c r="C429" s="383"/>
      <c r="D429" s="380"/>
      <c r="E429" s="203"/>
      <c r="F429" s="203"/>
      <c r="G429" s="203"/>
      <c r="H429" s="383"/>
      <c r="I429" s="380"/>
      <c r="J429" s="203"/>
      <c r="K429" s="203"/>
      <c r="L429" s="203"/>
      <c r="M429" s="205"/>
      <c r="N429" s="207"/>
      <c r="O429" s="204"/>
      <c r="P429" s="204"/>
      <c r="Q429" s="204"/>
      <c r="R429" s="386"/>
      <c r="S429" s="385"/>
      <c r="T429" s="204"/>
      <c r="U429" s="204"/>
      <c r="V429" s="204"/>
      <c r="W429" s="386"/>
      <c r="X429" s="385"/>
      <c r="Y429" s="204"/>
      <c r="Z429" s="204"/>
      <c r="AA429" s="204"/>
      <c r="AB429" s="386"/>
    </row>
    <row r="430" spans="1:28" ht="16.149999999999999" customHeight="1" x14ac:dyDescent="0.2">
      <c r="A430" s="390"/>
      <c r="B430" s="162" t="s">
        <v>1032</v>
      </c>
      <c r="C430" s="383"/>
      <c r="D430" s="380"/>
      <c r="E430" s="203"/>
      <c r="F430" s="203"/>
      <c r="G430" s="203"/>
      <c r="H430" s="383"/>
      <c r="I430" s="380"/>
      <c r="J430" s="203"/>
      <c r="K430" s="203"/>
      <c r="L430" s="203"/>
      <c r="M430" s="205"/>
      <c r="N430" s="207"/>
      <c r="O430" s="204"/>
      <c r="P430" s="204"/>
      <c r="Q430" s="204"/>
      <c r="R430" s="386"/>
      <c r="S430" s="385"/>
      <c r="T430" s="204"/>
      <c r="U430" s="204"/>
      <c r="V430" s="204"/>
      <c r="W430" s="386"/>
      <c r="X430" s="385"/>
      <c r="Y430" s="204"/>
      <c r="Z430" s="204"/>
      <c r="AA430" s="204"/>
      <c r="AB430" s="386"/>
    </row>
    <row r="431" spans="1:28" ht="16.149999999999999" customHeight="1" x14ac:dyDescent="0.2">
      <c r="A431" s="390"/>
      <c r="B431" s="162" t="s">
        <v>1033</v>
      </c>
      <c r="C431" s="383"/>
      <c r="D431" s="380"/>
      <c r="E431" s="203"/>
      <c r="F431" s="203"/>
      <c r="G431" s="203"/>
      <c r="H431" s="383"/>
      <c r="I431" s="380"/>
      <c r="J431" s="203"/>
      <c r="K431" s="203"/>
      <c r="L431" s="203"/>
      <c r="M431" s="205"/>
      <c r="N431" s="207"/>
      <c r="O431" s="204"/>
      <c r="P431" s="204"/>
      <c r="Q431" s="204"/>
      <c r="R431" s="386"/>
      <c r="S431" s="385"/>
      <c r="T431" s="204"/>
      <c r="U431" s="204"/>
      <c r="V431" s="204"/>
      <c r="W431" s="386"/>
      <c r="X431" s="385"/>
      <c r="Y431" s="204"/>
      <c r="Z431" s="204"/>
      <c r="AA431" s="204"/>
      <c r="AB431" s="386"/>
    </row>
    <row r="432" spans="1:28" ht="16.149999999999999" customHeight="1" x14ac:dyDescent="0.2">
      <c r="A432" s="390"/>
      <c r="B432" s="162" t="s">
        <v>1034</v>
      </c>
      <c r="C432" s="383"/>
      <c r="D432" s="380"/>
      <c r="E432" s="203"/>
      <c r="F432" s="203"/>
      <c r="G432" s="203"/>
      <c r="H432" s="383"/>
      <c r="I432" s="380"/>
      <c r="J432" s="203"/>
      <c r="K432" s="203"/>
      <c r="L432" s="203"/>
      <c r="M432" s="205"/>
      <c r="N432" s="207"/>
      <c r="O432" s="204"/>
      <c r="P432" s="204"/>
      <c r="Q432" s="204"/>
      <c r="R432" s="386"/>
      <c r="S432" s="385"/>
      <c r="T432" s="204"/>
      <c r="U432" s="204"/>
      <c r="V432" s="204"/>
      <c r="W432" s="386"/>
      <c r="X432" s="385"/>
      <c r="Y432" s="204"/>
      <c r="Z432" s="204"/>
      <c r="AA432" s="204"/>
      <c r="AB432" s="386"/>
    </row>
    <row r="433" spans="1:28" ht="16.149999999999999" customHeight="1" x14ac:dyDescent="0.2">
      <c r="A433" s="390"/>
      <c r="B433" s="162" t="s">
        <v>1035</v>
      </c>
      <c r="C433" s="383"/>
      <c r="D433" s="380"/>
      <c r="E433" s="203"/>
      <c r="F433" s="203"/>
      <c r="G433" s="203"/>
      <c r="H433" s="383"/>
      <c r="I433" s="380"/>
      <c r="J433" s="203"/>
      <c r="K433" s="203"/>
      <c r="L433" s="203"/>
      <c r="M433" s="205"/>
      <c r="N433" s="207"/>
      <c r="O433" s="204"/>
      <c r="P433" s="204"/>
      <c r="Q433" s="204"/>
      <c r="R433" s="386"/>
      <c r="S433" s="385"/>
      <c r="T433" s="204"/>
      <c r="U433" s="204"/>
      <c r="V433" s="204"/>
      <c r="W433" s="386"/>
      <c r="X433" s="385"/>
      <c r="Y433" s="204"/>
      <c r="Z433" s="204"/>
      <c r="AA433" s="204"/>
      <c r="AB433" s="386"/>
    </row>
    <row r="434" spans="1:28" ht="16.149999999999999" customHeight="1" x14ac:dyDescent="0.2">
      <c r="A434" s="390"/>
      <c r="B434" s="162" t="s">
        <v>892</v>
      </c>
      <c r="C434" s="383"/>
      <c r="D434" s="380"/>
      <c r="E434" s="203"/>
      <c r="F434" s="203"/>
      <c r="G434" s="203"/>
      <c r="H434" s="383"/>
      <c r="I434" s="380"/>
      <c r="J434" s="203"/>
      <c r="K434" s="203"/>
      <c r="L434" s="203"/>
      <c r="M434" s="205"/>
      <c r="N434" s="207"/>
      <c r="O434" s="204"/>
      <c r="P434" s="204"/>
      <c r="Q434" s="204"/>
      <c r="R434" s="386"/>
      <c r="S434" s="385"/>
      <c r="T434" s="204"/>
      <c r="U434" s="204"/>
      <c r="V434" s="204"/>
      <c r="W434" s="386"/>
      <c r="X434" s="385"/>
      <c r="Y434" s="204"/>
      <c r="Z434" s="204"/>
      <c r="AA434" s="204"/>
      <c r="AB434" s="386"/>
    </row>
    <row r="435" spans="1:28" ht="16.149999999999999" customHeight="1" x14ac:dyDescent="0.2">
      <c r="A435" s="390"/>
      <c r="B435" s="162" t="s">
        <v>895</v>
      </c>
      <c r="C435" s="383"/>
      <c r="D435" s="380"/>
      <c r="E435" s="203"/>
      <c r="F435" s="203"/>
      <c r="G435" s="203"/>
      <c r="H435" s="383"/>
      <c r="I435" s="380"/>
      <c r="J435" s="203"/>
      <c r="K435" s="203"/>
      <c r="L435" s="203"/>
      <c r="M435" s="205"/>
      <c r="N435" s="207"/>
      <c r="O435" s="204"/>
      <c r="P435" s="204"/>
      <c r="Q435" s="204"/>
      <c r="R435" s="386"/>
      <c r="S435" s="385"/>
      <c r="T435" s="204"/>
      <c r="U435" s="204"/>
      <c r="V435" s="204"/>
      <c r="W435" s="386"/>
      <c r="X435" s="385"/>
      <c r="Y435" s="204"/>
      <c r="Z435" s="204"/>
      <c r="AA435" s="204"/>
      <c r="AB435" s="386"/>
    </row>
    <row r="436" spans="1:28" ht="16.149999999999999" customHeight="1" x14ac:dyDescent="0.2">
      <c r="A436" s="390"/>
      <c r="B436" s="162" t="s">
        <v>1036</v>
      </c>
      <c r="C436" s="383"/>
      <c r="D436" s="380"/>
      <c r="E436" s="203"/>
      <c r="F436" s="203"/>
      <c r="G436" s="203"/>
      <c r="H436" s="383"/>
      <c r="I436" s="380"/>
      <c r="J436" s="203"/>
      <c r="K436" s="203"/>
      <c r="L436" s="203"/>
      <c r="M436" s="205"/>
      <c r="N436" s="207"/>
      <c r="O436" s="204"/>
      <c r="P436" s="204"/>
      <c r="Q436" s="204"/>
      <c r="R436" s="386"/>
      <c r="S436" s="385"/>
      <c r="T436" s="204"/>
      <c r="U436" s="204"/>
      <c r="V436" s="204"/>
      <c r="W436" s="386"/>
      <c r="X436" s="385"/>
      <c r="Y436" s="204"/>
      <c r="Z436" s="204"/>
      <c r="AA436" s="204"/>
      <c r="AB436" s="386"/>
    </row>
    <row r="437" spans="1:28" ht="16.149999999999999" customHeight="1" x14ac:dyDescent="0.2">
      <c r="A437" s="390"/>
      <c r="B437" s="162" t="s">
        <v>1037</v>
      </c>
      <c r="C437" s="383"/>
      <c r="D437" s="380"/>
      <c r="E437" s="203"/>
      <c r="F437" s="203"/>
      <c r="G437" s="203"/>
      <c r="H437" s="383"/>
      <c r="I437" s="380"/>
      <c r="J437" s="203"/>
      <c r="K437" s="203"/>
      <c r="L437" s="203"/>
      <c r="M437" s="205"/>
      <c r="N437" s="207"/>
      <c r="O437" s="204"/>
      <c r="P437" s="204"/>
      <c r="Q437" s="204"/>
      <c r="R437" s="386"/>
      <c r="S437" s="385"/>
      <c r="T437" s="204"/>
      <c r="U437" s="204"/>
      <c r="V437" s="204"/>
      <c r="W437" s="386"/>
      <c r="X437" s="385"/>
      <c r="Y437" s="204"/>
      <c r="Z437" s="204"/>
      <c r="AA437" s="204"/>
      <c r="AB437" s="386"/>
    </row>
    <row r="438" spans="1:28" ht="16.149999999999999" customHeight="1" x14ac:dyDescent="0.2">
      <c r="A438" s="390"/>
      <c r="B438" s="162" t="s">
        <v>1038</v>
      </c>
      <c r="C438" s="383"/>
      <c r="D438" s="380"/>
      <c r="E438" s="203"/>
      <c r="F438" s="203"/>
      <c r="G438" s="203"/>
      <c r="H438" s="383"/>
      <c r="I438" s="380"/>
      <c r="J438" s="203"/>
      <c r="K438" s="203"/>
      <c r="L438" s="203"/>
      <c r="M438" s="205"/>
      <c r="N438" s="207"/>
      <c r="O438" s="204"/>
      <c r="P438" s="204"/>
      <c r="Q438" s="204"/>
      <c r="R438" s="386"/>
      <c r="S438" s="385"/>
      <c r="T438" s="204"/>
      <c r="U438" s="204"/>
      <c r="V438" s="204"/>
      <c r="W438" s="386"/>
      <c r="X438" s="385"/>
      <c r="Y438" s="204"/>
      <c r="Z438" s="204"/>
      <c r="AA438" s="204"/>
      <c r="AB438" s="386"/>
    </row>
    <row r="439" spans="1:28" ht="16.149999999999999" customHeight="1" x14ac:dyDescent="0.2">
      <c r="A439" s="390"/>
      <c r="B439" s="162" t="s">
        <v>1039</v>
      </c>
      <c r="C439" s="383"/>
      <c r="D439" s="380"/>
      <c r="E439" s="203"/>
      <c r="F439" s="203"/>
      <c r="G439" s="203"/>
      <c r="H439" s="383"/>
      <c r="I439" s="380"/>
      <c r="J439" s="203"/>
      <c r="K439" s="203"/>
      <c r="L439" s="203"/>
      <c r="M439" s="205"/>
      <c r="N439" s="207"/>
      <c r="O439" s="204"/>
      <c r="P439" s="204"/>
      <c r="Q439" s="204"/>
      <c r="R439" s="386"/>
      <c r="S439" s="385"/>
      <c r="T439" s="204"/>
      <c r="U439" s="204"/>
      <c r="V439" s="204"/>
      <c r="W439" s="386"/>
      <c r="X439" s="385"/>
      <c r="Y439" s="204"/>
      <c r="Z439" s="204"/>
      <c r="AA439" s="204"/>
      <c r="AB439" s="386"/>
    </row>
    <row r="440" spans="1:28" ht="16.149999999999999" customHeight="1" x14ac:dyDescent="0.2">
      <c r="A440" s="390"/>
      <c r="B440" s="162" t="s">
        <v>1040</v>
      </c>
      <c r="C440" s="383"/>
      <c r="D440" s="380"/>
      <c r="E440" s="203"/>
      <c r="F440" s="203"/>
      <c r="G440" s="203"/>
      <c r="H440" s="383"/>
      <c r="I440" s="380"/>
      <c r="J440" s="203"/>
      <c r="K440" s="203"/>
      <c r="L440" s="203"/>
      <c r="M440" s="205"/>
      <c r="N440" s="207"/>
      <c r="O440" s="204"/>
      <c r="P440" s="204"/>
      <c r="Q440" s="204"/>
      <c r="R440" s="386"/>
      <c r="S440" s="385"/>
      <c r="T440" s="204"/>
      <c r="U440" s="204"/>
      <c r="V440" s="204"/>
      <c r="W440" s="386"/>
      <c r="X440" s="385"/>
      <c r="Y440" s="204"/>
      <c r="Z440" s="204"/>
      <c r="AA440" s="204"/>
      <c r="AB440" s="386"/>
    </row>
    <row r="441" spans="1:28" ht="16.149999999999999" customHeight="1" x14ac:dyDescent="0.2">
      <c r="A441" s="390"/>
      <c r="B441" s="162" t="s">
        <v>1041</v>
      </c>
      <c r="C441" s="383"/>
      <c r="D441" s="380"/>
      <c r="E441" s="203"/>
      <c r="F441" s="203"/>
      <c r="G441" s="203"/>
      <c r="H441" s="383"/>
      <c r="I441" s="380"/>
      <c r="J441" s="203"/>
      <c r="K441" s="203"/>
      <c r="L441" s="203"/>
      <c r="M441" s="205"/>
      <c r="N441" s="207"/>
      <c r="O441" s="204"/>
      <c r="P441" s="204"/>
      <c r="Q441" s="204"/>
      <c r="R441" s="386"/>
      <c r="S441" s="385"/>
      <c r="T441" s="204"/>
      <c r="U441" s="204"/>
      <c r="V441" s="204"/>
      <c r="W441" s="386"/>
      <c r="X441" s="385"/>
      <c r="Y441" s="204"/>
      <c r="Z441" s="204"/>
      <c r="AA441" s="204"/>
      <c r="AB441" s="386"/>
    </row>
    <row r="442" spans="1:28" ht="16.149999999999999" customHeight="1" x14ac:dyDescent="0.2">
      <c r="A442" s="390"/>
      <c r="B442" s="162" t="s">
        <v>1042</v>
      </c>
      <c r="C442" s="383"/>
      <c r="D442" s="380"/>
      <c r="E442" s="203"/>
      <c r="F442" s="203"/>
      <c r="G442" s="203"/>
      <c r="H442" s="383"/>
      <c r="I442" s="380"/>
      <c r="J442" s="203"/>
      <c r="K442" s="203"/>
      <c r="L442" s="203"/>
      <c r="M442" s="205"/>
      <c r="N442" s="207"/>
      <c r="O442" s="204"/>
      <c r="P442" s="204"/>
      <c r="Q442" s="204"/>
      <c r="R442" s="386"/>
      <c r="S442" s="385"/>
      <c r="T442" s="204"/>
      <c r="U442" s="204"/>
      <c r="V442" s="204"/>
      <c r="W442" s="386"/>
      <c r="X442" s="385"/>
      <c r="Y442" s="204"/>
      <c r="Z442" s="204"/>
      <c r="AA442" s="204"/>
      <c r="AB442" s="386"/>
    </row>
    <row r="443" spans="1:28" ht="16.149999999999999" customHeight="1" x14ac:dyDescent="0.2">
      <c r="A443" s="390"/>
      <c r="B443" s="162" t="s">
        <v>1043</v>
      </c>
      <c r="C443" s="383"/>
      <c r="D443" s="380"/>
      <c r="E443" s="203"/>
      <c r="F443" s="203"/>
      <c r="G443" s="203"/>
      <c r="H443" s="383"/>
      <c r="I443" s="380"/>
      <c r="J443" s="203"/>
      <c r="K443" s="203"/>
      <c r="L443" s="203"/>
      <c r="M443" s="205"/>
      <c r="N443" s="207"/>
      <c r="O443" s="204"/>
      <c r="P443" s="204"/>
      <c r="Q443" s="204"/>
      <c r="R443" s="386"/>
      <c r="S443" s="385"/>
      <c r="T443" s="204"/>
      <c r="U443" s="204"/>
      <c r="V443" s="204"/>
      <c r="W443" s="386"/>
      <c r="X443" s="385"/>
      <c r="Y443" s="204"/>
      <c r="Z443" s="204"/>
      <c r="AA443" s="204"/>
      <c r="AB443" s="386"/>
    </row>
    <row r="444" spans="1:28" ht="16.149999999999999" customHeight="1" x14ac:dyDescent="0.2">
      <c r="A444" s="390"/>
      <c r="B444" s="161" t="s">
        <v>421</v>
      </c>
      <c r="C444" s="383"/>
      <c r="D444" s="380"/>
      <c r="E444" s="203"/>
      <c r="F444" s="203"/>
      <c r="G444" s="203"/>
      <c r="H444" s="383"/>
      <c r="I444" s="380"/>
      <c r="J444" s="203"/>
      <c r="K444" s="203"/>
      <c r="L444" s="203"/>
      <c r="M444" s="205"/>
      <c r="N444" s="207"/>
      <c r="O444" s="204"/>
      <c r="P444" s="204"/>
      <c r="Q444" s="204"/>
      <c r="R444" s="386"/>
      <c r="S444" s="385"/>
      <c r="T444" s="204"/>
      <c r="U444" s="204"/>
      <c r="V444" s="204"/>
      <c r="W444" s="386"/>
      <c r="X444" s="385"/>
      <c r="Y444" s="204"/>
      <c r="Z444" s="204"/>
      <c r="AA444" s="204"/>
      <c r="AB444" s="386"/>
    </row>
    <row r="445" spans="1:28" ht="16.149999999999999" customHeight="1" x14ac:dyDescent="0.2">
      <c r="A445" s="390"/>
      <c r="B445" s="162" t="s">
        <v>1044</v>
      </c>
      <c r="C445" s="383"/>
      <c r="D445" s="380"/>
      <c r="E445" s="203"/>
      <c r="F445" s="203"/>
      <c r="G445" s="203"/>
      <c r="H445" s="383"/>
      <c r="I445" s="380"/>
      <c r="J445" s="203"/>
      <c r="K445" s="203"/>
      <c r="L445" s="203"/>
      <c r="M445" s="205"/>
      <c r="N445" s="207"/>
      <c r="O445" s="204"/>
      <c r="P445" s="204"/>
      <c r="Q445" s="204"/>
      <c r="R445" s="386"/>
      <c r="S445" s="385"/>
      <c r="T445" s="204"/>
      <c r="U445" s="204"/>
      <c r="V445" s="204"/>
      <c r="W445" s="386"/>
      <c r="X445" s="385"/>
      <c r="Y445" s="204"/>
      <c r="Z445" s="204"/>
      <c r="AA445" s="204"/>
      <c r="AB445" s="386"/>
    </row>
    <row r="446" spans="1:28" ht="16.149999999999999" customHeight="1" x14ac:dyDescent="0.2">
      <c r="A446" s="390"/>
      <c r="B446" s="162" t="s">
        <v>1045</v>
      </c>
      <c r="C446" s="383"/>
      <c r="D446" s="380"/>
      <c r="E446" s="203"/>
      <c r="F446" s="203"/>
      <c r="G446" s="203"/>
      <c r="H446" s="383"/>
      <c r="I446" s="380"/>
      <c r="J446" s="203"/>
      <c r="K446" s="203"/>
      <c r="L446" s="203"/>
      <c r="M446" s="205"/>
      <c r="N446" s="207"/>
      <c r="O446" s="204"/>
      <c r="P446" s="204"/>
      <c r="Q446" s="204"/>
      <c r="R446" s="386"/>
      <c r="S446" s="385"/>
      <c r="T446" s="204"/>
      <c r="U446" s="204"/>
      <c r="V446" s="204"/>
      <c r="W446" s="386"/>
      <c r="X446" s="385"/>
      <c r="Y446" s="204"/>
      <c r="Z446" s="204"/>
      <c r="AA446" s="204"/>
      <c r="AB446" s="386"/>
    </row>
    <row r="447" spans="1:28" ht="16.149999999999999" customHeight="1" x14ac:dyDescent="0.2">
      <c r="A447" s="390"/>
      <c r="B447" s="162" t="s">
        <v>1046</v>
      </c>
      <c r="C447" s="383"/>
      <c r="D447" s="380"/>
      <c r="E447" s="203"/>
      <c r="F447" s="203"/>
      <c r="G447" s="203"/>
      <c r="H447" s="383"/>
      <c r="I447" s="380"/>
      <c r="J447" s="203"/>
      <c r="K447" s="203"/>
      <c r="L447" s="203"/>
      <c r="M447" s="205"/>
      <c r="N447" s="207"/>
      <c r="O447" s="204"/>
      <c r="P447" s="204"/>
      <c r="Q447" s="204"/>
      <c r="R447" s="386"/>
      <c r="S447" s="385"/>
      <c r="T447" s="204"/>
      <c r="U447" s="204"/>
      <c r="V447" s="204"/>
      <c r="W447" s="386"/>
      <c r="X447" s="385"/>
      <c r="Y447" s="204"/>
      <c r="Z447" s="204"/>
      <c r="AA447" s="204"/>
      <c r="AB447" s="386"/>
    </row>
    <row r="448" spans="1:28" ht="16.149999999999999" customHeight="1" x14ac:dyDescent="0.2">
      <c r="A448" s="390"/>
      <c r="B448" s="162" t="s">
        <v>1047</v>
      </c>
      <c r="C448" s="383"/>
      <c r="D448" s="380"/>
      <c r="E448" s="203"/>
      <c r="F448" s="203"/>
      <c r="G448" s="203"/>
      <c r="H448" s="383"/>
      <c r="I448" s="380"/>
      <c r="J448" s="203"/>
      <c r="K448" s="203"/>
      <c r="L448" s="203"/>
      <c r="M448" s="205"/>
      <c r="N448" s="207"/>
      <c r="O448" s="204"/>
      <c r="P448" s="204"/>
      <c r="Q448" s="204"/>
      <c r="R448" s="386"/>
      <c r="S448" s="385"/>
      <c r="T448" s="204"/>
      <c r="U448" s="204"/>
      <c r="V448" s="204"/>
      <c r="W448" s="386"/>
      <c r="X448" s="385"/>
      <c r="Y448" s="204"/>
      <c r="Z448" s="204"/>
      <c r="AA448" s="204"/>
      <c r="AB448" s="386"/>
    </row>
    <row r="449" spans="1:28" ht="16.149999999999999" customHeight="1" x14ac:dyDescent="0.2">
      <c r="A449" s="390"/>
      <c r="B449" s="162" t="s">
        <v>1048</v>
      </c>
      <c r="C449" s="383"/>
      <c r="D449" s="380"/>
      <c r="E449" s="203"/>
      <c r="F449" s="203"/>
      <c r="G449" s="203"/>
      <c r="H449" s="383"/>
      <c r="I449" s="380"/>
      <c r="J449" s="203"/>
      <c r="K449" s="203"/>
      <c r="L449" s="203"/>
      <c r="M449" s="205"/>
      <c r="N449" s="207"/>
      <c r="O449" s="204"/>
      <c r="P449" s="204"/>
      <c r="Q449" s="204"/>
      <c r="R449" s="386"/>
      <c r="S449" s="385"/>
      <c r="T449" s="204"/>
      <c r="U449" s="204"/>
      <c r="V449" s="204"/>
      <c r="W449" s="386"/>
      <c r="X449" s="385"/>
      <c r="Y449" s="204"/>
      <c r="Z449" s="204"/>
      <c r="AA449" s="204"/>
      <c r="AB449" s="386"/>
    </row>
    <row r="450" spans="1:28" ht="16.149999999999999" customHeight="1" x14ac:dyDescent="0.2">
      <c r="A450" s="390"/>
      <c r="B450" s="162" t="s">
        <v>1049</v>
      </c>
      <c r="C450" s="383"/>
      <c r="D450" s="380"/>
      <c r="E450" s="203"/>
      <c r="F450" s="203"/>
      <c r="G450" s="203"/>
      <c r="H450" s="383"/>
      <c r="I450" s="380"/>
      <c r="J450" s="203"/>
      <c r="K450" s="203"/>
      <c r="L450" s="203"/>
      <c r="M450" s="205"/>
      <c r="N450" s="207"/>
      <c r="O450" s="204"/>
      <c r="P450" s="204"/>
      <c r="Q450" s="204"/>
      <c r="R450" s="386"/>
      <c r="S450" s="385"/>
      <c r="T450" s="204"/>
      <c r="U450" s="204"/>
      <c r="V450" s="204"/>
      <c r="W450" s="386"/>
      <c r="X450" s="385"/>
      <c r="Y450" s="204"/>
      <c r="Z450" s="204"/>
      <c r="AA450" s="204"/>
      <c r="AB450" s="386"/>
    </row>
    <row r="451" spans="1:28" ht="16.149999999999999" customHeight="1" x14ac:dyDescent="0.2">
      <c r="A451" s="390"/>
      <c r="B451" s="162" t="s">
        <v>1050</v>
      </c>
      <c r="C451" s="383"/>
      <c r="D451" s="380"/>
      <c r="E451" s="203"/>
      <c r="F451" s="203"/>
      <c r="G451" s="203"/>
      <c r="H451" s="383"/>
      <c r="I451" s="380"/>
      <c r="J451" s="203"/>
      <c r="K451" s="203"/>
      <c r="L451" s="203"/>
      <c r="M451" s="205"/>
      <c r="N451" s="207"/>
      <c r="O451" s="204"/>
      <c r="P451" s="204"/>
      <c r="Q451" s="204"/>
      <c r="R451" s="386"/>
      <c r="S451" s="385"/>
      <c r="T451" s="204"/>
      <c r="U451" s="204"/>
      <c r="V451" s="204"/>
      <c r="W451" s="386"/>
      <c r="X451" s="385"/>
      <c r="Y451" s="204"/>
      <c r="Z451" s="204"/>
      <c r="AA451" s="204"/>
      <c r="AB451" s="386"/>
    </row>
    <row r="452" spans="1:28" ht="16.149999999999999" customHeight="1" x14ac:dyDescent="0.2">
      <c r="A452" s="390"/>
      <c r="B452" s="162" t="s">
        <v>1051</v>
      </c>
      <c r="C452" s="383"/>
      <c r="D452" s="380"/>
      <c r="E452" s="203"/>
      <c r="F452" s="203"/>
      <c r="G452" s="203"/>
      <c r="H452" s="383"/>
      <c r="I452" s="380"/>
      <c r="J452" s="203"/>
      <c r="K452" s="203"/>
      <c r="L452" s="203"/>
      <c r="M452" s="205"/>
      <c r="N452" s="207"/>
      <c r="O452" s="204"/>
      <c r="P452" s="204"/>
      <c r="Q452" s="204"/>
      <c r="R452" s="386"/>
      <c r="S452" s="385"/>
      <c r="T452" s="204"/>
      <c r="U452" s="204"/>
      <c r="V452" s="204"/>
      <c r="W452" s="386"/>
      <c r="X452" s="385"/>
      <c r="Y452" s="204"/>
      <c r="Z452" s="204"/>
      <c r="AA452" s="204"/>
      <c r="AB452" s="386"/>
    </row>
    <row r="453" spans="1:28" ht="16.149999999999999" customHeight="1" x14ac:dyDescent="0.2">
      <c r="A453" s="390"/>
      <c r="B453" s="162" t="s">
        <v>1052</v>
      </c>
      <c r="C453" s="383"/>
      <c r="D453" s="380"/>
      <c r="E453" s="203"/>
      <c r="F453" s="203"/>
      <c r="G453" s="203"/>
      <c r="H453" s="383"/>
      <c r="I453" s="380"/>
      <c r="J453" s="203"/>
      <c r="K453" s="203"/>
      <c r="L453" s="203"/>
      <c r="M453" s="205"/>
      <c r="N453" s="207"/>
      <c r="O453" s="204"/>
      <c r="P453" s="204"/>
      <c r="Q453" s="204"/>
      <c r="R453" s="386"/>
      <c r="S453" s="385"/>
      <c r="T453" s="204"/>
      <c r="U453" s="204"/>
      <c r="V453" s="204"/>
      <c r="W453" s="386"/>
      <c r="X453" s="385"/>
      <c r="Y453" s="204"/>
      <c r="Z453" s="204"/>
      <c r="AA453" s="204"/>
      <c r="AB453" s="386"/>
    </row>
    <row r="454" spans="1:28" ht="16.149999999999999" customHeight="1" x14ac:dyDescent="0.2">
      <c r="A454" s="390"/>
      <c r="B454" s="162" t="s">
        <v>1053</v>
      </c>
      <c r="C454" s="383"/>
      <c r="D454" s="380"/>
      <c r="E454" s="203"/>
      <c r="F454" s="203"/>
      <c r="G454" s="203"/>
      <c r="H454" s="383"/>
      <c r="I454" s="380"/>
      <c r="J454" s="203"/>
      <c r="K454" s="203"/>
      <c r="L454" s="203"/>
      <c r="M454" s="205"/>
      <c r="N454" s="207"/>
      <c r="O454" s="204"/>
      <c r="P454" s="204"/>
      <c r="Q454" s="204"/>
      <c r="R454" s="386"/>
      <c r="S454" s="385"/>
      <c r="T454" s="204"/>
      <c r="U454" s="204"/>
      <c r="V454" s="204"/>
      <c r="W454" s="386"/>
      <c r="X454" s="385"/>
      <c r="Y454" s="204"/>
      <c r="Z454" s="204"/>
      <c r="AA454" s="204"/>
      <c r="AB454" s="386"/>
    </row>
    <row r="455" spans="1:28" ht="16.149999999999999" customHeight="1" x14ac:dyDescent="0.2">
      <c r="A455" s="390"/>
      <c r="B455" s="162" t="s">
        <v>1054</v>
      </c>
      <c r="C455" s="383"/>
      <c r="D455" s="380"/>
      <c r="E455" s="203"/>
      <c r="F455" s="203"/>
      <c r="G455" s="203"/>
      <c r="H455" s="383"/>
      <c r="I455" s="380"/>
      <c r="J455" s="203"/>
      <c r="K455" s="203"/>
      <c r="L455" s="203"/>
      <c r="M455" s="205"/>
      <c r="N455" s="207"/>
      <c r="O455" s="204"/>
      <c r="P455" s="204"/>
      <c r="Q455" s="204"/>
      <c r="R455" s="386"/>
      <c r="S455" s="385"/>
      <c r="T455" s="204"/>
      <c r="U455" s="204"/>
      <c r="V455" s="204"/>
      <c r="W455" s="386"/>
      <c r="X455" s="385"/>
      <c r="Y455" s="204"/>
      <c r="Z455" s="204"/>
      <c r="AA455" s="204"/>
      <c r="AB455" s="386"/>
    </row>
    <row r="456" spans="1:28" ht="16.149999999999999" customHeight="1" x14ac:dyDescent="0.2">
      <c r="A456" s="390"/>
      <c r="B456" s="162" t="s">
        <v>1055</v>
      </c>
      <c r="C456" s="383"/>
      <c r="D456" s="380"/>
      <c r="E456" s="203"/>
      <c r="F456" s="203"/>
      <c r="G456" s="203"/>
      <c r="H456" s="383"/>
      <c r="I456" s="380"/>
      <c r="J456" s="203"/>
      <c r="K456" s="203"/>
      <c r="L456" s="203"/>
      <c r="M456" s="205"/>
      <c r="N456" s="207"/>
      <c r="O456" s="204"/>
      <c r="P456" s="204"/>
      <c r="Q456" s="204"/>
      <c r="R456" s="386"/>
      <c r="S456" s="385"/>
      <c r="T456" s="204"/>
      <c r="U456" s="204"/>
      <c r="V456" s="204"/>
      <c r="W456" s="386"/>
      <c r="X456" s="385"/>
      <c r="Y456" s="204"/>
      <c r="Z456" s="204"/>
      <c r="AA456" s="204"/>
      <c r="AB456" s="386"/>
    </row>
    <row r="457" spans="1:28" ht="16.149999999999999" customHeight="1" x14ac:dyDescent="0.2">
      <c r="A457" s="390"/>
      <c r="B457" s="162" t="s">
        <v>1068</v>
      </c>
      <c r="C457" s="383"/>
      <c r="D457" s="380"/>
      <c r="E457" s="203"/>
      <c r="F457" s="203"/>
      <c r="G457" s="203"/>
      <c r="H457" s="383"/>
      <c r="I457" s="380"/>
      <c r="J457" s="203"/>
      <c r="K457" s="203"/>
      <c r="L457" s="203"/>
      <c r="M457" s="205"/>
      <c r="N457" s="207"/>
      <c r="O457" s="204"/>
      <c r="P457" s="204"/>
      <c r="Q457" s="204"/>
      <c r="R457" s="386"/>
      <c r="S457" s="385"/>
      <c r="T457" s="204"/>
      <c r="U457" s="204"/>
      <c r="V457" s="204"/>
      <c r="W457" s="386"/>
      <c r="X457" s="385"/>
      <c r="Y457" s="204"/>
      <c r="Z457" s="204"/>
      <c r="AA457" s="204"/>
      <c r="AB457" s="386"/>
    </row>
    <row r="458" spans="1:28" ht="16.149999999999999" customHeight="1" x14ac:dyDescent="0.2">
      <c r="A458" s="390"/>
      <c r="B458" s="162" t="s">
        <v>1056</v>
      </c>
      <c r="C458" s="383"/>
      <c r="D458" s="380"/>
      <c r="E458" s="203"/>
      <c r="F458" s="203"/>
      <c r="G458" s="203"/>
      <c r="H458" s="383"/>
      <c r="I458" s="380"/>
      <c r="J458" s="203"/>
      <c r="K458" s="203"/>
      <c r="L458" s="203"/>
      <c r="M458" s="205"/>
      <c r="N458" s="207"/>
      <c r="O458" s="204"/>
      <c r="P458" s="204"/>
      <c r="Q458" s="204"/>
      <c r="R458" s="386"/>
      <c r="S458" s="385"/>
      <c r="T458" s="204"/>
      <c r="U458" s="204"/>
      <c r="V458" s="204"/>
      <c r="W458" s="386"/>
      <c r="X458" s="385"/>
      <c r="Y458" s="204"/>
      <c r="Z458" s="204"/>
      <c r="AA458" s="204"/>
      <c r="AB458" s="386"/>
    </row>
    <row r="459" spans="1:28" ht="16.149999999999999" customHeight="1" x14ac:dyDescent="0.2">
      <c r="A459" s="390"/>
      <c r="B459" s="162" t="s">
        <v>1057</v>
      </c>
      <c r="C459" s="383"/>
      <c r="D459" s="380"/>
      <c r="E459" s="203"/>
      <c r="F459" s="203"/>
      <c r="G459" s="203"/>
      <c r="H459" s="383"/>
      <c r="I459" s="380"/>
      <c r="J459" s="203"/>
      <c r="K459" s="203"/>
      <c r="L459" s="203"/>
      <c r="M459" s="205"/>
      <c r="N459" s="207"/>
      <c r="O459" s="204"/>
      <c r="P459" s="204"/>
      <c r="Q459" s="204"/>
      <c r="R459" s="386"/>
      <c r="S459" s="385"/>
      <c r="T459" s="204"/>
      <c r="U459" s="204"/>
      <c r="V459" s="204"/>
      <c r="W459" s="386"/>
      <c r="X459" s="385"/>
      <c r="Y459" s="204"/>
      <c r="Z459" s="204"/>
      <c r="AA459" s="204"/>
      <c r="AB459" s="386"/>
    </row>
    <row r="460" spans="1:28" ht="16.149999999999999" customHeight="1" x14ac:dyDescent="0.2">
      <c r="A460" s="390"/>
      <c r="B460" s="162" t="s">
        <v>1067</v>
      </c>
      <c r="C460" s="383"/>
      <c r="D460" s="380"/>
      <c r="E460" s="203"/>
      <c r="F460" s="203"/>
      <c r="G460" s="203"/>
      <c r="H460" s="383"/>
      <c r="I460" s="380"/>
      <c r="J460" s="203"/>
      <c r="K460" s="203"/>
      <c r="L460" s="203"/>
      <c r="M460" s="205"/>
      <c r="N460" s="207"/>
      <c r="O460" s="204"/>
      <c r="P460" s="204"/>
      <c r="Q460" s="204"/>
      <c r="R460" s="386"/>
      <c r="S460" s="385"/>
      <c r="T460" s="204"/>
      <c r="U460" s="204"/>
      <c r="V460" s="204"/>
      <c r="W460" s="386"/>
      <c r="X460" s="385"/>
      <c r="Y460" s="204"/>
      <c r="Z460" s="204"/>
      <c r="AA460" s="204"/>
      <c r="AB460" s="386"/>
    </row>
    <row r="461" spans="1:28" ht="16.149999999999999" customHeight="1" x14ac:dyDescent="0.2">
      <c r="A461" s="390"/>
      <c r="B461" s="162" t="s">
        <v>1066</v>
      </c>
      <c r="C461" s="383"/>
      <c r="D461" s="380"/>
      <c r="E461" s="203"/>
      <c r="F461" s="203"/>
      <c r="G461" s="203"/>
      <c r="H461" s="383"/>
      <c r="I461" s="380"/>
      <c r="J461" s="203"/>
      <c r="K461" s="203"/>
      <c r="L461" s="203"/>
      <c r="M461" s="205"/>
      <c r="N461" s="207"/>
      <c r="O461" s="204"/>
      <c r="P461" s="204"/>
      <c r="Q461" s="204"/>
      <c r="R461" s="386"/>
      <c r="S461" s="385"/>
      <c r="T461" s="204"/>
      <c r="U461" s="204"/>
      <c r="V461" s="204"/>
      <c r="W461" s="386"/>
      <c r="X461" s="385"/>
      <c r="Y461" s="204"/>
      <c r="Z461" s="204"/>
      <c r="AA461" s="204"/>
      <c r="AB461" s="386"/>
    </row>
    <row r="462" spans="1:28" ht="16.149999999999999" customHeight="1" x14ac:dyDescent="0.2">
      <c r="A462" s="390"/>
      <c r="B462" s="162" t="s">
        <v>1058</v>
      </c>
      <c r="C462" s="383"/>
      <c r="D462" s="380"/>
      <c r="E462" s="203"/>
      <c r="F462" s="203"/>
      <c r="G462" s="203"/>
      <c r="H462" s="383"/>
      <c r="I462" s="380"/>
      <c r="J462" s="203"/>
      <c r="K462" s="203"/>
      <c r="L462" s="203"/>
      <c r="M462" s="205"/>
      <c r="N462" s="207"/>
      <c r="O462" s="204"/>
      <c r="P462" s="204"/>
      <c r="Q462" s="204"/>
      <c r="R462" s="386"/>
      <c r="S462" s="385"/>
      <c r="T462" s="204"/>
      <c r="U462" s="204"/>
      <c r="V462" s="204"/>
      <c r="W462" s="386"/>
      <c r="X462" s="385"/>
      <c r="Y462" s="204"/>
      <c r="Z462" s="204"/>
      <c r="AA462" s="204"/>
      <c r="AB462" s="386"/>
    </row>
    <row r="463" spans="1:28" ht="16.149999999999999" customHeight="1" x14ac:dyDescent="0.2">
      <c r="A463" s="390"/>
      <c r="B463" s="162" t="s">
        <v>1059</v>
      </c>
      <c r="C463" s="383"/>
      <c r="D463" s="380"/>
      <c r="E463" s="203"/>
      <c r="F463" s="203"/>
      <c r="G463" s="203"/>
      <c r="H463" s="383"/>
      <c r="I463" s="380"/>
      <c r="J463" s="203"/>
      <c r="K463" s="203"/>
      <c r="L463" s="203"/>
      <c r="M463" s="205"/>
      <c r="N463" s="207"/>
      <c r="O463" s="204"/>
      <c r="P463" s="204"/>
      <c r="Q463" s="204"/>
      <c r="R463" s="386"/>
      <c r="S463" s="385"/>
      <c r="T463" s="204"/>
      <c r="U463" s="204"/>
      <c r="V463" s="204"/>
      <c r="W463" s="386"/>
      <c r="X463" s="385"/>
      <c r="Y463" s="204"/>
      <c r="Z463" s="204"/>
      <c r="AA463" s="204"/>
      <c r="AB463" s="386"/>
    </row>
    <row r="464" spans="1:28" ht="16.149999999999999" customHeight="1" x14ac:dyDescent="0.2">
      <c r="A464" s="390"/>
      <c r="B464" s="162" t="s">
        <v>1060</v>
      </c>
      <c r="C464" s="383"/>
      <c r="D464" s="380"/>
      <c r="E464" s="203"/>
      <c r="F464" s="203"/>
      <c r="G464" s="203"/>
      <c r="H464" s="383"/>
      <c r="I464" s="380"/>
      <c r="J464" s="203"/>
      <c r="K464" s="203"/>
      <c r="L464" s="203"/>
      <c r="M464" s="205"/>
      <c r="N464" s="207"/>
      <c r="O464" s="204"/>
      <c r="P464" s="204"/>
      <c r="Q464" s="204"/>
      <c r="R464" s="386"/>
      <c r="S464" s="385"/>
      <c r="T464" s="204"/>
      <c r="U464" s="204"/>
      <c r="V464" s="204"/>
      <c r="W464" s="386"/>
      <c r="X464" s="385"/>
      <c r="Y464" s="204"/>
      <c r="Z464" s="204"/>
      <c r="AA464" s="204"/>
      <c r="AB464" s="386"/>
    </row>
    <row r="465" spans="1:28" ht="16.149999999999999" customHeight="1" x14ac:dyDescent="0.2">
      <c r="A465" s="390"/>
      <c r="B465" s="162" t="s">
        <v>1061</v>
      </c>
      <c r="C465" s="383"/>
      <c r="D465" s="380"/>
      <c r="E465" s="203"/>
      <c r="F465" s="203"/>
      <c r="G465" s="203"/>
      <c r="H465" s="383"/>
      <c r="I465" s="380"/>
      <c r="J465" s="203"/>
      <c r="K465" s="203"/>
      <c r="L465" s="203"/>
      <c r="M465" s="205"/>
      <c r="N465" s="207"/>
      <c r="O465" s="204"/>
      <c r="P465" s="204"/>
      <c r="Q465" s="204"/>
      <c r="R465" s="386"/>
      <c r="S465" s="385"/>
      <c r="T465" s="204"/>
      <c r="U465" s="204"/>
      <c r="V465" s="204"/>
      <c r="W465" s="386"/>
      <c r="X465" s="385"/>
      <c r="Y465" s="204"/>
      <c r="Z465" s="204"/>
      <c r="AA465" s="204"/>
      <c r="AB465" s="386"/>
    </row>
    <row r="466" spans="1:28" ht="16.149999999999999" customHeight="1" x14ac:dyDescent="0.2">
      <c r="A466" s="390"/>
      <c r="B466" s="162" t="s">
        <v>1062</v>
      </c>
      <c r="C466" s="383"/>
      <c r="D466" s="380"/>
      <c r="E466" s="203"/>
      <c r="F466" s="203"/>
      <c r="G466" s="203"/>
      <c r="H466" s="383"/>
      <c r="I466" s="380"/>
      <c r="J466" s="203"/>
      <c r="K466" s="203"/>
      <c r="L466" s="203"/>
      <c r="M466" s="205"/>
      <c r="N466" s="207"/>
      <c r="O466" s="204"/>
      <c r="P466" s="204"/>
      <c r="Q466" s="204"/>
      <c r="R466" s="386"/>
      <c r="S466" s="385"/>
      <c r="T466" s="204"/>
      <c r="U466" s="204"/>
      <c r="V466" s="204"/>
      <c r="W466" s="386"/>
      <c r="X466" s="385"/>
      <c r="Y466" s="204"/>
      <c r="Z466" s="204"/>
      <c r="AA466" s="204"/>
      <c r="AB466" s="386"/>
    </row>
    <row r="467" spans="1:28" ht="16.149999999999999" customHeight="1" x14ac:dyDescent="0.2">
      <c r="A467" s="390"/>
      <c r="B467" s="162" t="s">
        <v>1063</v>
      </c>
      <c r="C467" s="383"/>
      <c r="D467" s="380"/>
      <c r="E467" s="203"/>
      <c r="F467" s="203"/>
      <c r="G467" s="203"/>
      <c r="H467" s="383"/>
      <c r="I467" s="380"/>
      <c r="J467" s="203"/>
      <c r="K467" s="203"/>
      <c r="L467" s="203"/>
      <c r="M467" s="205"/>
      <c r="N467" s="207"/>
      <c r="O467" s="204"/>
      <c r="P467" s="204"/>
      <c r="Q467" s="204"/>
      <c r="R467" s="386"/>
      <c r="S467" s="385"/>
      <c r="T467" s="204"/>
      <c r="U467" s="204"/>
      <c r="V467" s="204"/>
      <c r="W467" s="386"/>
      <c r="X467" s="385"/>
      <c r="Y467" s="204"/>
      <c r="Z467" s="204"/>
      <c r="AA467" s="204"/>
      <c r="AB467" s="386"/>
    </row>
    <row r="468" spans="1:28" ht="16.149999999999999" customHeight="1" x14ac:dyDescent="0.2">
      <c r="A468" s="390"/>
      <c r="B468" s="162" t="s">
        <v>1064</v>
      </c>
      <c r="C468" s="383"/>
      <c r="D468" s="380"/>
      <c r="E468" s="203"/>
      <c r="F468" s="203"/>
      <c r="G468" s="203"/>
      <c r="H468" s="383"/>
      <c r="I468" s="380"/>
      <c r="J468" s="203"/>
      <c r="K468" s="203"/>
      <c r="L468" s="203"/>
      <c r="M468" s="205"/>
      <c r="N468" s="207"/>
      <c r="O468" s="204"/>
      <c r="P468" s="204"/>
      <c r="Q468" s="204"/>
      <c r="R468" s="386"/>
      <c r="S468" s="385"/>
      <c r="T468" s="204"/>
      <c r="U468" s="204"/>
      <c r="V468" s="204"/>
      <c r="W468" s="386"/>
      <c r="X468" s="385"/>
      <c r="Y468" s="204"/>
      <c r="Z468" s="204"/>
      <c r="AA468" s="204"/>
      <c r="AB468" s="386"/>
    </row>
    <row r="469" spans="1:28" ht="16.149999999999999" customHeight="1" x14ac:dyDescent="0.2">
      <c r="A469" s="390"/>
      <c r="B469" s="162" t="s">
        <v>1065</v>
      </c>
      <c r="C469" s="383"/>
      <c r="D469" s="380"/>
      <c r="E469" s="203"/>
      <c r="F469" s="203"/>
      <c r="G469" s="203"/>
      <c r="H469" s="383"/>
      <c r="I469" s="380"/>
      <c r="J469" s="203"/>
      <c r="K469" s="203"/>
      <c r="L469" s="203"/>
      <c r="M469" s="205"/>
      <c r="N469" s="207"/>
      <c r="O469" s="204"/>
      <c r="P469" s="204"/>
      <c r="Q469" s="204"/>
      <c r="R469" s="386"/>
      <c r="S469" s="385"/>
      <c r="T469" s="204"/>
      <c r="U469" s="204"/>
      <c r="V469" s="204"/>
      <c r="W469" s="386"/>
      <c r="X469" s="385"/>
      <c r="Y469" s="204"/>
      <c r="Z469" s="204"/>
      <c r="AA469" s="204"/>
      <c r="AB469" s="386"/>
    </row>
    <row r="470" spans="1:28" ht="16.149999999999999" customHeight="1" x14ac:dyDescent="0.2">
      <c r="A470" s="390"/>
      <c r="B470" s="162" t="s">
        <v>644</v>
      </c>
      <c r="C470" s="383"/>
      <c r="D470" s="380"/>
      <c r="E470" s="203"/>
      <c r="F470" s="203"/>
      <c r="G470" s="203"/>
      <c r="H470" s="383"/>
      <c r="I470" s="380"/>
      <c r="J470" s="203"/>
      <c r="K470" s="203"/>
      <c r="L470" s="203"/>
      <c r="M470" s="205"/>
      <c r="N470" s="207"/>
      <c r="O470" s="204"/>
      <c r="P470" s="204"/>
      <c r="Q470" s="204"/>
      <c r="R470" s="386"/>
      <c r="S470" s="385"/>
      <c r="T470" s="204"/>
      <c r="U470" s="204"/>
      <c r="V470" s="204"/>
      <c r="W470" s="386"/>
      <c r="X470" s="385"/>
      <c r="Y470" s="204"/>
      <c r="Z470" s="204"/>
      <c r="AA470" s="204"/>
      <c r="AB470" s="386"/>
    </row>
    <row r="471" spans="1:28" ht="32.25" customHeight="1" x14ac:dyDescent="0.2">
      <c r="A471" s="393" t="s">
        <v>12</v>
      </c>
      <c r="B471" s="158" t="s">
        <v>155</v>
      </c>
      <c r="C471" s="382">
        <f>D471+E471+F471+G471</f>
        <v>0</v>
      </c>
      <c r="D471" s="379">
        <v>0</v>
      </c>
      <c r="E471" s="159">
        <v>0</v>
      </c>
      <c r="F471" s="159">
        <v>0</v>
      </c>
      <c r="G471" s="159">
        <v>0</v>
      </c>
      <c r="H471" s="382">
        <f>I471+J471+K471+L471</f>
        <v>0</v>
      </c>
      <c r="I471" s="379">
        <v>0</v>
      </c>
      <c r="J471" s="159">
        <v>0</v>
      </c>
      <c r="K471" s="159">
        <v>0</v>
      </c>
      <c r="L471" s="159">
        <v>0</v>
      </c>
      <c r="M471" s="382">
        <f>N471</f>
        <v>0</v>
      </c>
      <c r="N471" s="379">
        <f>1417-578-583-29-214-13</f>
        <v>0</v>
      </c>
      <c r="O471" s="160">
        <v>0</v>
      </c>
      <c r="P471" s="160">
        <v>0</v>
      </c>
      <c r="Q471" s="160">
        <v>0</v>
      </c>
      <c r="R471" s="382">
        <f>S471</f>
        <v>866</v>
      </c>
      <c r="S471" s="379">
        <f>1417+3469-4281-10+271</f>
        <v>866</v>
      </c>
      <c r="T471" s="159">
        <v>0</v>
      </c>
      <c r="U471" s="159">
        <v>0</v>
      </c>
      <c r="V471" s="159">
        <v>0</v>
      </c>
      <c r="W471" s="382">
        <f>X471</f>
        <v>187</v>
      </c>
      <c r="X471" s="379">
        <f>256-69</f>
        <v>187</v>
      </c>
      <c r="Y471" s="159">
        <v>0</v>
      </c>
      <c r="Z471" s="159">
        <v>0</v>
      </c>
      <c r="AA471" s="159">
        <v>0</v>
      </c>
      <c r="AB471" s="382">
        <f>C471+H471+M471+R471+W471</f>
        <v>1053</v>
      </c>
    </row>
    <row r="472" spans="1:28" ht="18" customHeight="1" x14ac:dyDescent="0.2">
      <c r="A472" s="394"/>
      <c r="B472" s="161" t="s">
        <v>382</v>
      </c>
      <c r="C472" s="383"/>
      <c r="D472" s="380"/>
      <c r="E472" s="159"/>
      <c r="F472" s="159"/>
      <c r="G472" s="159"/>
      <c r="H472" s="383"/>
      <c r="I472" s="380"/>
      <c r="J472" s="159"/>
      <c r="K472" s="159"/>
      <c r="L472" s="159"/>
      <c r="M472" s="383"/>
      <c r="N472" s="380"/>
      <c r="O472" s="160"/>
      <c r="P472" s="160"/>
      <c r="Q472" s="160"/>
      <c r="R472" s="383"/>
      <c r="S472" s="380"/>
      <c r="T472" s="159"/>
      <c r="U472" s="159"/>
      <c r="V472" s="159"/>
      <c r="W472" s="383"/>
      <c r="X472" s="380"/>
      <c r="Y472" s="159"/>
      <c r="Z472" s="159"/>
      <c r="AA472" s="159"/>
      <c r="AB472" s="383"/>
    </row>
    <row r="473" spans="1:28" ht="15.75" customHeight="1" x14ac:dyDescent="0.2">
      <c r="A473" s="394"/>
      <c r="B473" s="162" t="s">
        <v>1069</v>
      </c>
      <c r="C473" s="383"/>
      <c r="D473" s="380"/>
      <c r="E473" s="159"/>
      <c r="F473" s="159"/>
      <c r="G473" s="159"/>
      <c r="H473" s="383"/>
      <c r="I473" s="380"/>
      <c r="J473" s="159"/>
      <c r="K473" s="159"/>
      <c r="L473" s="159"/>
      <c r="M473" s="383"/>
      <c r="N473" s="380"/>
      <c r="O473" s="160"/>
      <c r="P473" s="160"/>
      <c r="Q473" s="160"/>
      <c r="R473" s="383"/>
      <c r="S473" s="380"/>
      <c r="T473" s="159"/>
      <c r="U473" s="159"/>
      <c r="V473" s="159"/>
      <c r="W473" s="383"/>
      <c r="X473" s="380"/>
      <c r="Y473" s="159"/>
      <c r="Z473" s="159"/>
      <c r="AA473" s="159"/>
      <c r="AB473" s="383"/>
    </row>
    <row r="474" spans="1:28" ht="15.75" customHeight="1" x14ac:dyDescent="0.2">
      <c r="A474" s="394"/>
      <c r="B474" s="162" t="s">
        <v>1070</v>
      </c>
      <c r="C474" s="383"/>
      <c r="D474" s="380"/>
      <c r="E474" s="159"/>
      <c r="F474" s="159"/>
      <c r="G474" s="159"/>
      <c r="H474" s="383"/>
      <c r="I474" s="380"/>
      <c r="J474" s="159"/>
      <c r="K474" s="159"/>
      <c r="L474" s="159"/>
      <c r="M474" s="383"/>
      <c r="N474" s="380"/>
      <c r="O474" s="160"/>
      <c r="P474" s="160"/>
      <c r="Q474" s="160"/>
      <c r="R474" s="383"/>
      <c r="S474" s="380"/>
      <c r="T474" s="159"/>
      <c r="U474" s="159"/>
      <c r="V474" s="159"/>
      <c r="W474" s="383"/>
      <c r="X474" s="380"/>
      <c r="Y474" s="159"/>
      <c r="Z474" s="159"/>
      <c r="AA474" s="159"/>
      <c r="AB474" s="383"/>
    </row>
    <row r="475" spans="1:28" ht="15.75" customHeight="1" x14ac:dyDescent="0.2">
      <c r="A475" s="394"/>
      <c r="B475" s="162" t="s">
        <v>1071</v>
      </c>
      <c r="C475" s="383"/>
      <c r="D475" s="380"/>
      <c r="E475" s="159"/>
      <c r="F475" s="159"/>
      <c r="G475" s="159"/>
      <c r="H475" s="383"/>
      <c r="I475" s="380"/>
      <c r="J475" s="159"/>
      <c r="K475" s="159"/>
      <c r="L475" s="159"/>
      <c r="M475" s="383"/>
      <c r="N475" s="380"/>
      <c r="O475" s="160"/>
      <c r="P475" s="160"/>
      <c r="Q475" s="160"/>
      <c r="R475" s="383"/>
      <c r="S475" s="380"/>
      <c r="T475" s="159"/>
      <c r="U475" s="159"/>
      <c r="V475" s="159"/>
      <c r="W475" s="383"/>
      <c r="X475" s="380"/>
      <c r="Y475" s="159"/>
      <c r="Z475" s="159"/>
      <c r="AA475" s="159"/>
      <c r="AB475" s="383"/>
    </row>
    <row r="476" spans="1:28" ht="15.75" customHeight="1" x14ac:dyDescent="0.2">
      <c r="A476" s="208"/>
      <c r="B476" s="162" t="s">
        <v>1171</v>
      </c>
      <c r="C476" s="177"/>
      <c r="D476" s="178"/>
      <c r="E476" s="159"/>
      <c r="F476" s="159"/>
      <c r="G476" s="159"/>
      <c r="H476" s="177"/>
      <c r="I476" s="178"/>
      <c r="J476" s="159"/>
      <c r="K476" s="159"/>
      <c r="L476" s="159"/>
      <c r="M476" s="177"/>
      <c r="N476" s="178"/>
      <c r="O476" s="160"/>
      <c r="P476" s="160"/>
      <c r="Q476" s="160"/>
      <c r="R476" s="177"/>
      <c r="S476" s="178"/>
      <c r="T476" s="159"/>
      <c r="U476" s="159"/>
      <c r="V476" s="159"/>
      <c r="W476" s="177"/>
      <c r="X476" s="178"/>
      <c r="Y476" s="159"/>
      <c r="Z476" s="159"/>
      <c r="AA476" s="159"/>
      <c r="AB476" s="177"/>
    </row>
    <row r="477" spans="1:28" ht="14.25" customHeight="1" x14ac:dyDescent="0.2">
      <c r="A477" s="390"/>
      <c r="B477" s="161" t="s">
        <v>421</v>
      </c>
      <c r="C477" s="383"/>
      <c r="D477" s="380"/>
      <c r="E477" s="159"/>
      <c r="F477" s="159"/>
      <c r="G477" s="159"/>
      <c r="H477" s="383"/>
      <c r="I477" s="380"/>
      <c r="J477" s="159"/>
      <c r="K477" s="159"/>
      <c r="L477" s="159"/>
      <c r="M477" s="383"/>
      <c r="N477" s="380"/>
      <c r="O477" s="160"/>
      <c r="P477" s="160"/>
      <c r="Q477" s="160"/>
      <c r="R477" s="386"/>
      <c r="S477" s="385"/>
      <c r="T477" s="160"/>
      <c r="U477" s="160"/>
      <c r="V477" s="160"/>
      <c r="W477" s="386"/>
      <c r="X477" s="385"/>
      <c r="Y477" s="160"/>
      <c r="Z477" s="160"/>
      <c r="AA477" s="160"/>
      <c r="AB477" s="386"/>
    </row>
    <row r="478" spans="1:28" ht="18" customHeight="1" x14ac:dyDescent="0.2">
      <c r="A478" s="405"/>
      <c r="B478" s="162" t="s">
        <v>619</v>
      </c>
      <c r="C478" s="384"/>
      <c r="D478" s="381"/>
      <c r="E478" s="159"/>
      <c r="F478" s="159"/>
      <c r="G478" s="159"/>
      <c r="H478" s="384"/>
      <c r="I478" s="381"/>
      <c r="J478" s="159"/>
      <c r="K478" s="159"/>
      <c r="L478" s="159"/>
      <c r="M478" s="384"/>
      <c r="N478" s="381"/>
      <c r="O478" s="160"/>
      <c r="P478" s="160"/>
      <c r="Q478" s="160"/>
      <c r="R478" s="389"/>
      <c r="S478" s="388"/>
      <c r="T478" s="160"/>
      <c r="U478" s="160"/>
      <c r="V478" s="160"/>
      <c r="W478" s="389"/>
      <c r="X478" s="388"/>
      <c r="Y478" s="160"/>
      <c r="Z478" s="160"/>
      <c r="AA478" s="160"/>
      <c r="AB478" s="389"/>
    </row>
    <row r="479" spans="1:28" ht="36" customHeight="1" x14ac:dyDescent="0.2">
      <c r="A479" s="393" t="s">
        <v>17</v>
      </c>
      <c r="B479" s="158" t="s">
        <v>157</v>
      </c>
      <c r="C479" s="382">
        <f>D479+E479+F479+G479</f>
        <v>5379</v>
      </c>
      <c r="D479" s="379">
        <v>5379</v>
      </c>
      <c r="E479" s="159">
        <v>0</v>
      </c>
      <c r="F479" s="159">
        <v>0</v>
      </c>
      <c r="G479" s="159">
        <v>0</v>
      </c>
      <c r="H479" s="382">
        <f>I479+J479+K479+L479</f>
        <v>8539</v>
      </c>
      <c r="I479" s="379">
        <f>5209+3483-153</f>
        <v>8539</v>
      </c>
      <c r="J479" s="159">
        <v>0</v>
      </c>
      <c r="K479" s="159">
        <v>0</v>
      </c>
      <c r="L479" s="159">
        <v>0</v>
      </c>
      <c r="M479" s="382">
        <f>N479</f>
        <v>1149</v>
      </c>
      <c r="N479" s="379">
        <f>12265-10932-82-20-82</f>
        <v>1149</v>
      </c>
      <c r="O479" s="160">
        <v>0</v>
      </c>
      <c r="P479" s="160">
        <v>0</v>
      </c>
      <c r="Q479" s="160">
        <v>0</v>
      </c>
      <c r="R479" s="382">
        <f>S479</f>
        <v>18810</v>
      </c>
      <c r="S479" s="379">
        <f>12265-12265+18810</f>
        <v>18810</v>
      </c>
      <c r="T479" s="159">
        <v>0</v>
      </c>
      <c r="U479" s="159">
        <v>0</v>
      </c>
      <c r="V479" s="159">
        <v>0</v>
      </c>
      <c r="W479" s="379">
        <v>0</v>
      </c>
      <c r="X479" s="379">
        <v>0</v>
      </c>
      <c r="Y479" s="159">
        <v>0</v>
      </c>
      <c r="Z479" s="159">
        <v>0</v>
      </c>
      <c r="AA479" s="159">
        <v>0</v>
      </c>
      <c r="AB479" s="382">
        <f>C479+H479+M479+R479+W479</f>
        <v>33877</v>
      </c>
    </row>
    <row r="480" spans="1:28" ht="18" customHeight="1" x14ac:dyDescent="0.2">
      <c r="A480" s="394"/>
      <c r="B480" s="161" t="s">
        <v>156</v>
      </c>
      <c r="C480" s="383"/>
      <c r="D480" s="380"/>
      <c r="E480" s="159"/>
      <c r="F480" s="159"/>
      <c r="G480" s="159"/>
      <c r="H480" s="383"/>
      <c r="I480" s="380"/>
      <c r="J480" s="159"/>
      <c r="K480" s="159"/>
      <c r="L480" s="159"/>
      <c r="M480" s="383"/>
      <c r="N480" s="380"/>
      <c r="O480" s="160"/>
      <c r="P480" s="160"/>
      <c r="Q480" s="160"/>
      <c r="R480" s="383"/>
      <c r="S480" s="380"/>
      <c r="T480" s="159"/>
      <c r="U480" s="159"/>
      <c r="V480" s="159"/>
      <c r="W480" s="380"/>
      <c r="X480" s="380"/>
      <c r="Y480" s="159"/>
      <c r="Z480" s="159"/>
      <c r="AA480" s="159"/>
      <c r="AB480" s="383"/>
    </row>
    <row r="481" spans="1:28" ht="18" customHeight="1" x14ac:dyDescent="0.2">
      <c r="A481" s="394"/>
      <c r="B481" s="162" t="s">
        <v>158</v>
      </c>
      <c r="C481" s="383"/>
      <c r="D481" s="380"/>
      <c r="E481" s="159"/>
      <c r="F481" s="159"/>
      <c r="G481" s="159"/>
      <c r="H481" s="383"/>
      <c r="I481" s="380"/>
      <c r="J481" s="159"/>
      <c r="K481" s="159"/>
      <c r="L481" s="159"/>
      <c r="M481" s="383"/>
      <c r="N481" s="380"/>
      <c r="O481" s="160"/>
      <c r="P481" s="160"/>
      <c r="Q481" s="160"/>
      <c r="R481" s="383"/>
      <c r="S481" s="380"/>
      <c r="T481" s="159"/>
      <c r="U481" s="159"/>
      <c r="V481" s="159"/>
      <c r="W481" s="380"/>
      <c r="X481" s="380"/>
      <c r="Y481" s="159"/>
      <c r="Z481" s="159"/>
      <c r="AA481" s="159"/>
      <c r="AB481" s="383"/>
    </row>
    <row r="482" spans="1:28" ht="18" customHeight="1" x14ac:dyDescent="0.2">
      <c r="A482" s="394"/>
      <c r="B482" s="162" t="s">
        <v>1072</v>
      </c>
      <c r="C482" s="383"/>
      <c r="D482" s="380"/>
      <c r="E482" s="159"/>
      <c r="F482" s="159"/>
      <c r="G482" s="159"/>
      <c r="H482" s="383"/>
      <c r="I482" s="380"/>
      <c r="J482" s="159"/>
      <c r="K482" s="159"/>
      <c r="L482" s="159"/>
      <c r="M482" s="383"/>
      <c r="N482" s="380"/>
      <c r="O482" s="160"/>
      <c r="P482" s="160"/>
      <c r="Q482" s="160"/>
      <c r="R482" s="383"/>
      <c r="S482" s="380"/>
      <c r="T482" s="159"/>
      <c r="U482" s="159"/>
      <c r="V482" s="159"/>
      <c r="W482" s="380"/>
      <c r="X482" s="380"/>
      <c r="Y482" s="159"/>
      <c r="Z482" s="159"/>
      <c r="AA482" s="159"/>
      <c r="AB482" s="383"/>
    </row>
    <row r="483" spans="1:28" ht="18" customHeight="1" x14ac:dyDescent="0.2">
      <c r="A483" s="394"/>
      <c r="B483" s="161" t="s">
        <v>148</v>
      </c>
      <c r="C483" s="383"/>
      <c r="D483" s="380"/>
      <c r="E483" s="159"/>
      <c r="F483" s="159"/>
      <c r="G483" s="159"/>
      <c r="H483" s="383"/>
      <c r="I483" s="380"/>
      <c r="J483" s="159"/>
      <c r="K483" s="159"/>
      <c r="L483" s="159"/>
      <c r="M483" s="383"/>
      <c r="N483" s="380"/>
      <c r="O483" s="160"/>
      <c r="P483" s="160"/>
      <c r="Q483" s="160"/>
      <c r="R483" s="383"/>
      <c r="S483" s="380"/>
      <c r="T483" s="159"/>
      <c r="U483" s="159"/>
      <c r="V483" s="159"/>
      <c r="W483" s="380"/>
      <c r="X483" s="380"/>
      <c r="Y483" s="159"/>
      <c r="Z483" s="159"/>
      <c r="AA483" s="159"/>
      <c r="AB483" s="383"/>
    </row>
    <row r="484" spans="1:28" ht="18" customHeight="1" x14ac:dyDescent="0.2">
      <c r="A484" s="394"/>
      <c r="B484" s="162" t="s">
        <v>1075</v>
      </c>
      <c r="C484" s="383"/>
      <c r="D484" s="380"/>
      <c r="E484" s="159"/>
      <c r="F484" s="159"/>
      <c r="G484" s="159"/>
      <c r="H484" s="383"/>
      <c r="I484" s="380"/>
      <c r="J484" s="159"/>
      <c r="K484" s="159"/>
      <c r="L484" s="159"/>
      <c r="M484" s="383"/>
      <c r="N484" s="380"/>
      <c r="O484" s="160"/>
      <c r="P484" s="160"/>
      <c r="Q484" s="160"/>
      <c r="R484" s="383"/>
      <c r="S484" s="380"/>
      <c r="T484" s="159"/>
      <c r="U484" s="159"/>
      <c r="V484" s="159"/>
      <c r="W484" s="380"/>
      <c r="X484" s="380"/>
      <c r="Y484" s="159"/>
      <c r="Z484" s="159"/>
      <c r="AA484" s="159"/>
      <c r="AB484" s="383"/>
    </row>
    <row r="485" spans="1:28" ht="18" customHeight="1" x14ac:dyDescent="0.2">
      <c r="A485" s="394"/>
      <c r="B485" s="162" t="s">
        <v>1073</v>
      </c>
      <c r="C485" s="383"/>
      <c r="D485" s="380"/>
      <c r="E485" s="159"/>
      <c r="F485" s="159"/>
      <c r="G485" s="159"/>
      <c r="H485" s="383"/>
      <c r="I485" s="380"/>
      <c r="J485" s="159"/>
      <c r="K485" s="159"/>
      <c r="L485" s="159"/>
      <c r="M485" s="383"/>
      <c r="N485" s="380"/>
      <c r="O485" s="160"/>
      <c r="P485" s="160"/>
      <c r="Q485" s="160"/>
      <c r="R485" s="383"/>
      <c r="S485" s="380"/>
      <c r="T485" s="159"/>
      <c r="U485" s="159"/>
      <c r="V485" s="159"/>
      <c r="W485" s="380"/>
      <c r="X485" s="380"/>
      <c r="Y485" s="159"/>
      <c r="Z485" s="159"/>
      <c r="AA485" s="159"/>
      <c r="AB485" s="383"/>
    </row>
    <row r="486" spans="1:28" ht="18" customHeight="1" x14ac:dyDescent="0.2">
      <c r="A486" s="394"/>
      <c r="B486" s="161" t="s">
        <v>329</v>
      </c>
      <c r="C486" s="383"/>
      <c r="D486" s="380"/>
      <c r="E486" s="159"/>
      <c r="F486" s="159"/>
      <c r="G486" s="159"/>
      <c r="H486" s="383"/>
      <c r="I486" s="380"/>
      <c r="J486" s="159"/>
      <c r="K486" s="159"/>
      <c r="L486" s="159"/>
      <c r="M486" s="383"/>
      <c r="N486" s="380"/>
      <c r="O486" s="160"/>
      <c r="P486" s="160"/>
      <c r="Q486" s="160"/>
      <c r="R486" s="383"/>
      <c r="S486" s="380"/>
      <c r="T486" s="159"/>
      <c r="U486" s="159"/>
      <c r="V486" s="159"/>
      <c r="W486" s="380"/>
      <c r="X486" s="380"/>
      <c r="Y486" s="159"/>
      <c r="Z486" s="159"/>
      <c r="AA486" s="159"/>
      <c r="AB486" s="383"/>
    </row>
    <row r="487" spans="1:28" ht="18" customHeight="1" x14ac:dyDescent="0.2">
      <c r="A487" s="394"/>
      <c r="B487" s="162" t="s">
        <v>1074</v>
      </c>
      <c r="C487" s="383"/>
      <c r="D487" s="380"/>
      <c r="E487" s="159"/>
      <c r="F487" s="159"/>
      <c r="G487" s="159"/>
      <c r="H487" s="383"/>
      <c r="I487" s="380"/>
      <c r="J487" s="159"/>
      <c r="K487" s="159"/>
      <c r="L487" s="159"/>
      <c r="M487" s="383"/>
      <c r="N487" s="380"/>
      <c r="O487" s="160"/>
      <c r="P487" s="160"/>
      <c r="Q487" s="160"/>
      <c r="R487" s="383"/>
      <c r="S487" s="380"/>
      <c r="T487" s="159"/>
      <c r="U487" s="159"/>
      <c r="V487" s="159"/>
      <c r="W487" s="380"/>
      <c r="X487" s="380"/>
      <c r="Y487" s="159"/>
      <c r="Z487" s="159"/>
      <c r="AA487" s="159"/>
      <c r="AB487" s="383"/>
    </row>
    <row r="488" spans="1:28" ht="18" customHeight="1" x14ac:dyDescent="0.2">
      <c r="A488" s="394"/>
      <c r="B488" s="161" t="s">
        <v>382</v>
      </c>
      <c r="C488" s="383"/>
      <c r="D488" s="380"/>
      <c r="E488" s="159"/>
      <c r="F488" s="159"/>
      <c r="G488" s="159"/>
      <c r="H488" s="383"/>
      <c r="I488" s="380"/>
      <c r="J488" s="159"/>
      <c r="K488" s="159"/>
      <c r="L488" s="159"/>
      <c r="M488" s="383"/>
      <c r="N488" s="380"/>
      <c r="O488" s="160"/>
      <c r="P488" s="160"/>
      <c r="Q488" s="160"/>
      <c r="R488" s="383"/>
      <c r="S488" s="380"/>
      <c r="T488" s="159"/>
      <c r="U488" s="159"/>
      <c r="V488" s="159"/>
      <c r="W488" s="380"/>
      <c r="X488" s="380"/>
      <c r="Y488" s="159"/>
      <c r="Z488" s="159"/>
      <c r="AA488" s="159"/>
      <c r="AB488" s="383"/>
    </row>
    <row r="489" spans="1:28" ht="18" customHeight="1" x14ac:dyDescent="0.2">
      <c r="A489" s="394"/>
      <c r="B489" s="162" t="s">
        <v>1076</v>
      </c>
      <c r="C489" s="383"/>
      <c r="D489" s="380"/>
      <c r="E489" s="159"/>
      <c r="F489" s="159"/>
      <c r="G489" s="159"/>
      <c r="H489" s="383"/>
      <c r="I489" s="380"/>
      <c r="J489" s="159"/>
      <c r="K489" s="159"/>
      <c r="L489" s="159"/>
      <c r="M489" s="383"/>
      <c r="N489" s="380"/>
      <c r="O489" s="160"/>
      <c r="P489" s="160"/>
      <c r="Q489" s="160"/>
      <c r="R489" s="383"/>
      <c r="S489" s="380"/>
      <c r="T489" s="159"/>
      <c r="U489" s="159"/>
      <c r="V489" s="159"/>
      <c r="W489" s="380"/>
      <c r="X489" s="380"/>
      <c r="Y489" s="159"/>
      <c r="Z489" s="159"/>
      <c r="AA489" s="159"/>
      <c r="AB489" s="383"/>
    </row>
    <row r="490" spans="1:28" ht="18" customHeight="1" x14ac:dyDescent="0.2">
      <c r="A490" s="394"/>
      <c r="B490" s="162" t="s">
        <v>1077</v>
      </c>
      <c r="C490" s="383"/>
      <c r="D490" s="380"/>
      <c r="E490" s="159"/>
      <c r="F490" s="159"/>
      <c r="G490" s="159"/>
      <c r="H490" s="383"/>
      <c r="I490" s="380"/>
      <c r="J490" s="159"/>
      <c r="K490" s="159"/>
      <c r="L490" s="159"/>
      <c r="M490" s="383"/>
      <c r="N490" s="380"/>
      <c r="O490" s="160"/>
      <c r="P490" s="160"/>
      <c r="Q490" s="160"/>
      <c r="R490" s="383"/>
      <c r="S490" s="380"/>
      <c r="T490" s="159"/>
      <c r="U490" s="159"/>
      <c r="V490" s="159"/>
      <c r="W490" s="380"/>
      <c r="X490" s="380"/>
      <c r="Y490" s="159"/>
      <c r="Z490" s="159"/>
      <c r="AA490" s="159"/>
      <c r="AB490" s="383"/>
    </row>
    <row r="491" spans="1:28" ht="18" customHeight="1" x14ac:dyDescent="0.2">
      <c r="A491" s="394"/>
      <c r="B491" s="162" t="s">
        <v>1078</v>
      </c>
      <c r="C491" s="383"/>
      <c r="D491" s="380"/>
      <c r="E491" s="159"/>
      <c r="F491" s="159"/>
      <c r="G491" s="159"/>
      <c r="H491" s="383"/>
      <c r="I491" s="380"/>
      <c r="J491" s="159"/>
      <c r="K491" s="159"/>
      <c r="L491" s="159"/>
      <c r="M491" s="383"/>
      <c r="N491" s="380"/>
      <c r="O491" s="160"/>
      <c r="P491" s="160"/>
      <c r="Q491" s="160"/>
      <c r="R491" s="383"/>
      <c r="S491" s="380"/>
      <c r="T491" s="159"/>
      <c r="U491" s="159"/>
      <c r="V491" s="159"/>
      <c r="W491" s="380"/>
      <c r="X491" s="380"/>
      <c r="Y491" s="159"/>
      <c r="Z491" s="159"/>
      <c r="AA491" s="159"/>
      <c r="AB491" s="383"/>
    </row>
    <row r="492" spans="1:28" ht="18" customHeight="1" x14ac:dyDescent="0.2">
      <c r="A492" s="394"/>
      <c r="B492" s="162" t="s">
        <v>1079</v>
      </c>
      <c r="C492" s="383"/>
      <c r="D492" s="380"/>
      <c r="E492" s="159"/>
      <c r="F492" s="159"/>
      <c r="G492" s="159"/>
      <c r="H492" s="383"/>
      <c r="I492" s="380"/>
      <c r="J492" s="159"/>
      <c r="K492" s="159"/>
      <c r="L492" s="159"/>
      <c r="M492" s="383"/>
      <c r="N492" s="380"/>
      <c r="O492" s="160"/>
      <c r="P492" s="160"/>
      <c r="Q492" s="160"/>
      <c r="R492" s="383"/>
      <c r="S492" s="380"/>
      <c r="T492" s="159"/>
      <c r="U492" s="159"/>
      <c r="V492" s="159"/>
      <c r="W492" s="380"/>
      <c r="X492" s="380"/>
      <c r="Y492" s="159"/>
      <c r="Z492" s="159"/>
      <c r="AA492" s="159"/>
      <c r="AB492" s="383"/>
    </row>
    <row r="493" spans="1:28" ht="18" customHeight="1" x14ac:dyDescent="0.2">
      <c r="A493" s="394"/>
      <c r="B493" s="162" t="s">
        <v>1080</v>
      </c>
      <c r="C493" s="383"/>
      <c r="D493" s="380"/>
      <c r="E493" s="159"/>
      <c r="F493" s="159"/>
      <c r="G493" s="159"/>
      <c r="H493" s="383"/>
      <c r="I493" s="380"/>
      <c r="J493" s="159"/>
      <c r="K493" s="159"/>
      <c r="L493" s="159"/>
      <c r="M493" s="383"/>
      <c r="N493" s="380"/>
      <c r="O493" s="160"/>
      <c r="P493" s="160"/>
      <c r="Q493" s="160"/>
      <c r="R493" s="383"/>
      <c r="S493" s="380"/>
      <c r="T493" s="159"/>
      <c r="U493" s="159"/>
      <c r="V493" s="159"/>
      <c r="W493" s="380"/>
      <c r="X493" s="380"/>
      <c r="Y493" s="159"/>
      <c r="Z493" s="159"/>
      <c r="AA493" s="159"/>
      <c r="AB493" s="383"/>
    </row>
    <row r="494" spans="1:28" ht="18" customHeight="1" x14ac:dyDescent="0.2">
      <c r="A494" s="394"/>
      <c r="B494" s="162" t="s">
        <v>1081</v>
      </c>
      <c r="C494" s="383"/>
      <c r="D494" s="380"/>
      <c r="E494" s="159"/>
      <c r="F494" s="159"/>
      <c r="G494" s="159"/>
      <c r="H494" s="383"/>
      <c r="I494" s="380"/>
      <c r="J494" s="159"/>
      <c r="K494" s="159"/>
      <c r="L494" s="159"/>
      <c r="M494" s="383"/>
      <c r="N494" s="380"/>
      <c r="O494" s="160"/>
      <c r="P494" s="160"/>
      <c r="Q494" s="160"/>
      <c r="R494" s="383"/>
      <c r="S494" s="380"/>
      <c r="T494" s="159"/>
      <c r="U494" s="159"/>
      <c r="V494" s="159"/>
      <c r="W494" s="380"/>
      <c r="X494" s="380"/>
      <c r="Y494" s="159"/>
      <c r="Z494" s="159"/>
      <c r="AA494" s="159"/>
      <c r="AB494" s="383"/>
    </row>
    <row r="495" spans="1:28" ht="18" customHeight="1" x14ac:dyDescent="0.2">
      <c r="A495" s="394"/>
      <c r="B495" s="162" t="s">
        <v>1082</v>
      </c>
      <c r="C495" s="383"/>
      <c r="D495" s="380"/>
      <c r="E495" s="159"/>
      <c r="F495" s="159"/>
      <c r="G495" s="159"/>
      <c r="H495" s="383"/>
      <c r="I495" s="380"/>
      <c r="J495" s="159"/>
      <c r="K495" s="159"/>
      <c r="L495" s="159"/>
      <c r="M495" s="383"/>
      <c r="N495" s="380"/>
      <c r="O495" s="160"/>
      <c r="P495" s="160"/>
      <c r="Q495" s="160"/>
      <c r="R495" s="383"/>
      <c r="S495" s="380"/>
      <c r="T495" s="159"/>
      <c r="U495" s="159"/>
      <c r="V495" s="159"/>
      <c r="W495" s="380"/>
      <c r="X495" s="380"/>
      <c r="Y495" s="159"/>
      <c r="Z495" s="159"/>
      <c r="AA495" s="159"/>
      <c r="AB495" s="383"/>
    </row>
    <row r="496" spans="1:28" ht="18" customHeight="1" x14ac:dyDescent="0.2">
      <c r="A496" s="394"/>
      <c r="B496" s="162" t="s">
        <v>1083</v>
      </c>
      <c r="C496" s="383"/>
      <c r="D496" s="380"/>
      <c r="E496" s="159"/>
      <c r="F496" s="159"/>
      <c r="G496" s="159"/>
      <c r="H496" s="383"/>
      <c r="I496" s="380"/>
      <c r="J496" s="159"/>
      <c r="K496" s="159"/>
      <c r="L496" s="159"/>
      <c r="M496" s="383"/>
      <c r="N496" s="380"/>
      <c r="O496" s="160"/>
      <c r="P496" s="160"/>
      <c r="Q496" s="160"/>
      <c r="R496" s="383"/>
      <c r="S496" s="380"/>
      <c r="T496" s="159"/>
      <c r="U496" s="159"/>
      <c r="V496" s="159"/>
      <c r="W496" s="380"/>
      <c r="X496" s="380"/>
      <c r="Y496" s="159"/>
      <c r="Z496" s="159"/>
      <c r="AA496" s="159"/>
      <c r="AB496" s="383"/>
    </row>
    <row r="497" spans="1:28" ht="18" customHeight="1" x14ac:dyDescent="0.2">
      <c r="A497" s="394"/>
      <c r="B497" s="162" t="s">
        <v>1084</v>
      </c>
      <c r="C497" s="383"/>
      <c r="D497" s="380"/>
      <c r="E497" s="159"/>
      <c r="F497" s="159"/>
      <c r="G497" s="159"/>
      <c r="H497" s="383"/>
      <c r="I497" s="380"/>
      <c r="J497" s="159"/>
      <c r="K497" s="159"/>
      <c r="L497" s="159"/>
      <c r="M497" s="383"/>
      <c r="N497" s="380"/>
      <c r="O497" s="160"/>
      <c r="P497" s="160"/>
      <c r="Q497" s="160"/>
      <c r="R497" s="383"/>
      <c r="S497" s="380"/>
      <c r="T497" s="159"/>
      <c r="U497" s="159"/>
      <c r="V497" s="159"/>
      <c r="W497" s="380"/>
      <c r="X497" s="380"/>
      <c r="Y497" s="159"/>
      <c r="Z497" s="159"/>
      <c r="AA497" s="159"/>
      <c r="AB497" s="383"/>
    </row>
    <row r="498" spans="1:28" ht="18" customHeight="1" x14ac:dyDescent="0.2">
      <c r="A498" s="394"/>
      <c r="B498" s="162" t="s">
        <v>1085</v>
      </c>
      <c r="C498" s="383"/>
      <c r="D498" s="380"/>
      <c r="E498" s="159"/>
      <c r="F498" s="159"/>
      <c r="G498" s="159"/>
      <c r="H498" s="383"/>
      <c r="I498" s="380"/>
      <c r="J498" s="159"/>
      <c r="K498" s="159"/>
      <c r="L498" s="159"/>
      <c r="M498" s="383"/>
      <c r="N498" s="380"/>
      <c r="O498" s="160"/>
      <c r="P498" s="160"/>
      <c r="Q498" s="160"/>
      <c r="R498" s="383"/>
      <c r="S498" s="380"/>
      <c r="T498" s="159"/>
      <c r="U498" s="159"/>
      <c r="V498" s="159"/>
      <c r="W498" s="380"/>
      <c r="X498" s="380"/>
      <c r="Y498" s="159"/>
      <c r="Z498" s="159"/>
      <c r="AA498" s="159"/>
      <c r="AB498" s="383"/>
    </row>
    <row r="499" spans="1:28" ht="18" customHeight="1" x14ac:dyDescent="0.2">
      <c r="A499" s="394"/>
      <c r="B499" s="162" t="s">
        <v>1086</v>
      </c>
      <c r="C499" s="383"/>
      <c r="D499" s="380"/>
      <c r="E499" s="159"/>
      <c r="F499" s="159"/>
      <c r="G499" s="159"/>
      <c r="H499" s="383"/>
      <c r="I499" s="380"/>
      <c r="J499" s="159"/>
      <c r="K499" s="159"/>
      <c r="L499" s="159"/>
      <c r="M499" s="383"/>
      <c r="N499" s="380"/>
      <c r="O499" s="160"/>
      <c r="P499" s="160"/>
      <c r="Q499" s="160"/>
      <c r="R499" s="383"/>
      <c r="S499" s="380"/>
      <c r="T499" s="159"/>
      <c r="U499" s="159"/>
      <c r="V499" s="159"/>
      <c r="W499" s="380"/>
      <c r="X499" s="380"/>
      <c r="Y499" s="159"/>
      <c r="Z499" s="159"/>
      <c r="AA499" s="159"/>
      <c r="AB499" s="383"/>
    </row>
    <row r="500" spans="1:28" ht="18" customHeight="1" x14ac:dyDescent="0.2">
      <c r="A500" s="394"/>
      <c r="B500" s="162" t="s">
        <v>1087</v>
      </c>
      <c r="C500" s="383"/>
      <c r="D500" s="380"/>
      <c r="E500" s="159"/>
      <c r="F500" s="159"/>
      <c r="G500" s="159"/>
      <c r="H500" s="383"/>
      <c r="I500" s="380"/>
      <c r="J500" s="159"/>
      <c r="K500" s="159"/>
      <c r="L500" s="159"/>
      <c r="M500" s="383"/>
      <c r="N500" s="380"/>
      <c r="O500" s="160"/>
      <c r="P500" s="160"/>
      <c r="Q500" s="160"/>
      <c r="R500" s="383"/>
      <c r="S500" s="380"/>
      <c r="T500" s="159"/>
      <c r="U500" s="159"/>
      <c r="V500" s="159"/>
      <c r="W500" s="380"/>
      <c r="X500" s="380"/>
      <c r="Y500" s="159"/>
      <c r="Z500" s="159"/>
      <c r="AA500" s="159"/>
      <c r="AB500" s="383"/>
    </row>
    <row r="501" spans="1:28" ht="18" customHeight="1" x14ac:dyDescent="0.2">
      <c r="A501" s="394"/>
      <c r="B501" s="162" t="s">
        <v>1088</v>
      </c>
      <c r="C501" s="383"/>
      <c r="D501" s="380"/>
      <c r="E501" s="159"/>
      <c r="F501" s="159"/>
      <c r="G501" s="159"/>
      <c r="H501" s="383"/>
      <c r="I501" s="380"/>
      <c r="J501" s="159"/>
      <c r="K501" s="159"/>
      <c r="L501" s="159"/>
      <c r="M501" s="383"/>
      <c r="N501" s="380"/>
      <c r="O501" s="160"/>
      <c r="P501" s="160"/>
      <c r="Q501" s="160"/>
      <c r="R501" s="383"/>
      <c r="S501" s="380"/>
      <c r="T501" s="159"/>
      <c r="U501" s="159"/>
      <c r="V501" s="159"/>
      <c r="W501" s="380"/>
      <c r="X501" s="380"/>
      <c r="Y501" s="159"/>
      <c r="Z501" s="159"/>
      <c r="AA501" s="159"/>
      <c r="AB501" s="383"/>
    </row>
    <row r="502" spans="1:28" ht="18" customHeight="1" x14ac:dyDescent="0.2">
      <c r="A502" s="394"/>
      <c r="B502" s="162" t="s">
        <v>1089</v>
      </c>
      <c r="C502" s="383"/>
      <c r="D502" s="380"/>
      <c r="E502" s="159"/>
      <c r="F502" s="159"/>
      <c r="G502" s="159"/>
      <c r="H502" s="383"/>
      <c r="I502" s="380"/>
      <c r="J502" s="159"/>
      <c r="K502" s="159"/>
      <c r="L502" s="159"/>
      <c r="M502" s="383"/>
      <c r="N502" s="380"/>
      <c r="O502" s="160"/>
      <c r="P502" s="160"/>
      <c r="Q502" s="160"/>
      <c r="R502" s="383"/>
      <c r="S502" s="380"/>
      <c r="T502" s="159"/>
      <c r="U502" s="159"/>
      <c r="V502" s="159"/>
      <c r="W502" s="380"/>
      <c r="X502" s="380"/>
      <c r="Y502" s="159"/>
      <c r="Z502" s="159"/>
      <c r="AA502" s="159"/>
      <c r="AB502" s="383"/>
    </row>
    <row r="503" spans="1:28" ht="18" customHeight="1" x14ac:dyDescent="0.2">
      <c r="A503" s="394"/>
      <c r="B503" s="162" t="s">
        <v>1090</v>
      </c>
      <c r="C503" s="383"/>
      <c r="D503" s="380"/>
      <c r="E503" s="159"/>
      <c r="F503" s="159"/>
      <c r="G503" s="159"/>
      <c r="H503" s="383"/>
      <c r="I503" s="380"/>
      <c r="J503" s="159"/>
      <c r="K503" s="159"/>
      <c r="L503" s="159"/>
      <c r="M503" s="383"/>
      <c r="N503" s="380"/>
      <c r="O503" s="160"/>
      <c r="P503" s="160"/>
      <c r="Q503" s="160"/>
      <c r="R503" s="383"/>
      <c r="S503" s="380"/>
      <c r="T503" s="159"/>
      <c r="U503" s="159"/>
      <c r="V503" s="159"/>
      <c r="W503" s="380"/>
      <c r="X503" s="380"/>
      <c r="Y503" s="159"/>
      <c r="Z503" s="159"/>
      <c r="AA503" s="159"/>
      <c r="AB503" s="383"/>
    </row>
    <row r="504" spans="1:28" ht="18" customHeight="1" x14ac:dyDescent="0.2">
      <c r="A504" s="394"/>
      <c r="B504" s="162" t="s">
        <v>1091</v>
      </c>
      <c r="C504" s="383"/>
      <c r="D504" s="380"/>
      <c r="E504" s="159"/>
      <c r="F504" s="159"/>
      <c r="G504" s="159"/>
      <c r="H504" s="383"/>
      <c r="I504" s="380"/>
      <c r="J504" s="159"/>
      <c r="K504" s="159"/>
      <c r="L504" s="159"/>
      <c r="M504" s="383"/>
      <c r="N504" s="380"/>
      <c r="O504" s="160"/>
      <c r="P504" s="160"/>
      <c r="Q504" s="160"/>
      <c r="R504" s="383"/>
      <c r="S504" s="380"/>
      <c r="T504" s="159"/>
      <c r="U504" s="159"/>
      <c r="V504" s="159"/>
      <c r="W504" s="380"/>
      <c r="X504" s="380"/>
      <c r="Y504" s="159"/>
      <c r="Z504" s="159"/>
      <c r="AA504" s="159"/>
      <c r="AB504" s="383"/>
    </row>
    <row r="505" spans="1:28" ht="18" customHeight="1" x14ac:dyDescent="0.2">
      <c r="A505" s="394"/>
      <c r="B505" s="162" t="s">
        <v>1092</v>
      </c>
      <c r="C505" s="383"/>
      <c r="D505" s="380"/>
      <c r="E505" s="159"/>
      <c r="F505" s="159"/>
      <c r="G505" s="159"/>
      <c r="H505" s="383"/>
      <c r="I505" s="380"/>
      <c r="J505" s="159"/>
      <c r="K505" s="159"/>
      <c r="L505" s="159"/>
      <c r="M505" s="383"/>
      <c r="N505" s="380"/>
      <c r="O505" s="160"/>
      <c r="P505" s="160"/>
      <c r="Q505" s="160"/>
      <c r="R505" s="383"/>
      <c r="S505" s="380"/>
      <c r="T505" s="159"/>
      <c r="U505" s="159"/>
      <c r="V505" s="159"/>
      <c r="W505" s="380"/>
      <c r="X505" s="380"/>
      <c r="Y505" s="159"/>
      <c r="Z505" s="159"/>
      <c r="AA505" s="159"/>
      <c r="AB505" s="383"/>
    </row>
    <row r="506" spans="1:28" ht="18" customHeight="1" x14ac:dyDescent="0.2">
      <c r="A506" s="394"/>
      <c r="B506" s="162" t="s">
        <v>666</v>
      </c>
      <c r="C506" s="383"/>
      <c r="D506" s="380"/>
      <c r="E506" s="159"/>
      <c r="F506" s="159"/>
      <c r="G506" s="159"/>
      <c r="H506" s="383"/>
      <c r="I506" s="380"/>
      <c r="J506" s="159"/>
      <c r="K506" s="159"/>
      <c r="L506" s="159"/>
      <c r="M506" s="383"/>
      <c r="N506" s="380"/>
      <c r="O506" s="160"/>
      <c r="P506" s="160"/>
      <c r="Q506" s="160"/>
      <c r="R506" s="383"/>
      <c r="S506" s="380"/>
      <c r="T506" s="159"/>
      <c r="U506" s="159"/>
      <c r="V506" s="159"/>
      <c r="W506" s="380"/>
      <c r="X506" s="380"/>
      <c r="Y506" s="159"/>
      <c r="Z506" s="159"/>
      <c r="AA506" s="159"/>
      <c r="AB506" s="383"/>
    </row>
    <row r="507" spans="1:28" ht="18.75" customHeight="1" x14ac:dyDescent="0.2">
      <c r="A507" s="393" t="s">
        <v>471</v>
      </c>
      <c r="B507" s="158" t="s">
        <v>383</v>
      </c>
      <c r="C507" s="382">
        <v>0</v>
      </c>
      <c r="D507" s="379">
        <v>0</v>
      </c>
      <c r="E507" s="159"/>
      <c r="F507" s="159"/>
      <c r="G507" s="159"/>
      <c r="H507" s="382">
        <f>I507</f>
        <v>65</v>
      </c>
      <c r="I507" s="379">
        <v>65</v>
      </c>
      <c r="J507" s="159"/>
      <c r="K507" s="159"/>
      <c r="L507" s="159"/>
      <c r="M507" s="382">
        <f>N507</f>
        <v>1041</v>
      </c>
      <c r="N507" s="379">
        <f>1076-35</f>
        <v>1041</v>
      </c>
      <c r="O507" s="160"/>
      <c r="P507" s="160"/>
      <c r="Q507" s="160"/>
      <c r="R507" s="382">
        <f>S507</f>
        <v>0</v>
      </c>
      <c r="S507" s="379">
        <f>1752-1752</f>
        <v>0</v>
      </c>
      <c r="T507" s="159"/>
      <c r="U507" s="159"/>
      <c r="V507" s="159"/>
      <c r="W507" s="382">
        <f>X507</f>
        <v>0</v>
      </c>
      <c r="X507" s="379">
        <v>0</v>
      </c>
      <c r="Y507" s="159"/>
      <c r="Z507" s="159"/>
      <c r="AA507" s="159"/>
      <c r="AB507" s="382">
        <f>C507+H507+M507+R507+W507</f>
        <v>1106</v>
      </c>
    </row>
    <row r="508" spans="1:28" ht="18" customHeight="1" x14ac:dyDescent="0.2">
      <c r="A508" s="394"/>
      <c r="B508" s="161" t="s">
        <v>329</v>
      </c>
      <c r="C508" s="383"/>
      <c r="D508" s="380"/>
      <c r="E508" s="159"/>
      <c r="F508" s="159"/>
      <c r="G508" s="159"/>
      <c r="H508" s="383"/>
      <c r="I508" s="380"/>
      <c r="J508" s="159"/>
      <c r="K508" s="159"/>
      <c r="L508" s="159"/>
      <c r="M508" s="383"/>
      <c r="N508" s="380"/>
      <c r="O508" s="160"/>
      <c r="P508" s="160"/>
      <c r="Q508" s="160"/>
      <c r="R508" s="383"/>
      <c r="S508" s="380"/>
      <c r="T508" s="159"/>
      <c r="U508" s="159"/>
      <c r="V508" s="159"/>
      <c r="W508" s="383"/>
      <c r="X508" s="380"/>
      <c r="Y508" s="159"/>
      <c r="Z508" s="159"/>
      <c r="AA508" s="159"/>
      <c r="AB508" s="383"/>
    </row>
    <row r="509" spans="1:28" ht="18" customHeight="1" x14ac:dyDescent="0.2">
      <c r="A509" s="394"/>
      <c r="B509" s="162" t="s">
        <v>540</v>
      </c>
      <c r="C509" s="383"/>
      <c r="D509" s="380"/>
      <c r="E509" s="159"/>
      <c r="F509" s="159"/>
      <c r="G509" s="159"/>
      <c r="H509" s="383"/>
      <c r="I509" s="380"/>
      <c r="J509" s="159"/>
      <c r="K509" s="159"/>
      <c r="L509" s="159"/>
      <c r="M509" s="383"/>
      <c r="N509" s="380"/>
      <c r="O509" s="160"/>
      <c r="P509" s="160"/>
      <c r="Q509" s="160"/>
      <c r="R509" s="383"/>
      <c r="S509" s="380"/>
      <c r="T509" s="159"/>
      <c r="U509" s="159"/>
      <c r="V509" s="159"/>
      <c r="W509" s="383"/>
      <c r="X509" s="380"/>
      <c r="Y509" s="159"/>
      <c r="Z509" s="159"/>
      <c r="AA509" s="159"/>
      <c r="AB509" s="383"/>
    </row>
    <row r="510" spans="1:28" ht="13.5" customHeight="1" x14ac:dyDescent="0.2">
      <c r="A510" s="393" t="s">
        <v>472</v>
      </c>
      <c r="B510" s="158" t="s">
        <v>159</v>
      </c>
      <c r="C510" s="382">
        <f>D510+E510+F510+G510</f>
        <v>3478</v>
      </c>
      <c r="D510" s="379">
        <v>3478</v>
      </c>
      <c r="E510" s="159">
        <v>0</v>
      </c>
      <c r="F510" s="159">
        <v>0</v>
      </c>
      <c r="G510" s="159">
        <v>0</v>
      </c>
      <c r="H510" s="382">
        <f>I510+J510+K510+L510</f>
        <v>797</v>
      </c>
      <c r="I510" s="379">
        <f>4667-3870</f>
        <v>797</v>
      </c>
      <c r="J510" s="159">
        <v>0</v>
      </c>
      <c r="K510" s="159">
        <v>0</v>
      </c>
      <c r="L510" s="159">
        <v>0</v>
      </c>
      <c r="M510" s="382">
        <f>N510</f>
        <v>2723</v>
      </c>
      <c r="N510" s="379">
        <f>0+2619+104</f>
        <v>2723</v>
      </c>
      <c r="O510" s="160">
        <v>0</v>
      </c>
      <c r="P510" s="160">
        <v>0</v>
      </c>
      <c r="Q510" s="160">
        <v>0</v>
      </c>
      <c r="R510" s="382">
        <f>S510</f>
        <v>0</v>
      </c>
      <c r="S510" s="379">
        <v>0</v>
      </c>
      <c r="T510" s="159">
        <v>0</v>
      </c>
      <c r="U510" s="159">
        <v>0</v>
      </c>
      <c r="V510" s="159">
        <v>0</v>
      </c>
      <c r="W510" s="379">
        <v>0</v>
      </c>
      <c r="X510" s="379">
        <v>0</v>
      </c>
      <c r="Y510" s="159">
        <v>0</v>
      </c>
      <c r="Z510" s="159">
        <v>0</v>
      </c>
      <c r="AA510" s="159">
        <v>0</v>
      </c>
      <c r="AB510" s="382">
        <f>C510+H510+M510+R510+W510</f>
        <v>6998</v>
      </c>
    </row>
    <row r="511" spans="1:28" ht="15.75" customHeight="1" x14ac:dyDescent="0.2">
      <c r="A511" s="394"/>
      <c r="B511" s="161" t="s">
        <v>156</v>
      </c>
      <c r="C511" s="383"/>
      <c r="D511" s="380"/>
      <c r="E511" s="159"/>
      <c r="F511" s="159"/>
      <c r="G511" s="159"/>
      <c r="H511" s="383"/>
      <c r="I511" s="380"/>
      <c r="J511" s="159"/>
      <c r="K511" s="159"/>
      <c r="L511" s="159"/>
      <c r="M511" s="383"/>
      <c r="N511" s="380"/>
      <c r="O511" s="160"/>
      <c r="P511" s="160"/>
      <c r="Q511" s="160"/>
      <c r="R511" s="383"/>
      <c r="S511" s="380"/>
      <c r="T511" s="159"/>
      <c r="U511" s="159"/>
      <c r="V511" s="159"/>
      <c r="W511" s="380"/>
      <c r="X511" s="380"/>
      <c r="Y511" s="159"/>
      <c r="Z511" s="159"/>
      <c r="AA511" s="159"/>
      <c r="AB511" s="383"/>
    </row>
    <row r="512" spans="1:28" ht="15" customHeight="1" x14ac:dyDescent="0.2">
      <c r="A512" s="394"/>
      <c r="B512" s="162" t="s">
        <v>1093</v>
      </c>
      <c r="C512" s="383"/>
      <c r="D512" s="380"/>
      <c r="E512" s="159"/>
      <c r="F512" s="159"/>
      <c r="G512" s="159"/>
      <c r="H512" s="383"/>
      <c r="I512" s="380"/>
      <c r="J512" s="159"/>
      <c r="K512" s="159"/>
      <c r="L512" s="159"/>
      <c r="M512" s="383"/>
      <c r="N512" s="380"/>
      <c r="O512" s="160"/>
      <c r="P512" s="160"/>
      <c r="Q512" s="160"/>
      <c r="R512" s="383"/>
      <c r="S512" s="380"/>
      <c r="T512" s="159"/>
      <c r="U512" s="159"/>
      <c r="V512" s="159"/>
      <c r="W512" s="380"/>
      <c r="X512" s="380"/>
      <c r="Y512" s="159"/>
      <c r="Z512" s="159"/>
      <c r="AA512" s="159"/>
      <c r="AB512" s="383"/>
    </row>
    <row r="513" spans="1:28" ht="15.75" customHeight="1" x14ac:dyDescent="0.2">
      <c r="A513" s="394"/>
      <c r="B513" s="161" t="s">
        <v>148</v>
      </c>
      <c r="C513" s="383"/>
      <c r="D513" s="380"/>
      <c r="E513" s="178"/>
      <c r="F513" s="178"/>
      <c r="G513" s="178"/>
      <c r="H513" s="383"/>
      <c r="I513" s="380"/>
      <c r="J513" s="178"/>
      <c r="K513" s="178"/>
      <c r="L513" s="178"/>
      <c r="M513" s="383"/>
      <c r="N513" s="380"/>
      <c r="O513" s="175"/>
      <c r="P513" s="175"/>
      <c r="Q513" s="175"/>
      <c r="R513" s="383"/>
      <c r="S513" s="380"/>
      <c r="T513" s="178"/>
      <c r="U513" s="178"/>
      <c r="V513" s="178"/>
      <c r="W513" s="380"/>
      <c r="X513" s="380"/>
      <c r="Y513" s="178"/>
      <c r="Z513" s="178"/>
      <c r="AA513" s="178"/>
      <c r="AB513" s="383"/>
    </row>
    <row r="514" spans="1:28" ht="13.5" customHeight="1" x14ac:dyDescent="0.2">
      <c r="A514" s="394"/>
      <c r="B514" s="162" t="s">
        <v>1094</v>
      </c>
      <c r="C514" s="383"/>
      <c r="D514" s="380"/>
      <c r="E514" s="165"/>
      <c r="F514" s="165"/>
      <c r="G514" s="165"/>
      <c r="H514" s="383"/>
      <c r="I514" s="380"/>
      <c r="J514" s="165"/>
      <c r="K514" s="165"/>
      <c r="L514" s="165"/>
      <c r="M514" s="383"/>
      <c r="N514" s="380"/>
      <c r="O514" s="166"/>
      <c r="P514" s="166"/>
      <c r="Q514" s="166"/>
      <c r="R514" s="383"/>
      <c r="S514" s="380"/>
      <c r="T514" s="165"/>
      <c r="U514" s="165"/>
      <c r="V514" s="165"/>
      <c r="W514" s="380"/>
      <c r="X514" s="380"/>
      <c r="Y514" s="165"/>
      <c r="Z514" s="165"/>
      <c r="AA514" s="165"/>
      <c r="AB514" s="383"/>
    </row>
    <row r="515" spans="1:28" ht="18" customHeight="1" x14ac:dyDescent="0.2">
      <c r="A515" s="394"/>
      <c r="B515" s="162" t="s">
        <v>1095</v>
      </c>
      <c r="C515" s="383"/>
      <c r="D515" s="380"/>
      <c r="E515" s="159"/>
      <c r="F515" s="159"/>
      <c r="G515" s="159"/>
      <c r="H515" s="383"/>
      <c r="I515" s="380"/>
      <c r="J515" s="159"/>
      <c r="K515" s="159"/>
      <c r="L515" s="159"/>
      <c r="M515" s="383"/>
      <c r="N515" s="380"/>
      <c r="O515" s="160"/>
      <c r="P515" s="160"/>
      <c r="Q515" s="160"/>
      <c r="R515" s="383"/>
      <c r="S515" s="380"/>
      <c r="T515" s="159"/>
      <c r="U515" s="159"/>
      <c r="V515" s="159"/>
      <c r="W515" s="380"/>
      <c r="X515" s="380"/>
      <c r="Y515" s="159"/>
      <c r="Z515" s="159"/>
      <c r="AA515" s="159"/>
      <c r="AB515" s="383"/>
    </row>
    <row r="516" spans="1:28" ht="18" customHeight="1" x14ac:dyDescent="0.2">
      <c r="A516" s="395"/>
      <c r="B516" s="161" t="s">
        <v>329</v>
      </c>
      <c r="C516" s="383"/>
      <c r="D516" s="380"/>
      <c r="E516" s="159"/>
      <c r="F516" s="159"/>
      <c r="G516" s="159"/>
      <c r="H516" s="383"/>
      <c r="I516" s="380"/>
      <c r="J516" s="159"/>
      <c r="K516" s="159"/>
      <c r="L516" s="159"/>
      <c r="M516" s="383"/>
      <c r="N516" s="380"/>
      <c r="O516" s="160"/>
      <c r="P516" s="160"/>
      <c r="Q516" s="160"/>
      <c r="R516" s="383"/>
      <c r="S516" s="380"/>
      <c r="T516" s="159"/>
      <c r="U516" s="159"/>
      <c r="V516" s="159"/>
      <c r="W516" s="380"/>
      <c r="X516" s="380"/>
      <c r="Y516" s="159"/>
      <c r="Z516" s="159"/>
      <c r="AA516" s="159"/>
      <c r="AB516" s="383"/>
    </row>
    <row r="517" spans="1:28" ht="18" customHeight="1" x14ac:dyDescent="0.2">
      <c r="A517" s="396"/>
      <c r="B517" s="209" t="s">
        <v>585</v>
      </c>
      <c r="C517" s="384"/>
      <c r="D517" s="381"/>
      <c r="E517" s="159"/>
      <c r="F517" s="159"/>
      <c r="G517" s="159"/>
      <c r="H517" s="384"/>
      <c r="I517" s="381"/>
      <c r="J517" s="159"/>
      <c r="K517" s="159"/>
      <c r="L517" s="159"/>
      <c r="M517" s="384"/>
      <c r="N517" s="381"/>
      <c r="O517" s="160"/>
      <c r="P517" s="160"/>
      <c r="Q517" s="160"/>
      <c r="R517" s="384"/>
      <c r="S517" s="381"/>
      <c r="T517" s="159"/>
      <c r="U517" s="159"/>
      <c r="V517" s="159"/>
      <c r="W517" s="381"/>
      <c r="X517" s="381"/>
      <c r="Y517" s="159"/>
      <c r="Z517" s="159"/>
      <c r="AA517" s="159"/>
      <c r="AB517" s="384"/>
    </row>
    <row r="518" spans="1:28" ht="18" customHeight="1" x14ac:dyDescent="0.2">
      <c r="A518" s="147" t="s">
        <v>473</v>
      </c>
      <c r="B518" s="181" t="s">
        <v>229</v>
      </c>
      <c r="C518" s="210">
        <f>SUM(D518:G518)</f>
        <v>1700</v>
      </c>
      <c r="D518" s="159">
        <v>1700</v>
      </c>
      <c r="E518" s="159"/>
      <c r="F518" s="159"/>
      <c r="G518" s="159"/>
      <c r="H518" s="210">
        <f>I518</f>
        <v>2742</v>
      </c>
      <c r="I518" s="159">
        <f>2000+147+411+184</f>
        <v>2742</v>
      </c>
      <c r="J518" s="159"/>
      <c r="K518" s="159"/>
      <c r="L518" s="159"/>
      <c r="M518" s="210">
        <f>N518</f>
        <v>2996</v>
      </c>
      <c r="N518" s="159">
        <f>2000+996</f>
        <v>2996</v>
      </c>
      <c r="O518" s="160"/>
      <c r="P518" s="160"/>
      <c r="Q518" s="160"/>
      <c r="R518" s="182">
        <f>S518</f>
        <v>5529</v>
      </c>
      <c r="S518" s="160">
        <f>2000+3529+1838-1838</f>
        <v>5529</v>
      </c>
      <c r="T518" s="160"/>
      <c r="U518" s="160"/>
      <c r="V518" s="160"/>
      <c r="W518" s="182">
        <f>X518</f>
        <v>0</v>
      </c>
      <c r="X518" s="160">
        <f>4500+1029+2742-8271</f>
        <v>0</v>
      </c>
      <c r="Y518" s="160"/>
      <c r="Z518" s="160"/>
      <c r="AA518" s="160"/>
      <c r="AB518" s="182">
        <f>R518+W518+C518+H518+M518</f>
        <v>12967</v>
      </c>
    </row>
    <row r="519" spans="1:28" ht="18" customHeight="1" x14ac:dyDescent="0.2">
      <c r="A519" s="147" t="s">
        <v>474</v>
      </c>
      <c r="B519" s="181" t="s">
        <v>55</v>
      </c>
      <c r="C519" s="210">
        <f>SUM(D519:G519)</f>
        <v>0</v>
      </c>
      <c r="D519" s="159">
        <v>0</v>
      </c>
      <c r="E519" s="159">
        <v>0</v>
      </c>
      <c r="F519" s="159">
        <v>0</v>
      </c>
      <c r="G519" s="159">
        <v>0</v>
      </c>
      <c r="H519" s="210">
        <f>SUM(I519:L519)</f>
        <v>0</v>
      </c>
      <c r="I519" s="159">
        <v>0</v>
      </c>
      <c r="J519" s="159">
        <v>0</v>
      </c>
      <c r="K519" s="159">
        <v>0</v>
      </c>
      <c r="L519" s="159">
        <v>0</v>
      </c>
      <c r="M519" s="210">
        <f>SUM(N519:Q519)</f>
        <v>0</v>
      </c>
      <c r="N519" s="159">
        <v>0</v>
      </c>
      <c r="O519" s="160">
        <v>0</v>
      </c>
      <c r="P519" s="160">
        <v>0</v>
      </c>
      <c r="Q519" s="160">
        <v>0</v>
      </c>
      <c r="R519" s="182">
        <f>SUM(S519:V519)</f>
        <v>0</v>
      </c>
      <c r="S519" s="160">
        <v>0</v>
      </c>
      <c r="T519" s="160">
        <v>0</v>
      </c>
      <c r="U519" s="160">
        <v>0</v>
      </c>
      <c r="V519" s="160">
        <v>0</v>
      </c>
      <c r="W519" s="182">
        <f>SUM(X519:AA519)</f>
        <v>0</v>
      </c>
      <c r="X519" s="160">
        <v>0</v>
      </c>
      <c r="Y519" s="160">
        <v>0</v>
      </c>
      <c r="Z519" s="160">
        <v>0</v>
      </c>
      <c r="AA519" s="160">
        <v>0</v>
      </c>
      <c r="AB519" s="182">
        <f>C519+H519+M519+R519+W519</f>
        <v>0</v>
      </c>
    </row>
    <row r="520" spans="1:28" ht="18" customHeight="1" x14ac:dyDescent="0.2">
      <c r="A520" s="147" t="s">
        <v>475</v>
      </c>
      <c r="B520" s="181" t="s">
        <v>54</v>
      </c>
      <c r="C520" s="210">
        <f>SUM(D520:G520)</f>
        <v>3594</v>
      </c>
      <c r="D520" s="159">
        <v>3594</v>
      </c>
      <c r="E520" s="159">
        <v>0</v>
      </c>
      <c r="F520" s="159">
        <v>0</v>
      </c>
      <c r="G520" s="159">
        <v>0</v>
      </c>
      <c r="H520" s="210">
        <f>SUM(I520:L520)</f>
        <v>3788</v>
      </c>
      <c r="I520" s="159">
        <f>4176-388</f>
        <v>3788</v>
      </c>
      <c r="J520" s="159">
        <v>0</v>
      </c>
      <c r="K520" s="159">
        <v>0</v>
      </c>
      <c r="L520" s="159">
        <v>0</v>
      </c>
      <c r="M520" s="210">
        <f>SUM(N520:Q520)</f>
        <v>5988</v>
      </c>
      <c r="N520" s="159">
        <f>4575-399+1812</f>
        <v>5988</v>
      </c>
      <c r="O520" s="160">
        <v>0</v>
      </c>
      <c r="P520" s="160">
        <v>0</v>
      </c>
      <c r="Q520" s="160">
        <v>0</v>
      </c>
      <c r="R520" s="182">
        <f>SUM(S520:V520)</f>
        <v>3108</v>
      </c>
      <c r="S520" s="160">
        <f>4342+1005-1608-95-536</f>
        <v>3108</v>
      </c>
      <c r="T520" s="160">
        <v>0</v>
      </c>
      <c r="U520" s="160">
        <v>0</v>
      </c>
      <c r="V520" s="160">
        <v>0</v>
      </c>
      <c r="W520" s="182">
        <f>SUM(X520:AA520)</f>
        <v>5509</v>
      </c>
      <c r="X520" s="160">
        <f>4176+166-1768+2935</f>
        <v>5509</v>
      </c>
      <c r="Y520" s="160">
        <v>0</v>
      </c>
      <c r="Z520" s="160">
        <v>0</v>
      </c>
      <c r="AA520" s="160">
        <v>0</v>
      </c>
      <c r="AB520" s="182">
        <f>C520+H520+M520+R520+W520</f>
        <v>21987</v>
      </c>
    </row>
    <row r="521" spans="1:28" ht="18" customHeight="1" x14ac:dyDescent="0.2">
      <c r="A521" s="410" t="s">
        <v>476</v>
      </c>
      <c r="B521" s="162" t="s">
        <v>447</v>
      </c>
      <c r="C521" s="387">
        <f>SUM(D521:G521)</f>
        <v>0</v>
      </c>
      <c r="D521" s="379">
        <v>0</v>
      </c>
      <c r="E521" s="159">
        <v>0</v>
      </c>
      <c r="F521" s="159">
        <v>0</v>
      </c>
      <c r="G521" s="159">
        <v>0</v>
      </c>
      <c r="H521" s="382">
        <f>SUM(I521:L521)</f>
        <v>716</v>
      </c>
      <c r="I521" s="379">
        <f>1557-841</f>
        <v>716</v>
      </c>
      <c r="J521" s="159">
        <v>0</v>
      </c>
      <c r="K521" s="159">
        <v>0</v>
      </c>
      <c r="L521" s="159">
        <v>0</v>
      </c>
      <c r="M521" s="382">
        <f>SUM(N521:Q521)</f>
        <v>1049</v>
      </c>
      <c r="N521" s="379">
        <f>117+684-117-486+518+687+161+23+130-668</f>
        <v>1049</v>
      </c>
      <c r="O521" s="160">
        <v>0</v>
      </c>
      <c r="P521" s="160">
        <v>0</v>
      </c>
      <c r="Q521" s="160">
        <v>0</v>
      </c>
      <c r="R521" s="382">
        <f>SUM(S521:V521)</f>
        <v>5072</v>
      </c>
      <c r="S521" s="379">
        <f>716-113+4656-408+221</f>
        <v>5072</v>
      </c>
      <c r="T521" s="159">
        <v>0</v>
      </c>
      <c r="U521" s="159">
        <v>0</v>
      </c>
      <c r="V521" s="159">
        <v>0</v>
      </c>
      <c r="W521" s="382">
        <f>SUM(X521:AA521)</f>
        <v>0</v>
      </c>
      <c r="X521" s="379">
        <v>0</v>
      </c>
      <c r="Y521" s="159">
        <v>0</v>
      </c>
      <c r="Z521" s="159">
        <v>0</v>
      </c>
      <c r="AA521" s="159">
        <v>0</v>
      </c>
      <c r="AB521" s="382">
        <f>C521+H521+M521+R521+W521</f>
        <v>6837</v>
      </c>
    </row>
    <row r="522" spans="1:28" ht="18" customHeight="1" x14ac:dyDescent="0.2">
      <c r="A522" s="394"/>
      <c r="B522" s="161" t="s">
        <v>148</v>
      </c>
      <c r="C522" s="383"/>
      <c r="D522" s="380"/>
      <c r="E522" s="159"/>
      <c r="F522" s="159"/>
      <c r="G522" s="159"/>
      <c r="H522" s="383"/>
      <c r="I522" s="380"/>
      <c r="J522" s="159"/>
      <c r="K522" s="159"/>
      <c r="L522" s="159"/>
      <c r="M522" s="383"/>
      <c r="N522" s="380"/>
      <c r="O522" s="160"/>
      <c r="P522" s="160"/>
      <c r="Q522" s="160"/>
      <c r="R522" s="383"/>
      <c r="S522" s="380"/>
      <c r="T522" s="159"/>
      <c r="U522" s="159"/>
      <c r="V522" s="159"/>
      <c r="W522" s="383"/>
      <c r="X522" s="380"/>
      <c r="Y522" s="159"/>
      <c r="Z522" s="159"/>
      <c r="AA522" s="159"/>
      <c r="AB522" s="383"/>
    </row>
    <row r="523" spans="1:28" ht="18" customHeight="1" x14ac:dyDescent="0.2">
      <c r="A523" s="394"/>
      <c r="B523" s="162" t="s">
        <v>1096</v>
      </c>
      <c r="C523" s="383"/>
      <c r="D523" s="380"/>
      <c r="E523" s="159"/>
      <c r="F523" s="159"/>
      <c r="G523" s="159"/>
      <c r="H523" s="383"/>
      <c r="I523" s="380"/>
      <c r="J523" s="159"/>
      <c r="K523" s="159"/>
      <c r="L523" s="159"/>
      <c r="M523" s="383"/>
      <c r="N523" s="380"/>
      <c r="O523" s="160"/>
      <c r="P523" s="160"/>
      <c r="Q523" s="160"/>
      <c r="R523" s="383"/>
      <c r="S523" s="380"/>
      <c r="T523" s="159"/>
      <c r="U523" s="159"/>
      <c r="V523" s="159"/>
      <c r="W523" s="383"/>
      <c r="X523" s="380"/>
      <c r="Y523" s="159"/>
      <c r="Z523" s="159"/>
      <c r="AA523" s="159"/>
      <c r="AB523" s="383"/>
    </row>
    <row r="524" spans="1:28" ht="18" customHeight="1" x14ac:dyDescent="0.2">
      <c r="A524" s="394"/>
      <c r="B524" s="162" t="s">
        <v>1097</v>
      </c>
      <c r="C524" s="383"/>
      <c r="D524" s="380"/>
      <c r="E524" s="159"/>
      <c r="F524" s="159"/>
      <c r="G524" s="159"/>
      <c r="H524" s="383"/>
      <c r="I524" s="380"/>
      <c r="J524" s="159"/>
      <c r="K524" s="159"/>
      <c r="L524" s="159"/>
      <c r="M524" s="383"/>
      <c r="N524" s="380"/>
      <c r="O524" s="160"/>
      <c r="P524" s="160"/>
      <c r="Q524" s="160"/>
      <c r="R524" s="383"/>
      <c r="S524" s="380"/>
      <c r="T524" s="159"/>
      <c r="U524" s="159"/>
      <c r="V524" s="159"/>
      <c r="W524" s="383"/>
      <c r="X524" s="380"/>
      <c r="Y524" s="159"/>
      <c r="Z524" s="159"/>
      <c r="AA524" s="159"/>
      <c r="AB524" s="383"/>
    </row>
    <row r="525" spans="1:28" ht="18" customHeight="1" x14ac:dyDescent="0.2">
      <c r="A525" s="394"/>
      <c r="B525" s="162" t="s">
        <v>1098</v>
      </c>
      <c r="C525" s="383"/>
      <c r="D525" s="380"/>
      <c r="E525" s="159"/>
      <c r="F525" s="159"/>
      <c r="G525" s="159"/>
      <c r="H525" s="383"/>
      <c r="I525" s="380"/>
      <c r="J525" s="159"/>
      <c r="K525" s="159"/>
      <c r="L525" s="159"/>
      <c r="M525" s="383"/>
      <c r="N525" s="380"/>
      <c r="O525" s="160"/>
      <c r="P525" s="160"/>
      <c r="Q525" s="160"/>
      <c r="R525" s="383"/>
      <c r="S525" s="380"/>
      <c r="T525" s="159"/>
      <c r="U525" s="159"/>
      <c r="V525" s="159"/>
      <c r="W525" s="383"/>
      <c r="X525" s="380"/>
      <c r="Y525" s="159"/>
      <c r="Z525" s="159"/>
      <c r="AA525" s="159"/>
      <c r="AB525" s="383"/>
    </row>
    <row r="526" spans="1:28" ht="18" customHeight="1" x14ac:dyDescent="0.2">
      <c r="A526" s="394"/>
      <c r="B526" s="162" t="s">
        <v>1099</v>
      </c>
      <c r="C526" s="383"/>
      <c r="D526" s="380"/>
      <c r="E526" s="159"/>
      <c r="F526" s="159"/>
      <c r="G526" s="159"/>
      <c r="H526" s="383"/>
      <c r="I526" s="380"/>
      <c r="J526" s="159"/>
      <c r="K526" s="159"/>
      <c r="L526" s="159"/>
      <c r="M526" s="383"/>
      <c r="N526" s="380"/>
      <c r="O526" s="160"/>
      <c r="P526" s="160"/>
      <c r="Q526" s="160"/>
      <c r="R526" s="383"/>
      <c r="S526" s="380"/>
      <c r="T526" s="159"/>
      <c r="U526" s="159"/>
      <c r="V526" s="159"/>
      <c r="W526" s="383"/>
      <c r="X526" s="380"/>
      <c r="Y526" s="159"/>
      <c r="Z526" s="159"/>
      <c r="AA526" s="159"/>
      <c r="AB526" s="383"/>
    </row>
    <row r="527" spans="1:28" ht="18" customHeight="1" x14ac:dyDescent="0.2">
      <c r="A527" s="394"/>
      <c r="B527" s="161" t="s">
        <v>329</v>
      </c>
      <c r="C527" s="383"/>
      <c r="D527" s="380"/>
      <c r="E527" s="159"/>
      <c r="F527" s="159"/>
      <c r="G527" s="159"/>
      <c r="H527" s="383"/>
      <c r="I527" s="380"/>
      <c r="J527" s="159"/>
      <c r="K527" s="159"/>
      <c r="L527" s="159"/>
      <c r="M527" s="383"/>
      <c r="N527" s="380"/>
      <c r="O527" s="160"/>
      <c r="P527" s="160"/>
      <c r="Q527" s="160"/>
      <c r="R527" s="383"/>
      <c r="S527" s="380"/>
      <c r="T527" s="159"/>
      <c r="U527" s="159"/>
      <c r="V527" s="159"/>
      <c r="W527" s="383"/>
      <c r="X527" s="380"/>
      <c r="Y527" s="159"/>
      <c r="Z527" s="159"/>
      <c r="AA527" s="159"/>
      <c r="AB527" s="383"/>
    </row>
    <row r="528" spans="1:28" ht="32.25" customHeight="1" x14ac:dyDescent="0.2">
      <c r="A528" s="394"/>
      <c r="B528" s="162" t="s">
        <v>1100</v>
      </c>
      <c r="C528" s="383"/>
      <c r="D528" s="380"/>
      <c r="E528" s="159"/>
      <c r="F528" s="159"/>
      <c r="G528" s="159"/>
      <c r="H528" s="383"/>
      <c r="I528" s="380"/>
      <c r="J528" s="159"/>
      <c r="K528" s="159"/>
      <c r="L528" s="159"/>
      <c r="M528" s="383"/>
      <c r="N528" s="380"/>
      <c r="O528" s="160"/>
      <c r="P528" s="160"/>
      <c r="Q528" s="160"/>
      <c r="R528" s="383"/>
      <c r="S528" s="380"/>
      <c r="T528" s="159"/>
      <c r="U528" s="159"/>
      <c r="V528" s="159"/>
      <c r="W528" s="383"/>
      <c r="X528" s="380"/>
      <c r="Y528" s="159"/>
      <c r="Z528" s="159"/>
      <c r="AA528" s="159"/>
      <c r="AB528" s="383"/>
    </row>
    <row r="529" spans="1:28" ht="33.75" customHeight="1" x14ac:dyDescent="0.2">
      <c r="A529" s="394"/>
      <c r="B529" s="162" t="s">
        <v>1101</v>
      </c>
      <c r="C529" s="383"/>
      <c r="D529" s="380"/>
      <c r="E529" s="159"/>
      <c r="F529" s="159"/>
      <c r="G529" s="159"/>
      <c r="H529" s="383"/>
      <c r="I529" s="380"/>
      <c r="J529" s="159"/>
      <c r="K529" s="159"/>
      <c r="L529" s="159"/>
      <c r="M529" s="383"/>
      <c r="N529" s="380"/>
      <c r="O529" s="160"/>
      <c r="P529" s="160"/>
      <c r="Q529" s="160"/>
      <c r="R529" s="383"/>
      <c r="S529" s="380"/>
      <c r="T529" s="159"/>
      <c r="U529" s="159"/>
      <c r="V529" s="159"/>
      <c r="W529" s="383"/>
      <c r="X529" s="380"/>
      <c r="Y529" s="159"/>
      <c r="Z529" s="159"/>
      <c r="AA529" s="159"/>
      <c r="AB529" s="383"/>
    </row>
    <row r="530" spans="1:28" ht="33.75" customHeight="1" x14ac:dyDescent="0.2">
      <c r="A530" s="394"/>
      <c r="B530" s="162" t="s">
        <v>1102</v>
      </c>
      <c r="C530" s="383"/>
      <c r="D530" s="380"/>
      <c r="E530" s="159"/>
      <c r="F530" s="159"/>
      <c r="G530" s="159"/>
      <c r="H530" s="383"/>
      <c r="I530" s="380"/>
      <c r="J530" s="159"/>
      <c r="K530" s="159"/>
      <c r="L530" s="159"/>
      <c r="M530" s="383"/>
      <c r="N530" s="380"/>
      <c r="O530" s="160"/>
      <c r="P530" s="160"/>
      <c r="Q530" s="160"/>
      <c r="R530" s="383"/>
      <c r="S530" s="380"/>
      <c r="T530" s="159"/>
      <c r="U530" s="159"/>
      <c r="V530" s="159"/>
      <c r="W530" s="383"/>
      <c r="X530" s="380"/>
      <c r="Y530" s="159"/>
      <c r="Z530" s="159"/>
      <c r="AA530" s="159"/>
      <c r="AB530" s="383"/>
    </row>
    <row r="531" spans="1:28" ht="18" customHeight="1" x14ac:dyDescent="0.2">
      <c r="A531" s="394"/>
      <c r="B531" s="161" t="s">
        <v>382</v>
      </c>
      <c r="C531" s="383"/>
      <c r="D531" s="380"/>
      <c r="E531" s="159"/>
      <c r="F531" s="159"/>
      <c r="G531" s="159"/>
      <c r="H531" s="383"/>
      <c r="I531" s="380"/>
      <c r="J531" s="159"/>
      <c r="K531" s="159"/>
      <c r="L531" s="159"/>
      <c r="M531" s="383"/>
      <c r="N531" s="380"/>
      <c r="O531" s="160"/>
      <c r="P531" s="160"/>
      <c r="Q531" s="160"/>
      <c r="R531" s="383"/>
      <c r="S531" s="380"/>
      <c r="T531" s="159"/>
      <c r="U531" s="159"/>
      <c r="V531" s="159"/>
      <c r="W531" s="383"/>
      <c r="X531" s="380"/>
      <c r="Y531" s="159"/>
      <c r="Z531" s="159"/>
      <c r="AA531" s="159"/>
      <c r="AB531" s="383"/>
    </row>
    <row r="532" spans="1:28" ht="18" customHeight="1" x14ac:dyDescent="0.2">
      <c r="A532" s="394"/>
      <c r="B532" s="162" t="s">
        <v>1103</v>
      </c>
      <c r="C532" s="383"/>
      <c r="D532" s="380"/>
      <c r="E532" s="165"/>
      <c r="F532" s="165"/>
      <c r="G532" s="165"/>
      <c r="H532" s="383"/>
      <c r="I532" s="380"/>
      <c r="J532" s="165"/>
      <c r="K532" s="165"/>
      <c r="L532" s="165"/>
      <c r="M532" s="383"/>
      <c r="N532" s="380"/>
      <c r="O532" s="166"/>
      <c r="P532" s="166"/>
      <c r="Q532" s="166"/>
      <c r="R532" s="383"/>
      <c r="S532" s="380"/>
      <c r="T532" s="165"/>
      <c r="U532" s="165"/>
      <c r="V532" s="165"/>
      <c r="W532" s="383"/>
      <c r="X532" s="380"/>
      <c r="Y532" s="165"/>
      <c r="Z532" s="165"/>
      <c r="AA532" s="165"/>
      <c r="AB532" s="383"/>
    </row>
    <row r="533" spans="1:28" ht="18" customHeight="1" x14ac:dyDescent="0.2">
      <c r="A533" s="394"/>
      <c r="B533" s="162" t="s">
        <v>1104</v>
      </c>
      <c r="C533" s="383"/>
      <c r="D533" s="380"/>
      <c r="E533" s="165"/>
      <c r="F533" s="165"/>
      <c r="G533" s="165"/>
      <c r="H533" s="383"/>
      <c r="I533" s="380"/>
      <c r="J533" s="165"/>
      <c r="K533" s="165"/>
      <c r="L533" s="165"/>
      <c r="M533" s="383"/>
      <c r="N533" s="380"/>
      <c r="O533" s="166"/>
      <c r="P533" s="166"/>
      <c r="Q533" s="166"/>
      <c r="R533" s="383"/>
      <c r="S533" s="380"/>
      <c r="T533" s="165"/>
      <c r="U533" s="165"/>
      <c r="V533" s="165"/>
      <c r="W533" s="383"/>
      <c r="X533" s="380"/>
      <c r="Y533" s="165"/>
      <c r="Z533" s="165"/>
      <c r="AA533" s="165"/>
      <c r="AB533" s="383"/>
    </row>
    <row r="534" spans="1:28" ht="18" customHeight="1" x14ac:dyDescent="0.2">
      <c r="A534" s="394"/>
      <c r="B534" s="162" t="s">
        <v>1105</v>
      </c>
      <c r="C534" s="383"/>
      <c r="D534" s="380"/>
      <c r="E534" s="165"/>
      <c r="F534" s="165"/>
      <c r="G534" s="165"/>
      <c r="H534" s="383"/>
      <c r="I534" s="380"/>
      <c r="J534" s="165"/>
      <c r="K534" s="165"/>
      <c r="L534" s="165"/>
      <c r="M534" s="383"/>
      <c r="N534" s="380"/>
      <c r="O534" s="166"/>
      <c r="P534" s="166"/>
      <c r="Q534" s="166"/>
      <c r="R534" s="383"/>
      <c r="S534" s="380"/>
      <c r="T534" s="165"/>
      <c r="U534" s="165"/>
      <c r="V534" s="165"/>
      <c r="W534" s="383"/>
      <c r="X534" s="380"/>
      <c r="Y534" s="165"/>
      <c r="Z534" s="165"/>
      <c r="AA534" s="165"/>
      <c r="AB534" s="383"/>
    </row>
    <row r="535" spans="1:28" ht="18" customHeight="1" x14ac:dyDescent="0.2">
      <c r="A535" s="394"/>
      <c r="B535" s="162" t="s">
        <v>1106</v>
      </c>
      <c r="C535" s="383"/>
      <c r="D535" s="380"/>
      <c r="E535" s="165"/>
      <c r="F535" s="165"/>
      <c r="G535" s="165"/>
      <c r="H535" s="383"/>
      <c r="I535" s="380"/>
      <c r="J535" s="165"/>
      <c r="K535" s="165"/>
      <c r="L535" s="165"/>
      <c r="M535" s="383"/>
      <c r="N535" s="380"/>
      <c r="O535" s="166"/>
      <c r="P535" s="166"/>
      <c r="Q535" s="166"/>
      <c r="R535" s="383"/>
      <c r="S535" s="380"/>
      <c r="T535" s="165"/>
      <c r="U535" s="165"/>
      <c r="V535" s="165"/>
      <c r="W535" s="383"/>
      <c r="X535" s="380"/>
      <c r="Y535" s="165"/>
      <c r="Z535" s="165"/>
      <c r="AA535" s="165"/>
      <c r="AB535" s="383"/>
    </row>
    <row r="536" spans="1:28" ht="18" customHeight="1" x14ac:dyDescent="0.2">
      <c r="A536" s="394"/>
      <c r="B536" s="162" t="s">
        <v>1107</v>
      </c>
      <c r="C536" s="383"/>
      <c r="D536" s="380"/>
      <c r="E536" s="165"/>
      <c r="F536" s="165"/>
      <c r="G536" s="165"/>
      <c r="H536" s="383"/>
      <c r="I536" s="380"/>
      <c r="J536" s="165"/>
      <c r="K536" s="165"/>
      <c r="L536" s="165"/>
      <c r="M536" s="383"/>
      <c r="N536" s="380"/>
      <c r="O536" s="166"/>
      <c r="P536" s="166"/>
      <c r="Q536" s="166"/>
      <c r="R536" s="383"/>
      <c r="S536" s="380"/>
      <c r="T536" s="165"/>
      <c r="U536" s="165"/>
      <c r="V536" s="165"/>
      <c r="W536" s="383"/>
      <c r="X536" s="380"/>
      <c r="Y536" s="165"/>
      <c r="Z536" s="165"/>
      <c r="AA536" s="165"/>
      <c r="AB536" s="383"/>
    </row>
    <row r="537" spans="1:28" ht="18" customHeight="1" x14ac:dyDescent="0.2">
      <c r="A537" s="394"/>
      <c r="B537" s="162" t="s">
        <v>1108</v>
      </c>
      <c r="C537" s="383"/>
      <c r="D537" s="380"/>
      <c r="E537" s="165"/>
      <c r="F537" s="165"/>
      <c r="G537" s="165"/>
      <c r="H537" s="383"/>
      <c r="I537" s="380"/>
      <c r="J537" s="165"/>
      <c r="K537" s="165"/>
      <c r="L537" s="165"/>
      <c r="M537" s="383"/>
      <c r="N537" s="380"/>
      <c r="O537" s="166"/>
      <c r="P537" s="166"/>
      <c r="Q537" s="166"/>
      <c r="R537" s="383"/>
      <c r="S537" s="380"/>
      <c r="T537" s="165"/>
      <c r="U537" s="165"/>
      <c r="V537" s="165"/>
      <c r="W537" s="383"/>
      <c r="X537" s="380"/>
      <c r="Y537" s="165"/>
      <c r="Z537" s="165"/>
      <c r="AA537" s="165"/>
      <c r="AB537" s="383"/>
    </row>
    <row r="538" spans="1:28" ht="18" customHeight="1" x14ac:dyDescent="0.2">
      <c r="A538" s="394"/>
      <c r="B538" s="162" t="s">
        <v>1109</v>
      </c>
      <c r="C538" s="383"/>
      <c r="D538" s="380"/>
      <c r="E538" s="165"/>
      <c r="F538" s="165"/>
      <c r="G538" s="165"/>
      <c r="H538" s="383"/>
      <c r="I538" s="380"/>
      <c r="J538" s="165"/>
      <c r="K538" s="165"/>
      <c r="L538" s="165"/>
      <c r="M538" s="383"/>
      <c r="N538" s="380"/>
      <c r="O538" s="166"/>
      <c r="P538" s="166"/>
      <c r="Q538" s="166"/>
      <c r="R538" s="383"/>
      <c r="S538" s="380"/>
      <c r="T538" s="165"/>
      <c r="U538" s="165"/>
      <c r="V538" s="165"/>
      <c r="W538" s="383"/>
      <c r="X538" s="380"/>
      <c r="Y538" s="165"/>
      <c r="Z538" s="165"/>
      <c r="AA538" s="165"/>
      <c r="AB538" s="383"/>
    </row>
    <row r="539" spans="1:28" ht="18" customHeight="1" x14ac:dyDescent="0.2">
      <c r="A539" s="394"/>
      <c r="B539" s="162" t="s">
        <v>1110</v>
      </c>
      <c r="C539" s="383"/>
      <c r="D539" s="380"/>
      <c r="E539" s="165"/>
      <c r="F539" s="165"/>
      <c r="G539" s="165"/>
      <c r="H539" s="383"/>
      <c r="I539" s="380"/>
      <c r="J539" s="165"/>
      <c r="K539" s="165"/>
      <c r="L539" s="165"/>
      <c r="M539" s="383"/>
      <c r="N539" s="380"/>
      <c r="O539" s="166"/>
      <c r="P539" s="166"/>
      <c r="Q539" s="166"/>
      <c r="R539" s="383"/>
      <c r="S539" s="380"/>
      <c r="T539" s="165"/>
      <c r="U539" s="165"/>
      <c r="V539" s="165"/>
      <c r="W539" s="383"/>
      <c r="X539" s="380"/>
      <c r="Y539" s="165"/>
      <c r="Z539" s="165"/>
      <c r="AA539" s="165"/>
      <c r="AB539" s="383"/>
    </row>
    <row r="540" spans="1:28" ht="39.75" customHeight="1" x14ac:dyDescent="0.2">
      <c r="A540" s="394"/>
      <c r="B540" s="162" t="s">
        <v>1111</v>
      </c>
      <c r="C540" s="383"/>
      <c r="D540" s="380"/>
      <c r="E540" s="165"/>
      <c r="F540" s="165"/>
      <c r="G540" s="165"/>
      <c r="H540" s="383"/>
      <c r="I540" s="380"/>
      <c r="J540" s="165"/>
      <c r="K540" s="165"/>
      <c r="L540" s="165"/>
      <c r="M540" s="383"/>
      <c r="N540" s="380"/>
      <c r="O540" s="166"/>
      <c r="P540" s="166"/>
      <c r="Q540" s="166"/>
      <c r="R540" s="383"/>
      <c r="S540" s="380"/>
      <c r="T540" s="165"/>
      <c r="U540" s="165"/>
      <c r="V540" s="165"/>
      <c r="W540" s="383"/>
      <c r="X540" s="380"/>
      <c r="Y540" s="165"/>
      <c r="Z540" s="165"/>
      <c r="AA540" s="165"/>
      <c r="AB540" s="383"/>
    </row>
    <row r="541" spans="1:28" ht="18" customHeight="1" x14ac:dyDescent="0.2">
      <c r="A541" s="394"/>
      <c r="B541" s="162" t="s">
        <v>1112</v>
      </c>
      <c r="C541" s="383"/>
      <c r="D541" s="380"/>
      <c r="E541" s="165"/>
      <c r="F541" s="165"/>
      <c r="G541" s="165"/>
      <c r="H541" s="383"/>
      <c r="I541" s="380"/>
      <c r="J541" s="165"/>
      <c r="K541" s="165"/>
      <c r="L541" s="165"/>
      <c r="M541" s="383"/>
      <c r="N541" s="380"/>
      <c r="O541" s="166"/>
      <c r="P541" s="166"/>
      <c r="Q541" s="166"/>
      <c r="R541" s="383"/>
      <c r="S541" s="380"/>
      <c r="T541" s="165"/>
      <c r="U541" s="165"/>
      <c r="V541" s="165"/>
      <c r="W541" s="383"/>
      <c r="X541" s="380"/>
      <c r="Y541" s="165"/>
      <c r="Z541" s="165"/>
      <c r="AA541" s="165"/>
      <c r="AB541" s="383"/>
    </row>
    <row r="542" spans="1:28" ht="18" customHeight="1" x14ac:dyDescent="0.2">
      <c r="A542" s="394"/>
      <c r="B542" s="162" t="s">
        <v>1113</v>
      </c>
      <c r="C542" s="383"/>
      <c r="D542" s="380"/>
      <c r="E542" s="165"/>
      <c r="F542" s="165"/>
      <c r="G542" s="165"/>
      <c r="H542" s="383"/>
      <c r="I542" s="380"/>
      <c r="J542" s="165"/>
      <c r="K542" s="165"/>
      <c r="L542" s="165"/>
      <c r="M542" s="383"/>
      <c r="N542" s="381"/>
      <c r="O542" s="166"/>
      <c r="P542" s="166"/>
      <c r="Q542" s="166"/>
      <c r="R542" s="383"/>
      <c r="S542" s="380"/>
      <c r="T542" s="165"/>
      <c r="U542" s="165"/>
      <c r="V542" s="165"/>
      <c r="W542" s="383"/>
      <c r="X542" s="380"/>
      <c r="Y542" s="165"/>
      <c r="Z542" s="165"/>
      <c r="AA542" s="165"/>
      <c r="AB542" s="383"/>
    </row>
    <row r="543" spans="1:28" ht="18" customHeight="1" x14ac:dyDescent="0.2">
      <c r="A543" s="393" t="s">
        <v>477</v>
      </c>
      <c r="B543" s="158" t="s">
        <v>645</v>
      </c>
      <c r="C543" s="382">
        <v>0</v>
      </c>
      <c r="D543" s="379">
        <v>0</v>
      </c>
      <c r="E543" s="159"/>
      <c r="F543" s="159"/>
      <c r="G543" s="159"/>
      <c r="H543" s="382">
        <f>SUM(I543+L543)</f>
        <v>314</v>
      </c>
      <c r="I543" s="379">
        <v>314</v>
      </c>
      <c r="J543" s="159"/>
      <c r="K543" s="159"/>
      <c r="L543" s="159"/>
      <c r="M543" s="382">
        <f>N543</f>
        <v>314</v>
      </c>
      <c r="N543" s="379">
        <v>314</v>
      </c>
      <c r="O543" s="160"/>
      <c r="P543" s="160"/>
      <c r="Q543" s="160"/>
      <c r="R543" s="382">
        <f>SUM(S543:V543)</f>
        <v>4027</v>
      </c>
      <c r="S543" s="379">
        <f>458+2386+1183</f>
        <v>4027</v>
      </c>
      <c r="T543" s="159"/>
      <c r="U543" s="159"/>
      <c r="V543" s="159"/>
      <c r="W543" s="382">
        <v>0</v>
      </c>
      <c r="X543" s="379">
        <v>0</v>
      </c>
      <c r="Y543" s="159"/>
      <c r="Z543" s="159"/>
      <c r="AA543" s="159"/>
      <c r="AB543" s="382">
        <f>C543+H543+M543+R543+W543</f>
        <v>4655</v>
      </c>
    </row>
    <row r="544" spans="1:28" ht="18" customHeight="1" x14ac:dyDescent="0.2">
      <c r="A544" s="394"/>
      <c r="B544" s="161" t="s">
        <v>602</v>
      </c>
      <c r="C544" s="383"/>
      <c r="D544" s="380"/>
      <c r="E544" s="159"/>
      <c r="F544" s="159"/>
      <c r="G544" s="159"/>
      <c r="H544" s="383"/>
      <c r="I544" s="380"/>
      <c r="J544" s="159"/>
      <c r="K544" s="159"/>
      <c r="L544" s="159"/>
      <c r="M544" s="383"/>
      <c r="N544" s="380"/>
      <c r="O544" s="160"/>
      <c r="P544" s="160"/>
      <c r="Q544" s="160"/>
      <c r="R544" s="383"/>
      <c r="S544" s="380"/>
      <c r="T544" s="159"/>
      <c r="U544" s="159"/>
      <c r="V544" s="159"/>
      <c r="W544" s="383"/>
      <c r="X544" s="380"/>
      <c r="Y544" s="159"/>
      <c r="Z544" s="159"/>
      <c r="AA544" s="159"/>
      <c r="AB544" s="383"/>
    </row>
    <row r="545" spans="1:28" ht="18" customHeight="1" x14ac:dyDescent="0.2">
      <c r="A545" s="394"/>
      <c r="B545" s="162" t="s">
        <v>1114</v>
      </c>
      <c r="C545" s="383"/>
      <c r="D545" s="380"/>
      <c r="E545" s="159"/>
      <c r="F545" s="159"/>
      <c r="G545" s="159"/>
      <c r="H545" s="383"/>
      <c r="I545" s="380"/>
      <c r="J545" s="159"/>
      <c r="K545" s="159"/>
      <c r="L545" s="159"/>
      <c r="M545" s="383"/>
      <c r="N545" s="380"/>
      <c r="O545" s="160"/>
      <c r="P545" s="160"/>
      <c r="Q545" s="160"/>
      <c r="R545" s="383"/>
      <c r="S545" s="380"/>
      <c r="T545" s="159"/>
      <c r="U545" s="159"/>
      <c r="V545" s="159"/>
      <c r="W545" s="383"/>
      <c r="X545" s="380"/>
      <c r="Y545" s="159"/>
      <c r="Z545" s="159"/>
      <c r="AA545" s="159"/>
      <c r="AB545" s="383"/>
    </row>
    <row r="546" spans="1:28" ht="18" customHeight="1" x14ac:dyDescent="0.2">
      <c r="A546" s="394"/>
      <c r="B546" s="161" t="s">
        <v>603</v>
      </c>
      <c r="C546" s="383"/>
      <c r="D546" s="380"/>
      <c r="E546" s="159"/>
      <c r="F546" s="159"/>
      <c r="G546" s="159"/>
      <c r="H546" s="383"/>
      <c r="I546" s="380"/>
      <c r="J546" s="159"/>
      <c r="K546" s="159"/>
      <c r="L546" s="159"/>
      <c r="M546" s="383"/>
      <c r="N546" s="380"/>
      <c r="O546" s="160"/>
      <c r="P546" s="160"/>
      <c r="Q546" s="160"/>
      <c r="R546" s="383"/>
      <c r="S546" s="380"/>
      <c r="T546" s="159"/>
      <c r="U546" s="159"/>
      <c r="V546" s="159"/>
      <c r="W546" s="383"/>
      <c r="X546" s="380"/>
      <c r="Y546" s="159"/>
      <c r="Z546" s="159"/>
      <c r="AA546" s="159"/>
      <c r="AB546" s="383"/>
    </row>
    <row r="547" spans="1:28" ht="18" customHeight="1" x14ac:dyDescent="0.2">
      <c r="A547" s="394"/>
      <c r="B547" s="162" t="s">
        <v>1115</v>
      </c>
      <c r="C547" s="383"/>
      <c r="D547" s="380"/>
      <c r="E547" s="159"/>
      <c r="F547" s="159"/>
      <c r="G547" s="159"/>
      <c r="H547" s="383"/>
      <c r="I547" s="380"/>
      <c r="J547" s="159"/>
      <c r="K547" s="159"/>
      <c r="L547" s="159"/>
      <c r="M547" s="383"/>
      <c r="N547" s="380"/>
      <c r="O547" s="160"/>
      <c r="P547" s="160"/>
      <c r="Q547" s="160"/>
      <c r="R547" s="383"/>
      <c r="S547" s="380"/>
      <c r="T547" s="159"/>
      <c r="U547" s="159"/>
      <c r="V547" s="159"/>
      <c r="W547" s="383"/>
      <c r="X547" s="380"/>
      <c r="Y547" s="159"/>
      <c r="Z547" s="159"/>
      <c r="AA547" s="159"/>
      <c r="AB547" s="383"/>
    </row>
    <row r="548" spans="1:28" ht="18" customHeight="1" x14ac:dyDescent="0.2">
      <c r="A548" s="397"/>
      <c r="B548" s="197" t="s">
        <v>646</v>
      </c>
      <c r="C548" s="384"/>
      <c r="D548" s="381"/>
      <c r="E548" s="159"/>
      <c r="F548" s="159"/>
      <c r="G548" s="159"/>
      <c r="H548" s="384"/>
      <c r="I548" s="381"/>
      <c r="J548" s="159"/>
      <c r="K548" s="159"/>
      <c r="L548" s="159"/>
      <c r="M548" s="384"/>
      <c r="N548" s="381"/>
      <c r="O548" s="160"/>
      <c r="P548" s="160"/>
      <c r="Q548" s="160"/>
      <c r="R548" s="384"/>
      <c r="S548" s="381"/>
      <c r="T548" s="159"/>
      <c r="U548" s="159"/>
      <c r="V548" s="159"/>
      <c r="W548" s="384"/>
      <c r="X548" s="381"/>
      <c r="Y548" s="159"/>
      <c r="Z548" s="159"/>
      <c r="AA548" s="159"/>
      <c r="AB548" s="384"/>
    </row>
    <row r="549" spans="1:28" ht="20.25" customHeight="1" x14ac:dyDescent="0.2">
      <c r="A549" s="393" t="s">
        <v>478</v>
      </c>
      <c r="B549" s="158" t="s">
        <v>419</v>
      </c>
      <c r="C549" s="382">
        <v>0</v>
      </c>
      <c r="D549" s="379">
        <v>0</v>
      </c>
      <c r="E549" s="159"/>
      <c r="F549" s="159"/>
      <c r="G549" s="159"/>
      <c r="H549" s="382">
        <f>SUM(I549+L549)</f>
        <v>2279</v>
      </c>
      <c r="I549" s="379">
        <v>2279</v>
      </c>
      <c r="J549" s="159"/>
      <c r="K549" s="159"/>
      <c r="L549" s="159"/>
      <c r="M549" s="382">
        <f>N549</f>
        <v>0</v>
      </c>
      <c r="N549" s="379">
        <v>0</v>
      </c>
      <c r="O549" s="160"/>
      <c r="P549" s="160"/>
      <c r="Q549" s="160"/>
      <c r="R549" s="382">
        <f>SUM(S549:V549)</f>
        <v>247</v>
      </c>
      <c r="S549" s="379">
        <f>456-209</f>
        <v>247</v>
      </c>
      <c r="T549" s="159"/>
      <c r="U549" s="159"/>
      <c r="V549" s="159"/>
      <c r="W549" s="382">
        <v>0</v>
      </c>
      <c r="X549" s="379">
        <v>0</v>
      </c>
      <c r="Y549" s="159"/>
      <c r="Z549" s="159"/>
      <c r="AA549" s="159"/>
      <c r="AB549" s="382">
        <f>C549+H549+M549+R549+W549</f>
        <v>2526</v>
      </c>
    </row>
    <row r="550" spans="1:28" ht="18" customHeight="1" x14ac:dyDescent="0.2">
      <c r="A550" s="394"/>
      <c r="B550" s="161" t="s">
        <v>148</v>
      </c>
      <c r="C550" s="383"/>
      <c r="D550" s="380"/>
      <c r="E550" s="159"/>
      <c r="F550" s="159"/>
      <c r="G550" s="159"/>
      <c r="H550" s="383"/>
      <c r="I550" s="380"/>
      <c r="J550" s="159"/>
      <c r="K550" s="159"/>
      <c r="L550" s="159"/>
      <c r="M550" s="383"/>
      <c r="N550" s="380"/>
      <c r="O550" s="160"/>
      <c r="P550" s="160"/>
      <c r="Q550" s="160"/>
      <c r="R550" s="383"/>
      <c r="S550" s="380"/>
      <c r="T550" s="159"/>
      <c r="U550" s="159"/>
      <c r="V550" s="159"/>
      <c r="W550" s="383"/>
      <c r="X550" s="380"/>
      <c r="Y550" s="159"/>
      <c r="Z550" s="159"/>
      <c r="AA550" s="159"/>
      <c r="AB550" s="383"/>
    </row>
    <row r="551" spans="1:28" ht="36" customHeight="1" x14ac:dyDescent="0.2">
      <c r="A551" s="394"/>
      <c r="B551" s="162" t="s">
        <v>1116</v>
      </c>
      <c r="C551" s="383"/>
      <c r="D551" s="380"/>
      <c r="E551" s="159"/>
      <c r="F551" s="159"/>
      <c r="G551" s="159"/>
      <c r="H551" s="383"/>
      <c r="I551" s="380"/>
      <c r="J551" s="159"/>
      <c r="K551" s="159"/>
      <c r="L551" s="159"/>
      <c r="M551" s="383"/>
      <c r="N551" s="380"/>
      <c r="O551" s="160"/>
      <c r="P551" s="160"/>
      <c r="Q551" s="160"/>
      <c r="R551" s="383"/>
      <c r="S551" s="380"/>
      <c r="T551" s="159"/>
      <c r="U551" s="159"/>
      <c r="V551" s="159"/>
      <c r="W551" s="383"/>
      <c r="X551" s="380"/>
      <c r="Y551" s="159"/>
      <c r="Z551" s="159"/>
      <c r="AA551" s="159"/>
      <c r="AB551" s="383"/>
    </row>
    <row r="552" spans="1:28" ht="18" customHeight="1" x14ac:dyDescent="0.2">
      <c r="A552" s="394"/>
      <c r="B552" s="162" t="s">
        <v>1117</v>
      </c>
      <c r="C552" s="383"/>
      <c r="D552" s="380"/>
      <c r="E552" s="159"/>
      <c r="F552" s="159"/>
      <c r="G552" s="159"/>
      <c r="H552" s="383"/>
      <c r="I552" s="380"/>
      <c r="J552" s="159"/>
      <c r="K552" s="159"/>
      <c r="L552" s="159"/>
      <c r="M552" s="383"/>
      <c r="N552" s="380"/>
      <c r="O552" s="160"/>
      <c r="P552" s="160"/>
      <c r="Q552" s="160"/>
      <c r="R552" s="383"/>
      <c r="S552" s="380"/>
      <c r="T552" s="159"/>
      <c r="U552" s="159"/>
      <c r="V552" s="159"/>
      <c r="W552" s="383"/>
      <c r="X552" s="380"/>
      <c r="Y552" s="159"/>
      <c r="Z552" s="159"/>
      <c r="AA552" s="159"/>
      <c r="AB552" s="383"/>
    </row>
    <row r="553" spans="1:28" ht="18" customHeight="1" x14ac:dyDescent="0.2">
      <c r="A553" s="394"/>
      <c r="B553" s="162" t="s">
        <v>1118</v>
      </c>
      <c r="C553" s="383"/>
      <c r="D553" s="380"/>
      <c r="E553" s="159"/>
      <c r="F553" s="159"/>
      <c r="G553" s="159"/>
      <c r="H553" s="383"/>
      <c r="I553" s="380"/>
      <c r="J553" s="159"/>
      <c r="K553" s="159"/>
      <c r="L553" s="159"/>
      <c r="M553" s="383"/>
      <c r="N553" s="380"/>
      <c r="O553" s="160"/>
      <c r="P553" s="160"/>
      <c r="Q553" s="160"/>
      <c r="R553" s="383"/>
      <c r="S553" s="380"/>
      <c r="T553" s="159"/>
      <c r="U553" s="159"/>
      <c r="V553" s="159"/>
      <c r="W553" s="383"/>
      <c r="X553" s="380"/>
      <c r="Y553" s="159"/>
      <c r="Z553" s="159"/>
      <c r="AA553" s="159"/>
      <c r="AB553" s="383"/>
    </row>
    <row r="554" spans="1:28" ht="36" customHeight="1" x14ac:dyDescent="0.2">
      <c r="A554" s="394"/>
      <c r="B554" s="162" t="s">
        <v>1119</v>
      </c>
      <c r="C554" s="383"/>
      <c r="D554" s="380"/>
      <c r="E554" s="159"/>
      <c r="F554" s="159"/>
      <c r="G554" s="159"/>
      <c r="H554" s="383"/>
      <c r="I554" s="380"/>
      <c r="J554" s="159"/>
      <c r="K554" s="159"/>
      <c r="L554" s="159"/>
      <c r="M554" s="383"/>
      <c r="N554" s="380"/>
      <c r="O554" s="160"/>
      <c r="P554" s="160"/>
      <c r="Q554" s="160"/>
      <c r="R554" s="383"/>
      <c r="S554" s="380"/>
      <c r="T554" s="159"/>
      <c r="U554" s="159"/>
      <c r="V554" s="159"/>
      <c r="W554" s="383"/>
      <c r="X554" s="380"/>
      <c r="Y554" s="159"/>
      <c r="Z554" s="159"/>
      <c r="AA554" s="159"/>
      <c r="AB554" s="383"/>
    </row>
    <row r="555" spans="1:28" ht="18" customHeight="1" x14ac:dyDescent="0.2">
      <c r="A555" s="394"/>
      <c r="B555" s="162" t="s">
        <v>1120</v>
      </c>
      <c r="C555" s="383"/>
      <c r="D555" s="380"/>
      <c r="E555" s="159"/>
      <c r="F555" s="159"/>
      <c r="G555" s="159"/>
      <c r="H555" s="383"/>
      <c r="I555" s="380"/>
      <c r="J555" s="159"/>
      <c r="K555" s="159"/>
      <c r="L555" s="159"/>
      <c r="M555" s="383"/>
      <c r="N555" s="380"/>
      <c r="O555" s="160"/>
      <c r="P555" s="160"/>
      <c r="Q555" s="160"/>
      <c r="R555" s="383"/>
      <c r="S555" s="380"/>
      <c r="T555" s="159"/>
      <c r="U555" s="159"/>
      <c r="V555" s="159"/>
      <c r="W555" s="383"/>
      <c r="X555" s="380"/>
      <c r="Y555" s="159"/>
      <c r="Z555" s="159"/>
      <c r="AA555" s="159"/>
      <c r="AB555" s="383"/>
    </row>
    <row r="556" spans="1:28" ht="33" customHeight="1" x14ac:dyDescent="0.2">
      <c r="A556" s="394"/>
      <c r="B556" s="162" t="s">
        <v>1121</v>
      </c>
      <c r="C556" s="383"/>
      <c r="D556" s="380"/>
      <c r="E556" s="159"/>
      <c r="F556" s="159"/>
      <c r="G556" s="159"/>
      <c r="H556" s="383"/>
      <c r="I556" s="380"/>
      <c r="J556" s="159"/>
      <c r="K556" s="159"/>
      <c r="L556" s="159"/>
      <c r="M556" s="383"/>
      <c r="N556" s="380"/>
      <c r="O556" s="160"/>
      <c r="P556" s="160"/>
      <c r="Q556" s="160"/>
      <c r="R556" s="383"/>
      <c r="S556" s="380"/>
      <c r="T556" s="159"/>
      <c r="U556" s="159"/>
      <c r="V556" s="159"/>
      <c r="W556" s="383"/>
      <c r="X556" s="380"/>
      <c r="Y556" s="159"/>
      <c r="Z556" s="159"/>
      <c r="AA556" s="159"/>
      <c r="AB556" s="383"/>
    </row>
    <row r="557" spans="1:28" ht="18" customHeight="1" x14ac:dyDescent="0.2">
      <c r="A557" s="394"/>
      <c r="B557" s="162" t="s">
        <v>1122</v>
      </c>
      <c r="C557" s="383"/>
      <c r="D557" s="380"/>
      <c r="E557" s="159"/>
      <c r="F557" s="159"/>
      <c r="G557" s="159"/>
      <c r="H557" s="383"/>
      <c r="I557" s="380"/>
      <c r="J557" s="159"/>
      <c r="K557" s="159"/>
      <c r="L557" s="159"/>
      <c r="M557" s="383"/>
      <c r="N557" s="380"/>
      <c r="O557" s="160"/>
      <c r="P557" s="160"/>
      <c r="Q557" s="160"/>
      <c r="R557" s="383"/>
      <c r="S557" s="380"/>
      <c r="T557" s="159"/>
      <c r="U557" s="159"/>
      <c r="V557" s="159"/>
      <c r="W557" s="383"/>
      <c r="X557" s="380"/>
      <c r="Y557" s="159"/>
      <c r="Z557" s="159"/>
      <c r="AA557" s="159"/>
      <c r="AB557" s="383"/>
    </row>
    <row r="558" spans="1:28" ht="18" customHeight="1" x14ac:dyDescent="0.2">
      <c r="A558" s="394"/>
      <c r="B558" s="162" t="s">
        <v>1123</v>
      </c>
      <c r="C558" s="383"/>
      <c r="D558" s="380"/>
      <c r="E558" s="159"/>
      <c r="F558" s="159"/>
      <c r="G558" s="159"/>
      <c r="H558" s="383"/>
      <c r="I558" s="380"/>
      <c r="J558" s="159"/>
      <c r="K558" s="159"/>
      <c r="L558" s="159"/>
      <c r="M558" s="383"/>
      <c r="N558" s="380"/>
      <c r="O558" s="160"/>
      <c r="P558" s="160"/>
      <c r="Q558" s="160"/>
      <c r="R558" s="383"/>
      <c r="S558" s="380"/>
      <c r="T558" s="159"/>
      <c r="U558" s="159"/>
      <c r="V558" s="159"/>
      <c r="W558" s="383"/>
      <c r="X558" s="380"/>
      <c r="Y558" s="159"/>
      <c r="Z558" s="159"/>
      <c r="AA558" s="159"/>
      <c r="AB558" s="383"/>
    </row>
    <row r="559" spans="1:28" ht="32.25" customHeight="1" x14ac:dyDescent="0.2">
      <c r="A559" s="394"/>
      <c r="B559" s="162" t="s">
        <v>1124</v>
      </c>
      <c r="C559" s="383"/>
      <c r="D559" s="380"/>
      <c r="E559" s="159"/>
      <c r="F559" s="159"/>
      <c r="G559" s="159"/>
      <c r="H559" s="383"/>
      <c r="I559" s="380"/>
      <c r="J559" s="159"/>
      <c r="K559" s="159"/>
      <c r="L559" s="159"/>
      <c r="M559" s="383"/>
      <c r="N559" s="380"/>
      <c r="O559" s="160"/>
      <c r="P559" s="160"/>
      <c r="Q559" s="160"/>
      <c r="R559" s="383"/>
      <c r="S559" s="380"/>
      <c r="T559" s="159"/>
      <c r="U559" s="159"/>
      <c r="V559" s="159"/>
      <c r="W559" s="383"/>
      <c r="X559" s="380"/>
      <c r="Y559" s="159"/>
      <c r="Z559" s="159"/>
      <c r="AA559" s="159"/>
      <c r="AB559" s="383"/>
    </row>
    <row r="560" spans="1:28" ht="18" customHeight="1" x14ac:dyDescent="0.2">
      <c r="A560" s="394"/>
      <c r="B560" s="161" t="s">
        <v>382</v>
      </c>
      <c r="C560" s="383"/>
      <c r="D560" s="380"/>
      <c r="E560" s="159"/>
      <c r="F560" s="159"/>
      <c r="G560" s="159"/>
      <c r="H560" s="383"/>
      <c r="I560" s="380"/>
      <c r="J560" s="159"/>
      <c r="K560" s="159"/>
      <c r="L560" s="159"/>
      <c r="M560" s="383"/>
      <c r="N560" s="380"/>
      <c r="O560" s="160"/>
      <c r="P560" s="160"/>
      <c r="Q560" s="160"/>
      <c r="R560" s="383"/>
      <c r="S560" s="380"/>
      <c r="T560" s="159"/>
      <c r="U560" s="159"/>
      <c r="V560" s="159"/>
      <c r="W560" s="383"/>
      <c r="X560" s="380"/>
      <c r="Y560" s="159"/>
      <c r="Z560" s="159"/>
      <c r="AA560" s="159"/>
      <c r="AB560" s="383"/>
    </row>
    <row r="561" spans="1:28" ht="41.25" customHeight="1" x14ac:dyDescent="0.2">
      <c r="A561" s="394"/>
      <c r="B561" s="162" t="s">
        <v>1125</v>
      </c>
      <c r="C561" s="383"/>
      <c r="D561" s="380"/>
      <c r="E561" s="159"/>
      <c r="F561" s="159"/>
      <c r="G561" s="159"/>
      <c r="H561" s="383"/>
      <c r="I561" s="380"/>
      <c r="J561" s="159"/>
      <c r="K561" s="159"/>
      <c r="L561" s="159"/>
      <c r="M561" s="383"/>
      <c r="N561" s="380"/>
      <c r="O561" s="160"/>
      <c r="P561" s="160"/>
      <c r="Q561" s="160"/>
      <c r="R561" s="383"/>
      <c r="S561" s="380"/>
      <c r="T561" s="159"/>
      <c r="U561" s="159"/>
      <c r="V561" s="159"/>
      <c r="W561" s="383"/>
      <c r="X561" s="380"/>
      <c r="Y561" s="159"/>
      <c r="Z561" s="159"/>
      <c r="AA561" s="159"/>
      <c r="AB561" s="383"/>
    </row>
    <row r="562" spans="1:28" ht="24.75" customHeight="1" x14ac:dyDescent="0.2">
      <c r="A562" s="397"/>
      <c r="B562" s="197" t="s">
        <v>1126</v>
      </c>
      <c r="C562" s="384"/>
      <c r="D562" s="381"/>
      <c r="E562" s="159"/>
      <c r="F562" s="159"/>
      <c r="G562" s="159"/>
      <c r="H562" s="384"/>
      <c r="I562" s="381"/>
      <c r="J562" s="159"/>
      <c r="K562" s="159"/>
      <c r="L562" s="159"/>
      <c r="M562" s="384"/>
      <c r="N562" s="381"/>
      <c r="O562" s="160"/>
      <c r="P562" s="160"/>
      <c r="Q562" s="160"/>
      <c r="R562" s="384"/>
      <c r="S562" s="381"/>
      <c r="T562" s="159"/>
      <c r="U562" s="159"/>
      <c r="V562" s="159"/>
      <c r="W562" s="384"/>
      <c r="X562" s="381"/>
      <c r="Y562" s="159"/>
      <c r="Z562" s="159"/>
      <c r="AA562" s="159"/>
      <c r="AB562" s="384"/>
    </row>
    <row r="563" spans="1:28" ht="19.5" customHeight="1" x14ac:dyDescent="0.2">
      <c r="A563" s="400" t="s">
        <v>479</v>
      </c>
      <c r="B563" s="211" t="s">
        <v>424</v>
      </c>
      <c r="C563" s="399">
        <v>0</v>
      </c>
      <c r="D563" s="401">
        <v>0</v>
      </c>
      <c r="E563" s="159"/>
      <c r="F563" s="159"/>
      <c r="G563" s="159"/>
      <c r="H563" s="399">
        <f>SUM(I563+L563)</f>
        <v>6496</v>
      </c>
      <c r="I563" s="401">
        <v>6496</v>
      </c>
      <c r="J563" s="159"/>
      <c r="K563" s="159"/>
      <c r="L563" s="159"/>
      <c r="M563" s="399">
        <f>N563</f>
        <v>4570</v>
      </c>
      <c r="N563" s="401">
        <f>3914+214+442</f>
        <v>4570</v>
      </c>
      <c r="O563" s="160"/>
      <c r="P563" s="160"/>
      <c r="Q563" s="160"/>
      <c r="R563" s="399">
        <f>SUM(S563:V563)</f>
        <v>3197</v>
      </c>
      <c r="S563" s="401">
        <f>1403+1255+539</f>
        <v>3197</v>
      </c>
      <c r="T563" s="159"/>
      <c r="U563" s="159"/>
      <c r="V563" s="159"/>
      <c r="W563" s="399">
        <f>X563</f>
        <v>1812</v>
      </c>
      <c r="X563" s="401">
        <v>1812</v>
      </c>
      <c r="Y563" s="159"/>
      <c r="Z563" s="159"/>
      <c r="AA563" s="159"/>
      <c r="AB563" s="399">
        <f>C563+H563+M563+R563+W563</f>
        <v>16075</v>
      </c>
    </row>
    <row r="564" spans="1:28" ht="18.75" customHeight="1" x14ac:dyDescent="0.2">
      <c r="A564" s="400"/>
      <c r="B564" s="212" t="s">
        <v>148</v>
      </c>
      <c r="C564" s="399"/>
      <c r="D564" s="401"/>
      <c r="E564" s="159"/>
      <c r="F564" s="159"/>
      <c r="G564" s="159"/>
      <c r="H564" s="399"/>
      <c r="I564" s="401"/>
      <c r="J564" s="159"/>
      <c r="K564" s="159"/>
      <c r="L564" s="159"/>
      <c r="M564" s="399"/>
      <c r="N564" s="401"/>
      <c r="O564" s="160"/>
      <c r="P564" s="160"/>
      <c r="Q564" s="160"/>
      <c r="R564" s="399"/>
      <c r="S564" s="401"/>
      <c r="T564" s="159"/>
      <c r="U564" s="159"/>
      <c r="V564" s="159"/>
      <c r="W564" s="399"/>
      <c r="X564" s="401"/>
      <c r="Y564" s="159"/>
      <c r="Z564" s="159"/>
      <c r="AA564" s="159"/>
      <c r="AB564" s="399"/>
    </row>
    <row r="565" spans="1:28" ht="18.75" customHeight="1" x14ac:dyDescent="0.2">
      <c r="A565" s="400"/>
      <c r="B565" s="202" t="s">
        <v>1127</v>
      </c>
      <c r="C565" s="399"/>
      <c r="D565" s="401"/>
      <c r="E565" s="159"/>
      <c r="F565" s="159"/>
      <c r="G565" s="159"/>
      <c r="H565" s="399"/>
      <c r="I565" s="401"/>
      <c r="J565" s="159"/>
      <c r="K565" s="159"/>
      <c r="L565" s="159"/>
      <c r="M565" s="399"/>
      <c r="N565" s="401"/>
      <c r="O565" s="160"/>
      <c r="P565" s="160"/>
      <c r="Q565" s="160"/>
      <c r="R565" s="399"/>
      <c r="S565" s="401"/>
      <c r="T565" s="159"/>
      <c r="U565" s="159"/>
      <c r="V565" s="159"/>
      <c r="W565" s="399"/>
      <c r="X565" s="401"/>
      <c r="Y565" s="159"/>
      <c r="Z565" s="159"/>
      <c r="AA565" s="159"/>
      <c r="AB565" s="399"/>
    </row>
    <row r="566" spans="1:28" ht="30.75" customHeight="1" x14ac:dyDescent="0.25">
      <c r="A566" s="400"/>
      <c r="B566" s="213" t="s">
        <v>1128</v>
      </c>
      <c r="C566" s="399"/>
      <c r="D566" s="401"/>
      <c r="E566" s="159"/>
      <c r="F566" s="159"/>
      <c r="G566" s="159"/>
      <c r="H566" s="399"/>
      <c r="I566" s="401"/>
      <c r="J566" s="159"/>
      <c r="K566" s="159"/>
      <c r="L566" s="159"/>
      <c r="M566" s="399"/>
      <c r="N566" s="401"/>
      <c r="O566" s="160"/>
      <c r="P566" s="160"/>
      <c r="Q566" s="160"/>
      <c r="R566" s="399"/>
      <c r="S566" s="401"/>
      <c r="T566" s="159"/>
      <c r="U566" s="159"/>
      <c r="V566" s="159"/>
      <c r="W566" s="399"/>
      <c r="X566" s="401"/>
      <c r="Y566" s="159"/>
      <c r="Z566" s="159"/>
      <c r="AA566" s="159"/>
      <c r="AB566" s="399"/>
    </row>
    <row r="567" spans="1:28" ht="18.75" customHeight="1" x14ac:dyDescent="0.25">
      <c r="A567" s="400"/>
      <c r="B567" s="214" t="s">
        <v>1129</v>
      </c>
      <c r="C567" s="399"/>
      <c r="D567" s="401"/>
      <c r="E567" s="159"/>
      <c r="F567" s="159"/>
      <c r="G567" s="159"/>
      <c r="H567" s="399"/>
      <c r="I567" s="401"/>
      <c r="J567" s="159"/>
      <c r="K567" s="159"/>
      <c r="L567" s="159"/>
      <c r="M567" s="399"/>
      <c r="N567" s="401"/>
      <c r="O567" s="160"/>
      <c r="P567" s="160"/>
      <c r="Q567" s="160"/>
      <c r="R567" s="399"/>
      <c r="S567" s="401"/>
      <c r="T567" s="159"/>
      <c r="U567" s="159"/>
      <c r="V567" s="159"/>
      <c r="W567" s="399"/>
      <c r="X567" s="401"/>
      <c r="Y567" s="159"/>
      <c r="Z567" s="159"/>
      <c r="AA567" s="159"/>
      <c r="AB567" s="399"/>
    </row>
    <row r="568" spans="1:28" ht="18.75" customHeight="1" x14ac:dyDescent="0.2">
      <c r="A568" s="400"/>
      <c r="B568" s="202" t="s">
        <v>1130</v>
      </c>
      <c r="C568" s="399"/>
      <c r="D568" s="401"/>
      <c r="E568" s="159"/>
      <c r="F568" s="159"/>
      <c r="G568" s="159"/>
      <c r="H568" s="399"/>
      <c r="I568" s="401"/>
      <c r="J568" s="159"/>
      <c r="K568" s="159"/>
      <c r="L568" s="159"/>
      <c r="M568" s="399"/>
      <c r="N568" s="401"/>
      <c r="O568" s="160"/>
      <c r="P568" s="160"/>
      <c r="Q568" s="160"/>
      <c r="R568" s="399"/>
      <c r="S568" s="401"/>
      <c r="T568" s="159"/>
      <c r="U568" s="159"/>
      <c r="V568" s="159"/>
      <c r="W568" s="399"/>
      <c r="X568" s="401"/>
      <c r="Y568" s="159"/>
      <c r="Z568" s="159"/>
      <c r="AA568" s="159"/>
      <c r="AB568" s="399"/>
    </row>
    <row r="569" spans="1:28" ht="18.75" customHeight="1" x14ac:dyDescent="0.2">
      <c r="A569" s="400"/>
      <c r="B569" s="202" t="s">
        <v>1131</v>
      </c>
      <c r="C569" s="399"/>
      <c r="D569" s="401"/>
      <c r="E569" s="159"/>
      <c r="F569" s="159"/>
      <c r="G569" s="159"/>
      <c r="H569" s="399"/>
      <c r="I569" s="401"/>
      <c r="J569" s="159"/>
      <c r="K569" s="159"/>
      <c r="L569" s="159"/>
      <c r="M569" s="399"/>
      <c r="N569" s="401"/>
      <c r="O569" s="160"/>
      <c r="P569" s="160"/>
      <c r="Q569" s="160"/>
      <c r="R569" s="399"/>
      <c r="S569" s="401"/>
      <c r="T569" s="159"/>
      <c r="U569" s="159"/>
      <c r="V569" s="159"/>
      <c r="W569" s="399"/>
      <c r="X569" s="401"/>
      <c r="Y569" s="159"/>
      <c r="Z569" s="159"/>
      <c r="AA569" s="159"/>
      <c r="AB569" s="399"/>
    </row>
    <row r="570" spans="1:28" ht="18.75" customHeight="1" x14ac:dyDescent="0.2">
      <c r="A570" s="400"/>
      <c r="B570" s="202" t="s">
        <v>1132</v>
      </c>
      <c r="C570" s="399"/>
      <c r="D570" s="401"/>
      <c r="E570" s="159"/>
      <c r="F570" s="159"/>
      <c r="G570" s="159"/>
      <c r="H570" s="399"/>
      <c r="I570" s="401"/>
      <c r="J570" s="159"/>
      <c r="K570" s="159"/>
      <c r="L570" s="159"/>
      <c r="M570" s="399"/>
      <c r="N570" s="401"/>
      <c r="O570" s="160"/>
      <c r="P570" s="160"/>
      <c r="Q570" s="160"/>
      <c r="R570" s="399"/>
      <c r="S570" s="401"/>
      <c r="T570" s="159"/>
      <c r="U570" s="159"/>
      <c r="V570" s="159"/>
      <c r="W570" s="399"/>
      <c r="X570" s="401"/>
      <c r="Y570" s="159"/>
      <c r="Z570" s="159"/>
      <c r="AA570" s="159"/>
      <c r="AB570" s="399"/>
    </row>
    <row r="571" spans="1:28" ht="18.75" customHeight="1" x14ac:dyDescent="0.2">
      <c r="A571" s="400"/>
      <c r="B571" s="202" t="s">
        <v>1133</v>
      </c>
      <c r="C571" s="399"/>
      <c r="D571" s="401"/>
      <c r="E571" s="159"/>
      <c r="F571" s="159"/>
      <c r="G571" s="159"/>
      <c r="H571" s="399"/>
      <c r="I571" s="401"/>
      <c r="J571" s="159"/>
      <c r="K571" s="159"/>
      <c r="L571" s="159"/>
      <c r="M571" s="399"/>
      <c r="N571" s="401"/>
      <c r="O571" s="160"/>
      <c r="P571" s="160"/>
      <c r="Q571" s="160"/>
      <c r="R571" s="399"/>
      <c r="S571" s="401"/>
      <c r="T571" s="159"/>
      <c r="U571" s="159"/>
      <c r="V571" s="159"/>
      <c r="W571" s="399"/>
      <c r="X571" s="401"/>
      <c r="Y571" s="159"/>
      <c r="Z571" s="159"/>
      <c r="AA571" s="159"/>
      <c r="AB571" s="399"/>
    </row>
    <row r="572" spans="1:28" ht="18.75" customHeight="1" x14ac:dyDescent="0.2">
      <c r="A572" s="400"/>
      <c r="B572" s="202" t="s">
        <v>1134</v>
      </c>
      <c r="C572" s="399"/>
      <c r="D572" s="401"/>
      <c r="E572" s="159"/>
      <c r="F572" s="159"/>
      <c r="G572" s="159"/>
      <c r="H572" s="399"/>
      <c r="I572" s="401"/>
      <c r="J572" s="159"/>
      <c r="K572" s="159"/>
      <c r="L572" s="159"/>
      <c r="M572" s="399"/>
      <c r="N572" s="401"/>
      <c r="O572" s="160"/>
      <c r="P572" s="160"/>
      <c r="Q572" s="160"/>
      <c r="R572" s="399"/>
      <c r="S572" s="401"/>
      <c r="T572" s="159"/>
      <c r="U572" s="159"/>
      <c r="V572" s="159"/>
      <c r="W572" s="399"/>
      <c r="X572" s="401"/>
      <c r="Y572" s="159"/>
      <c r="Z572" s="159"/>
      <c r="AA572" s="159"/>
      <c r="AB572" s="399"/>
    </row>
    <row r="573" spans="1:28" ht="18.75" customHeight="1" x14ac:dyDescent="0.2">
      <c r="A573" s="400"/>
      <c r="B573" s="202" t="s">
        <v>1135</v>
      </c>
      <c r="C573" s="399"/>
      <c r="D573" s="401"/>
      <c r="E573" s="159"/>
      <c r="F573" s="159"/>
      <c r="G573" s="159"/>
      <c r="H573" s="399"/>
      <c r="I573" s="401"/>
      <c r="J573" s="159"/>
      <c r="K573" s="159"/>
      <c r="L573" s="159"/>
      <c r="M573" s="399"/>
      <c r="N573" s="401"/>
      <c r="O573" s="160"/>
      <c r="P573" s="160"/>
      <c r="Q573" s="160"/>
      <c r="R573" s="399"/>
      <c r="S573" s="401"/>
      <c r="T573" s="159"/>
      <c r="U573" s="159"/>
      <c r="V573" s="159"/>
      <c r="W573" s="399"/>
      <c r="X573" s="401"/>
      <c r="Y573" s="159"/>
      <c r="Z573" s="159"/>
      <c r="AA573" s="159"/>
      <c r="AB573" s="399"/>
    </row>
    <row r="574" spans="1:28" ht="38.25" customHeight="1" x14ac:dyDescent="0.2">
      <c r="A574" s="400"/>
      <c r="B574" s="202" t="s">
        <v>1136</v>
      </c>
      <c r="C574" s="399"/>
      <c r="D574" s="401"/>
      <c r="E574" s="159"/>
      <c r="F574" s="159"/>
      <c r="G574" s="159"/>
      <c r="H574" s="399"/>
      <c r="I574" s="401"/>
      <c r="J574" s="159"/>
      <c r="K574" s="159"/>
      <c r="L574" s="159"/>
      <c r="M574" s="399"/>
      <c r="N574" s="401"/>
      <c r="O574" s="160"/>
      <c r="P574" s="160"/>
      <c r="Q574" s="160"/>
      <c r="R574" s="399"/>
      <c r="S574" s="401"/>
      <c r="T574" s="159"/>
      <c r="U574" s="159"/>
      <c r="V574" s="159"/>
      <c r="W574" s="399"/>
      <c r="X574" s="401"/>
      <c r="Y574" s="159"/>
      <c r="Z574" s="159"/>
      <c r="AA574" s="159"/>
      <c r="AB574" s="399"/>
    </row>
    <row r="575" spans="1:28" ht="18.75" customHeight="1" x14ac:dyDescent="0.2">
      <c r="A575" s="400"/>
      <c r="B575" s="202" t="s">
        <v>1137</v>
      </c>
      <c r="C575" s="399"/>
      <c r="D575" s="401"/>
      <c r="E575" s="159"/>
      <c r="F575" s="159"/>
      <c r="G575" s="159"/>
      <c r="H575" s="399"/>
      <c r="I575" s="401"/>
      <c r="J575" s="159"/>
      <c r="K575" s="159"/>
      <c r="L575" s="159"/>
      <c r="M575" s="399"/>
      <c r="N575" s="401"/>
      <c r="O575" s="160"/>
      <c r="P575" s="160"/>
      <c r="Q575" s="160"/>
      <c r="R575" s="399"/>
      <c r="S575" s="401"/>
      <c r="T575" s="159"/>
      <c r="U575" s="159"/>
      <c r="V575" s="159"/>
      <c r="W575" s="399"/>
      <c r="X575" s="401"/>
      <c r="Y575" s="159"/>
      <c r="Z575" s="159"/>
      <c r="AA575" s="159"/>
      <c r="AB575" s="399"/>
    </row>
    <row r="576" spans="1:28" ht="18.75" customHeight="1" x14ac:dyDescent="0.2">
      <c r="A576" s="400"/>
      <c r="B576" s="212" t="s">
        <v>329</v>
      </c>
      <c r="C576" s="399"/>
      <c r="D576" s="401"/>
      <c r="E576" s="159"/>
      <c r="F576" s="159"/>
      <c r="G576" s="159"/>
      <c r="H576" s="399"/>
      <c r="I576" s="401"/>
      <c r="J576" s="159"/>
      <c r="K576" s="159"/>
      <c r="L576" s="159"/>
      <c r="M576" s="399"/>
      <c r="N576" s="401"/>
      <c r="O576" s="160"/>
      <c r="P576" s="160"/>
      <c r="Q576" s="160"/>
      <c r="R576" s="399"/>
      <c r="S576" s="401"/>
      <c r="T576" s="159"/>
      <c r="U576" s="159"/>
      <c r="V576" s="159"/>
      <c r="W576" s="399"/>
      <c r="X576" s="401"/>
      <c r="Y576" s="159"/>
      <c r="Z576" s="159"/>
      <c r="AA576" s="159"/>
      <c r="AB576" s="399"/>
    </row>
    <row r="577" spans="1:30" ht="18.75" customHeight="1" x14ac:dyDescent="0.2">
      <c r="A577" s="400"/>
      <c r="B577" s="202" t="s">
        <v>1138</v>
      </c>
      <c r="C577" s="399"/>
      <c r="D577" s="401"/>
      <c r="E577" s="159"/>
      <c r="F577" s="159"/>
      <c r="G577" s="159"/>
      <c r="H577" s="399"/>
      <c r="I577" s="401"/>
      <c r="J577" s="159"/>
      <c r="K577" s="159"/>
      <c r="L577" s="159"/>
      <c r="M577" s="399"/>
      <c r="N577" s="401"/>
      <c r="O577" s="160"/>
      <c r="P577" s="160"/>
      <c r="Q577" s="160"/>
      <c r="R577" s="399"/>
      <c r="S577" s="401"/>
      <c r="T577" s="159"/>
      <c r="U577" s="159"/>
      <c r="V577" s="159"/>
      <c r="W577" s="399"/>
      <c r="X577" s="401"/>
      <c r="Y577" s="159"/>
      <c r="Z577" s="159"/>
      <c r="AA577" s="159"/>
      <c r="AB577" s="399"/>
    </row>
    <row r="578" spans="1:30" ht="24" customHeight="1" x14ac:dyDescent="0.2">
      <c r="A578" s="400"/>
      <c r="B578" s="162" t="s">
        <v>1139</v>
      </c>
      <c r="C578" s="399"/>
      <c r="D578" s="401"/>
      <c r="E578" s="159"/>
      <c r="F578" s="159"/>
      <c r="G578" s="159"/>
      <c r="H578" s="399"/>
      <c r="I578" s="401"/>
      <c r="J578" s="159"/>
      <c r="K578" s="159"/>
      <c r="L578" s="159"/>
      <c r="M578" s="399"/>
      <c r="N578" s="401"/>
      <c r="O578" s="160"/>
      <c r="P578" s="160"/>
      <c r="Q578" s="160"/>
      <c r="R578" s="399"/>
      <c r="S578" s="401"/>
      <c r="T578" s="159"/>
      <c r="U578" s="159"/>
      <c r="V578" s="159"/>
      <c r="W578" s="399"/>
      <c r="X578" s="401"/>
      <c r="Y578" s="159"/>
      <c r="Z578" s="159"/>
      <c r="AA578" s="159"/>
      <c r="AB578" s="399"/>
    </row>
    <row r="579" spans="1:30" ht="18.75" customHeight="1" x14ac:dyDescent="0.2">
      <c r="A579" s="400"/>
      <c r="B579" s="162" t="s">
        <v>1140</v>
      </c>
      <c r="C579" s="399"/>
      <c r="D579" s="401"/>
      <c r="E579" s="159"/>
      <c r="F579" s="159"/>
      <c r="G579" s="159"/>
      <c r="H579" s="399"/>
      <c r="I579" s="401"/>
      <c r="J579" s="159"/>
      <c r="K579" s="159"/>
      <c r="L579" s="159"/>
      <c r="M579" s="399"/>
      <c r="N579" s="401"/>
      <c r="O579" s="160"/>
      <c r="P579" s="160"/>
      <c r="Q579" s="160"/>
      <c r="R579" s="399"/>
      <c r="S579" s="401"/>
      <c r="T579" s="159"/>
      <c r="U579" s="159"/>
      <c r="V579" s="159"/>
      <c r="W579" s="399"/>
      <c r="X579" s="401"/>
      <c r="Y579" s="159"/>
      <c r="Z579" s="159"/>
      <c r="AA579" s="159"/>
      <c r="AB579" s="399"/>
    </row>
    <row r="580" spans="1:30" ht="18.75" customHeight="1" x14ac:dyDescent="0.2">
      <c r="A580" s="400"/>
      <c r="B580" s="162" t="s">
        <v>1141</v>
      </c>
      <c r="C580" s="399"/>
      <c r="D580" s="401"/>
      <c r="E580" s="159"/>
      <c r="F580" s="159"/>
      <c r="G580" s="159"/>
      <c r="H580" s="399"/>
      <c r="I580" s="401"/>
      <c r="J580" s="159"/>
      <c r="K580" s="159"/>
      <c r="L580" s="159"/>
      <c r="M580" s="399"/>
      <c r="N580" s="401"/>
      <c r="O580" s="160"/>
      <c r="P580" s="160"/>
      <c r="Q580" s="160"/>
      <c r="R580" s="399"/>
      <c r="S580" s="401"/>
      <c r="T580" s="159"/>
      <c r="U580" s="159"/>
      <c r="V580" s="159"/>
      <c r="W580" s="399"/>
      <c r="X580" s="401"/>
      <c r="Y580" s="159"/>
      <c r="Z580" s="159"/>
      <c r="AA580" s="159"/>
      <c r="AB580" s="399"/>
    </row>
    <row r="581" spans="1:30" ht="18.75" customHeight="1" x14ac:dyDescent="0.2">
      <c r="A581" s="400"/>
      <c r="B581" s="212" t="s">
        <v>382</v>
      </c>
      <c r="C581" s="399"/>
      <c r="D581" s="401"/>
      <c r="E581" s="159"/>
      <c r="F581" s="159"/>
      <c r="G581" s="159"/>
      <c r="H581" s="399"/>
      <c r="I581" s="401"/>
      <c r="J581" s="159"/>
      <c r="K581" s="159"/>
      <c r="L581" s="159"/>
      <c r="M581" s="399"/>
      <c r="N581" s="401"/>
      <c r="O581" s="160"/>
      <c r="P581" s="160"/>
      <c r="Q581" s="160"/>
      <c r="R581" s="399"/>
      <c r="S581" s="401"/>
      <c r="T581" s="159"/>
      <c r="U581" s="159"/>
      <c r="V581" s="159"/>
      <c r="W581" s="399"/>
      <c r="X581" s="401"/>
      <c r="Y581" s="159"/>
      <c r="Z581" s="159"/>
      <c r="AA581" s="159"/>
      <c r="AB581" s="399"/>
    </row>
    <row r="582" spans="1:30" ht="18.75" customHeight="1" x14ac:dyDescent="0.2">
      <c r="A582" s="400"/>
      <c r="B582" s="202" t="s">
        <v>1142</v>
      </c>
      <c r="C582" s="399"/>
      <c r="D582" s="401"/>
      <c r="E582" s="159"/>
      <c r="F582" s="159"/>
      <c r="G582" s="159"/>
      <c r="H582" s="399"/>
      <c r="I582" s="401"/>
      <c r="J582" s="159"/>
      <c r="K582" s="159"/>
      <c r="L582" s="159"/>
      <c r="M582" s="399"/>
      <c r="N582" s="401"/>
      <c r="O582" s="160"/>
      <c r="P582" s="160"/>
      <c r="Q582" s="160"/>
      <c r="R582" s="399"/>
      <c r="S582" s="401"/>
      <c r="T582" s="159"/>
      <c r="U582" s="159"/>
      <c r="V582" s="159"/>
      <c r="W582" s="399"/>
      <c r="X582" s="401"/>
      <c r="Y582" s="159"/>
      <c r="Z582" s="159"/>
      <c r="AA582" s="159"/>
      <c r="AB582" s="399"/>
    </row>
    <row r="583" spans="1:30" ht="16.5" customHeight="1" x14ac:dyDescent="0.2">
      <c r="A583" s="400"/>
      <c r="B583" s="202" t="s">
        <v>1143</v>
      </c>
      <c r="C583" s="399"/>
      <c r="D583" s="401"/>
      <c r="E583" s="159"/>
      <c r="F583" s="159"/>
      <c r="G583" s="159"/>
      <c r="H583" s="399"/>
      <c r="I583" s="401"/>
      <c r="J583" s="159"/>
      <c r="K583" s="159"/>
      <c r="L583" s="159"/>
      <c r="M583" s="399"/>
      <c r="N583" s="401"/>
      <c r="O583" s="160"/>
      <c r="P583" s="160"/>
      <c r="Q583" s="160"/>
      <c r="R583" s="399"/>
      <c r="S583" s="401"/>
      <c r="T583" s="159"/>
      <c r="U583" s="159"/>
      <c r="V583" s="159"/>
      <c r="W583" s="399"/>
      <c r="X583" s="401"/>
      <c r="Y583" s="159"/>
      <c r="Z583" s="159"/>
      <c r="AA583" s="159"/>
      <c r="AB583" s="399"/>
    </row>
    <row r="584" spans="1:30" ht="18.75" customHeight="1" x14ac:dyDescent="0.2">
      <c r="A584" s="400"/>
      <c r="B584" s="212" t="s">
        <v>421</v>
      </c>
      <c r="C584" s="399"/>
      <c r="D584" s="401"/>
      <c r="E584" s="159"/>
      <c r="F584" s="159"/>
      <c r="G584" s="159"/>
      <c r="H584" s="399"/>
      <c r="I584" s="401"/>
      <c r="J584" s="159"/>
      <c r="K584" s="159"/>
      <c r="L584" s="159"/>
      <c r="M584" s="399"/>
      <c r="N584" s="401"/>
      <c r="O584" s="160"/>
      <c r="P584" s="160"/>
      <c r="Q584" s="160"/>
      <c r="R584" s="399"/>
      <c r="S584" s="401"/>
      <c r="T584" s="159"/>
      <c r="U584" s="159"/>
      <c r="V584" s="159"/>
      <c r="W584" s="399"/>
      <c r="X584" s="401"/>
      <c r="Y584" s="159"/>
      <c r="Z584" s="159"/>
      <c r="AA584" s="159"/>
      <c r="AB584" s="399"/>
    </row>
    <row r="585" spans="1:30" ht="17.25" customHeight="1" x14ac:dyDescent="0.2">
      <c r="A585" s="400"/>
      <c r="B585" s="202" t="s">
        <v>1144</v>
      </c>
      <c r="C585" s="399"/>
      <c r="D585" s="401"/>
      <c r="E585" s="159"/>
      <c r="F585" s="159"/>
      <c r="G585" s="159"/>
      <c r="H585" s="399"/>
      <c r="I585" s="401"/>
      <c r="J585" s="159"/>
      <c r="K585" s="159"/>
      <c r="L585" s="159"/>
      <c r="M585" s="399"/>
      <c r="N585" s="401"/>
      <c r="O585" s="160"/>
      <c r="P585" s="160"/>
      <c r="Q585" s="160"/>
      <c r="R585" s="399"/>
      <c r="S585" s="401"/>
      <c r="T585" s="159"/>
      <c r="U585" s="159"/>
      <c r="V585" s="159"/>
      <c r="W585" s="399"/>
      <c r="X585" s="401"/>
      <c r="Y585" s="159"/>
      <c r="Z585" s="159"/>
      <c r="AA585" s="159"/>
      <c r="AB585" s="399"/>
    </row>
    <row r="586" spans="1:30" ht="18.75" customHeight="1" x14ac:dyDescent="0.2">
      <c r="A586" s="400"/>
      <c r="B586" s="197" t="s">
        <v>620</v>
      </c>
      <c r="C586" s="399"/>
      <c r="D586" s="401"/>
      <c r="E586" s="159"/>
      <c r="F586" s="159"/>
      <c r="G586" s="159"/>
      <c r="H586" s="399"/>
      <c r="I586" s="401"/>
      <c r="J586" s="159"/>
      <c r="K586" s="159"/>
      <c r="L586" s="159"/>
      <c r="M586" s="399"/>
      <c r="N586" s="401"/>
      <c r="O586" s="160"/>
      <c r="P586" s="160"/>
      <c r="Q586" s="160"/>
      <c r="R586" s="399"/>
      <c r="S586" s="401"/>
      <c r="T586" s="159"/>
      <c r="U586" s="159"/>
      <c r="V586" s="159"/>
      <c r="W586" s="399"/>
      <c r="X586" s="401"/>
      <c r="Y586" s="159"/>
      <c r="Z586" s="159"/>
      <c r="AA586" s="159"/>
      <c r="AB586" s="399"/>
    </row>
    <row r="587" spans="1:30" ht="18.75" customHeight="1" x14ac:dyDescent="0.2">
      <c r="A587" s="215" t="s">
        <v>16</v>
      </c>
      <c r="B587" s="408" t="s">
        <v>494</v>
      </c>
      <c r="C587" s="409"/>
      <c r="D587" s="409"/>
      <c r="E587" s="409"/>
      <c r="F587" s="409"/>
      <c r="G587" s="409"/>
      <c r="H587" s="409"/>
      <c r="I587" s="409"/>
      <c r="J587" s="409"/>
      <c r="K587" s="409"/>
      <c r="L587" s="409"/>
      <c r="M587" s="409"/>
      <c r="N587" s="409"/>
      <c r="O587" s="409"/>
      <c r="P587" s="409"/>
      <c r="Q587" s="409"/>
      <c r="R587" s="409"/>
      <c r="S587" s="409"/>
      <c r="T587" s="409"/>
      <c r="U587" s="409"/>
      <c r="V587" s="409"/>
      <c r="W587" s="409"/>
      <c r="X587" s="409"/>
      <c r="Y587" s="409"/>
      <c r="Z587" s="409"/>
      <c r="AA587" s="409"/>
      <c r="AB587" s="409"/>
      <c r="AC587" s="76"/>
      <c r="AD587" s="76"/>
    </row>
    <row r="588" spans="1:30" ht="18" customHeight="1" x14ac:dyDescent="0.2">
      <c r="A588" s="147" t="s">
        <v>134</v>
      </c>
      <c r="B588" s="181" t="s">
        <v>52</v>
      </c>
      <c r="C588" s="182">
        <f>D588+E588+F588+G588</f>
        <v>27036</v>
      </c>
      <c r="D588" s="160">
        <v>27036</v>
      </c>
      <c r="E588" s="160">
        <v>0</v>
      </c>
      <c r="F588" s="160">
        <v>0</v>
      </c>
      <c r="G588" s="160">
        <v>0</v>
      </c>
      <c r="H588" s="182">
        <f>I588+J588+K588+L588</f>
        <v>35037</v>
      </c>
      <c r="I588" s="160">
        <f>34053+19+526+786-411-184+388-1-139</f>
        <v>35037</v>
      </c>
      <c r="J588" s="160">
        <v>0</v>
      </c>
      <c r="K588" s="160">
        <v>0</v>
      </c>
      <c r="L588" s="160">
        <v>0</v>
      </c>
      <c r="M588" s="182">
        <f>N588+O588+P588+Q588</f>
        <v>44468</v>
      </c>
      <c r="N588" s="160">
        <f>32839+12411+642-2-121+130-1431</f>
        <v>44468</v>
      </c>
      <c r="O588" s="160">
        <v>0</v>
      </c>
      <c r="P588" s="160">
        <v>0</v>
      </c>
      <c r="Q588" s="160">
        <v>0</v>
      </c>
      <c r="R588" s="182">
        <f>S588+T588+U588+V588</f>
        <v>75527</v>
      </c>
      <c r="S588" s="160">
        <f>32839+12529+26553+3858+17024-16499-607-170</f>
        <v>75527</v>
      </c>
      <c r="T588" s="160">
        <v>0</v>
      </c>
      <c r="U588" s="160">
        <v>0</v>
      </c>
      <c r="V588" s="160">
        <v>0</v>
      </c>
      <c r="W588" s="182">
        <f>X588+Y588+Z588+AA588</f>
        <v>65507</v>
      </c>
      <c r="X588" s="160">
        <f>26539+300+18529+1768+18371</f>
        <v>65507</v>
      </c>
      <c r="Y588" s="160">
        <v>0</v>
      </c>
      <c r="Z588" s="160">
        <v>0</v>
      </c>
      <c r="AA588" s="160">
        <v>0</v>
      </c>
      <c r="AB588" s="182">
        <f>C588+H588+M588+R588+W588</f>
        <v>247575</v>
      </c>
    </row>
    <row r="589" spans="1:30" ht="18" customHeight="1" x14ac:dyDescent="0.2">
      <c r="A589" s="406" t="s">
        <v>591</v>
      </c>
      <c r="B589" s="411"/>
      <c r="C589" s="160">
        <f>C591</f>
        <v>173012</v>
      </c>
      <c r="D589" s="160">
        <f>D591</f>
        <v>173012</v>
      </c>
      <c r="E589" s="160">
        <v>0</v>
      </c>
      <c r="F589" s="160">
        <v>0</v>
      </c>
      <c r="G589" s="160">
        <v>0</v>
      </c>
      <c r="H589" s="182">
        <f>H591</f>
        <v>103854</v>
      </c>
      <c r="I589" s="182">
        <f>I591</f>
        <v>103854</v>
      </c>
      <c r="J589" s="160">
        <v>0</v>
      </c>
      <c r="K589" s="160">
        <v>0</v>
      </c>
      <c r="L589" s="160"/>
      <c r="M589" s="182">
        <f>M591-M590</f>
        <v>126062</v>
      </c>
      <c r="N589" s="160">
        <f>N591-N590</f>
        <v>126062</v>
      </c>
      <c r="O589" s="160"/>
      <c r="P589" s="160"/>
      <c r="Q589" s="160"/>
      <c r="R589" s="182">
        <f>SUM(R10:R588)</f>
        <v>218493</v>
      </c>
      <c r="S589" s="160">
        <f>S10+S29+S41+S114+S129+S171+S172+S190+S191+S194+S196+S471+S479+S507+S510+S518+S519+S520+S521+S543+S549+S563+S588</f>
        <v>218493</v>
      </c>
      <c r="T589" s="160"/>
      <c r="U589" s="160"/>
      <c r="V589" s="160"/>
      <c r="W589" s="182">
        <f>SUM(W10:W588)</f>
        <v>153183</v>
      </c>
      <c r="X589" s="160">
        <f>X10+X29+X41+X114+X129+X172+X190+X191+X194+X196+X471+X479+X507+X510+X518+X519+X520+X521+X543+X549+X563+X588</f>
        <v>153183</v>
      </c>
      <c r="Y589" s="160"/>
      <c r="Z589" s="160"/>
      <c r="AA589" s="160"/>
      <c r="AB589" s="182">
        <f>AB591-AB590</f>
        <v>774604</v>
      </c>
    </row>
    <row r="590" spans="1:30" ht="18" customHeight="1" x14ac:dyDescent="0.2">
      <c r="A590" s="412" t="s">
        <v>392</v>
      </c>
      <c r="B590" s="413"/>
      <c r="C590" s="160">
        <f>C592</f>
        <v>0</v>
      </c>
      <c r="D590" s="160">
        <v>0</v>
      </c>
      <c r="E590" s="160">
        <v>0</v>
      </c>
      <c r="F590" s="160">
        <v>0</v>
      </c>
      <c r="G590" s="160">
        <v>0</v>
      </c>
      <c r="H590" s="182">
        <f>H592</f>
        <v>0</v>
      </c>
      <c r="I590" s="160">
        <v>0</v>
      </c>
      <c r="J590" s="160">
        <v>0</v>
      </c>
      <c r="K590" s="160">
        <v>0</v>
      </c>
      <c r="L590" s="160"/>
      <c r="M590" s="182">
        <f>M171</f>
        <v>3417</v>
      </c>
      <c r="N590" s="160">
        <f>N171</f>
        <v>3417</v>
      </c>
      <c r="O590" s="160"/>
      <c r="P590" s="160"/>
      <c r="Q590" s="160"/>
      <c r="R590" s="182">
        <v>0</v>
      </c>
      <c r="S590" s="160">
        <v>0</v>
      </c>
      <c r="T590" s="160"/>
      <c r="U590" s="160"/>
      <c r="V590" s="160"/>
      <c r="W590" s="182">
        <v>0</v>
      </c>
      <c r="X590" s="160">
        <v>0</v>
      </c>
      <c r="Y590" s="160"/>
      <c r="Z590" s="160"/>
      <c r="AA590" s="160"/>
      <c r="AB590" s="182">
        <f>C590+H590+M590+R590+W590</f>
        <v>3417</v>
      </c>
    </row>
    <row r="591" spans="1:30" s="78" customFormat="1" ht="42" customHeight="1" x14ac:dyDescent="0.2">
      <c r="A591" s="406" t="s">
        <v>592</v>
      </c>
      <c r="B591" s="407"/>
      <c r="C591" s="216">
        <f t="shared" ref="C591:AA591" si="1">SUM(C10:C588)</f>
        <v>173012</v>
      </c>
      <c r="D591" s="216">
        <f t="shared" si="1"/>
        <v>173012</v>
      </c>
      <c r="E591" s="217">
        <f t="shared" si="1"/>
        <v>0</v>
      </c>
      <c r="F591" s="217">
        <f t="shared" si="1"/>
        <v>0</v>
      </c>
      <c r="G591" s="217">
        <f t="shared" si="1"/>
        <v>0</v>
      </c>
      <c r="H591" s="216">
        <f t="shared" si="1"/>
        <v>103854</v>
      </c>
      <c r="I591" s="217">
        <f t="shared" si="1"/>
        <v>103854</v>
      </c>
      <c r="J591" s="217">
        <f t="shared" si="1"/>
        <v>0</v>
      </c>
      <c r="K591" s="217">
        <f t="shared" si="1"/>
        <v>0</v>
      </c>
      <c r="L591" s="216">
        <f t="shared" si="1"/>
        <v>0</v>
      </c>
      <c r="M591" s="216">
        <f>SUM(M10:M588)</f>
        <v>129479</v>
      </c>
      <c r="N591" s="217">
        <f>SUM(N10:N588)</f>
        <v>129479</v>
      </c>
      <c r="O591" s="216">
        <f t="shared" si="1"/>
        <v>0</v>
      </c>
      <c r="P591" s="216">
        <f t="shared" si="1"/>
        <v>0</v>
      </c>
      <c r="Q591" s="216">
        <f t="shared" si="1"/>
        <v>0</v>
      </c>
      <c r="R591" s="216">
        <f t="shared" si="1"/>
        <v>218493</v>
      </c>
      <c r="S591" s="217">
        <f>S589+S590</f>
        <v>218493</v>
      </c>
      <c r="T591" s="216">
        <f t="shared" si="1"/>
        <v>0</v>
      </c>
      <c r="U591" s="216">
        <f t="shared" si="1"/>
        <v>0</v>
      </c>
      <c r="V591" s="216">
        <f t="shared" si="1"/>
        <v>0</v>
      </c>
      <c r="W591" s="216">
        <f>SUM(W10:W588)</f>
        <v>153183</v>
      </c>
      <c r="X591" s="217">
        <f>X10+X29+X41+X114+X129+X172+X190+X191+X194+X196+X471+X479+X507+X510+X518+X519+X520+X521+X543+X549+X563+X588</f>
        <v>153183</v>
      </c>
      <c r="Y591" s="216">
        <f t="shared" si="1"/>
        <v>0</v>
      </c>
      <c r="Z591" s="216">
        <f t="shared" si="1"/>
        <v>0</v>
      </c>
      <c r="AA591" s="216">
        <f t="shared" si="1"/>
        <v>0</v>
      </c>
      <c r="AB591" s="216">
        <f>SUM(AB10:AB588)</f>
        <v>778021</v>
      </c>
      <c r="AC591" s="77"/>
    </row>
    <row r="592" spans="1:30" ht="16.149999999999999" customHeight="1" x14ac:dyDescent="0.2">
      <c r="A592" s="68"/>
      <c r="B592" s="79"/>
    </row>
    <row r="593" spans="1:28" ht="42" customHeight="1" x14ac:dyDescent="0.2">
      <c r="A593" s="68"/>
      <c r="B593" s="79"/>
      <c r="D593" s="218"/>
      <c r="E593" s="218"/>
      <c r="F593" s="218"/>
      <c r="G593" s="218"/>
      <c r="H593" s="219"/>
      <c r="I593" s="218"/>
    </row>
    <row r="594" spans="1:28" ht="42" customHeight="1" x14ac:dyDescent="0.2">
      <c r="A594" s="68"/>
      <c r="B594" s="79"/>
    </row>
    <row r="595" spans="1:28" ht="42" customHeight="1" x14ac:dyDescent="0.2">
      <c r="A595" s="68"/>
      <c r="B595" s="79"/>
    </row>
    <row r="596" spans="1:28" ht="42" customHeight="1" x14ac:dyDescent="0.2">
      <c r="A596" s="68"/>
      <c r="B596" s="79"/>
    </row>
    <row r="597" spans="1:28" ht="42" customHeight="1" x14ac:dyDescent="0.2">
      <c r="A597" s="68"/>
      <c r="B597" s="79"/>
    </row>
    <row r="598" spans="1:28" ht="42" customHeight="1" x14ac:dyDescent="0.2">
      <c r="A598" s="68"/>
      <c r="B598" s="79"/>
    </row>
    <row r="599" spans="1:28" ht="42" customHeight="1" x14ac:dyDescent="0.2">
      <c r="A599" s="68"/>
      <c r="B599" s="79"/>
    </row>
    <row r="600" spans="1:28" ht="42" customHeight="1" x14ac:dyDescent="0.2">
      <c r="A600" s="68"/>
      <c r="B600" s="79"/>
    </row>
    <row r="601" spans="1:28" ht="42" customHeight="1" x14ac:dyDescent="0.2">
      <c r="A601" s="68"/>
      <c r="B601" s="79"/>
      <c r="C601" s="56"/>
      <c r="H601" s="56"/>
      <c r="M601" s="56"/>
      <c r="R601" s="56"/>
      <c r="W601" s="56"/>
      <c r="AB601" s="56"/>
    </row>
    <row r="602" spans="1:28" ht="42" customHeight="1" x14ac:dyDescent="0.2">
      <c r="A602" s="68"/>
      <c r="B602" s="79"/>
      <c r="C602" s="56"/>
      <c r="H602" s="56"/>
      <c r="M602" s="56"/>
      <c r="R602" s="56"/>
      <c r="W602" s="56"/>
      <c r="AB602" s="56"/>
    </row>
    <row r="603" spans="1:28" ht="42" customHeight="1" x14ac:dyDescent="0.2">
      <c r="A603" s="68"/>
      <c r="B603" s="79"/>
      <c r="C603" s="56"/>
      <c r="H603" s="56"/>
      <c r="M603" s="56"/>
      <c r="R603" s="56"/>
      <c r="W603" s="56"/>
      <c r="AB603" s="56"/>
    </row>
    <row r="604" spans="1:28" ht="42" customHeight="1" x14ac:dyDescent="0.2">
      <c r="A604" s="68"/>
      <c r="B604" s="79"/>
      <c r="C604" s="56"/>
      <c r="H604" s="56"/>
      <c r="M604" s="56"/>
      <c r="R604" s="56"/>
      <c r="W604" s="56"/>
      <c r="AB604" s="56"/>
    </row>
    <row r="605" spans="1:28" ht="42" customHeight="1" x14ac:dyDescent="0.2">
      <c r="A605" s="68"/>
      <c r="B605" s="79"/>
      <c r="C605" s="56"/>
      <c r="H605" s="56"/>
      <c r="M605" s="56"/>
      <c r="R605" s="56"/>
      <c r="W605" s="56"/>
      <c r="AB605" s="56"/>
    </row>
    <row r="606" spans="1:28" ht="42" customHeight="1" x14ac:dyDescent="0.2">
      <c r="A606" s="68"/>
      <c r="B606" s="79"/>
      <c r="C606" s="56"/>
      <c r="H606" s="56"/>
      <c r="M606" s="56"/>
      <c r="R606" s="56"/>
      <c r="W606" s="56"/>
      <c r="AB606" s="56"/>
    </row>
    <row r="607" spans="1:28" ht="42" customHeight="1" x14ac:dyDescent="0.2">
      <c r="A607" s="68"/>
      <c r="B607" s="79"/>
      <c r="C607" s="56"/>
      <c r="H607" s="56"/>
      <c r="M607" s="56"/>
      <c r="R607" s="56"/>
      <c r="W607" s="56"/>
      <c r="AB607" s="56"/>
    </row>
    <row r="608" spans="1:28" ht="42" customHeight="1" x14ac:dyDescent="0.2">
      <c r="A608" s="68"/>
      <c r="B608" s="79"/>
      <c r="C608" s="56"/>
      <c r="H608" s="56"/>
      <c r="M608" s="56"/>
      <c r="R608" s="56"/>
      <c r="W608" s="56"/>
      <c r="AB608" s="56"/>
    </row>
    <row r="609" spans="1:28" ht="42" customHeight="1" x14ac:dyDescent="0.2">
      <c r="A609" s="68"/>
      <c r="B609" s="79"/>
      <c r="C609" s="56"/>
      <c r="H609" s="56"/>
      <c r="M609" s="56"/>
      <c r="R609" s="56"/>
      <c r="W609" s="56"/>
      <c r="AB609" s="56"/>
    </row>
    <row r="610" spans="1:28" ht="42" customHeight="1" x14ac:dyDescent="0.2">
      <c r="A610" s="68"/>
      <c r="B610" s="79"/>
      <c r="C610" s="56"/>
      <c r="H610" s="56"/>
      <c r="M610" s="56"/>
      <c r="R610" s="56"/>
      <c r="W610" s="56"/>
      <c r="AB610" s="56"/>
    </row>
    <row r="611" spans="1:28" ht="42" customHeight="1" x14ac:dyDescent="0.2">
      <c r="A611" s="68"/>
      <c r="B611" s="79"/>
      <c r="C611" s="56"/>
      <c r="H611" s="56"/>
      <c r="M611" s="56"/>
      <c r="R611" s="56"/>
      <c r="W611" s="56"/>
      <c r="AB611" s="56"/>
    </row>
    <row r="612" spans="1:28" ht="42" customHeight="1" x14ac:dyDescent="0.2">
      <c r="A612" s="68"/>
      <c r="B612" s="79"/>
      <c r="C612" s="56"/>
      <c r="H612" s="56"/>
      <c r="M612" s="56"/>
      <c r="R612" s="56"/>
      <c r="W612" s="56"/>
      <c r="AB612" s="56"/>
    </row>
    <row r="613" spans="1:28" ht="42" customHeight="1" x14ac:dyDescent="0.2">
      <c r="A613" s="68"/>
      <c r="B613" s="79"/>
      <c r="C613" s="56"/>
      <c r="H613" s="56"/>
      <c r="M613" s="56"/>
      <c r="R613" s="56"/>
      <c r="W613" s="56"/>
      <c r="AB613" s="56"/>
    </row>
    <row r="614" spans="1:28" ht="42" customHeight="1" x14ac:dyDescent="0.2">
      <c r="A614" s="68"/>
      <c r="B614" s="79"/>
      <c r="C614" s="56"/>
      <c r="H614" s="56"/>
      <c r="M614" s="56"/>
      <c r="R614" s="56"/>
      <c r="W614" s="56"/>
      <c r="AB614" s="56"/>
    </row>
    <row r="615" spans="1:28" ht="42" customHeight="1" x14ac:dyDescent="0.2">
      <c r="A615" s="68"/>
      <c r="B615" s="79"/>
      <c r="C615" s="56"/>
      <c r="H615" s="56"/>
      <c r="M615" s="56"/>
      <c r="R615" s="56"/>
      <c r="W615" s="56"/>
      <c r="AB615" s="56"/>
    </row>
    <row r="616" spans="1:28" ht="42" customHeight="1" x14ac:dyDescent="0.2">
      <c r="A616" s="68"/>
      <c r="B616" s="79"/>
      <c r="C616" s="56"/>
      <c r="H616" s="56"/>
      <c r="M616" s="56"/>
      <c r="R616" s="56"/>
      <c r="W616" s="56"/>
      <c r="AB616" s="56"/>
    </row>
    <row r="617" spans="1:28" ht="42" customHeight="1" x14ac:dyDescent="0.2">
      <c r="A617" s="68"/>
      <c r="B617" s="79"/>
      <c r="C617" s="56"/>
      <c r="H617" s="56"/>
      <c r="M617" s="56"/>
      <c r="R617" s="56"/>
      <c r="W617" s="56"/>
      <c r="AB617" s="56"/>
    </row>
    <row r="618" spans="1:28" ht="42" customHeight="1" x14ac:dyDescent="0.2">
      <c r="A618" s="68"/>
      <c r="B618" s="79"/>
      <c r="C618" s="56"/>
      <c r="H618" s="56"/>
      <c r="M618" s="56"/>
      <c r="R618" s="56"/>
      <c r="W618" s="56"/>
      <c r="AB618" s="56"/>
    </row>
    <row r="619" spans="1:28" ht="42" customHeight="1" x14ac:dyDescent="0.2">
      <c r="A619" s="68"/>
      <c r="B619" s="79"/>
      <c r="C619" s="56"/>
      <c r="H619" s="56"/>
      <c r="M619" s="56"/>
      <c r="R619" s="56"/>
      <c r="W619" s="56"/>
      <c r="AB619" s="56"/>
    </row>
    <row r="620" spans="1:28" ht="42" customHeight="1" x14ac:dyDescent="0.2">
      <c r="A620" s="68"/>
      <c r="B620" s="79"/>
      <c r="C620" s="56"/>
      <c r="H620" s="56"/>
      <c r="M620" s="56"/>
      <c r="R620" s="56"/>
      <c r="W620" s="56"/>
      <c r="AB620" s="56"/>
    </row>
    <row r="621" spans="1:28" ht="42" customHeight="1" x14ac:dyDescent="0.2">
      <c r="A621" s="68"/>
      <c r="B621" s="79"/>
      <c r="C621" s="56"/>
      <c r="H621" s="56"/>
      <c r="M621" s="56"/>
      <c r="R621" s="56"/>
      <c r="W621" s="56"/>
      <c r="AB621" s="56"/>
    </row>
    <row r="622" spans="1:28" ht="42" customHeight="1" x14ac:dyDescent="0.2">
      <c r="A622" s="68"/>
      <c r="B622" s="79"/>
      <c r="C622" s="56"/>
      <c r="H622" s="56"/>
      <c r="M622" s="56"/>
      <c r="R622" s="56"/>
      <c r="W622" s="56"/>
      <c r="AB622" s="56"/>
    </row>
    <row r="623" spans="1:28" ht="42" customHeight="1" x14ac:dyDescent="0.2">
      <c r="A623" s="68"/>
      <c r="B623" s="79"/>
      <c r="C623" s="56"/>
      <c r="H623" s="56"/>
      <c r="M623" s="56"/>
      <c r="R623" s="56"/>
      <c r="W623" s="56"/>
      <c r="AB623" s="56"/>
    </row>
    <row r="624" spans="1:28" ht="42" customHeight="1" x14ac:dyDescent="0.2">
      <c r="A624" s="68"/>
      <c r="B624" s="79"/>
      <c r="C624" s="56"/>
      <c r="H624" s="56"/>
      <c r="M624" s="56"/>
      <c r="R624" s="56"/>
      <c r="W624" s="56"/>
      <c r="AB624" s="56"/>
    </row>
    <row r="625" spans="1:28" ht="42" customHeight="1" x14ac:dyDescent="0.2">
      <c r="A625" s="68"/>
      <c r="B625" s="79"/>
      <c r="C625" s="56"/>
      <c r="H625" s="56"/>
      <c r="M625" s="56"/>
      <c r="R625" s="56"/>
      <c r="W625" s="56"/>
      <c r="AB625" s="56"/>
    </row>
    <row r="626" spans="1:28" ht="42" customHeight="1" x14ac:dyDescent="0.2">
      <c r="A626" s="68"/>
      <c r="B626" s="79"/>
      <c r="C626" s="56"/>
      <c r="H626" s="56"/>
      <c r="M626" s="56"/>
      <c r="R626" s="56"/>
      <c r="W626" s="56"/>
      <c r="AB626" s="56"/>
    </row>
    <row r="627" spans="1:28" ht="42" customHeight="1" x14ac:dyDescent="0.2">
      <c r="A627" s="68"/>
      <c r="B627" s="79"/>
      <c r="C627" s="56"/>
      <c r="H627" s="56"/>
      <c r="M627" s="56"/>
      <c r="R627" s="56"/>
      <c r="W627" s="56"/>
      <c r="AB627" s="56"/>
    </row>
    <row r="628" spans="1:28" ht="42" customHeight="1" x14ac:dyDescent="0.2">
      <c r="A628" s="68"/>
      <c r="B628" s="79"/>
      <c r="C628" s="56"/>
      <c r="H628" s="56"/>
      <c r="M628" s="56"/>
      <c r="R628" s="56"/>
      <c r="W628" s="56"/>
      <c r="AB628" s="56"/>
    </row>
    <row r="629" spans="1:28" ht="42" customHeight="1" x14ac:dyDescent="0.2">
      <c r="A629" s="68"/>
      <c r="B629" s="79"/>
      <c r="C629" s="56"/>
      <c r="H629" s="56"/>
      <c r="M629" s="56"/>
      <c r="R629" s="56"/>
      <c r="W629" s="56"/>
      <c r="AB629" s="56"/>
    </row>
    <row r="630" spans="1:28" ht="42" customHeight="1" x14ac:dyDescent="0.2">
      <c r="A630" s="68"/>
      <c r="B630" s="79"/>
      <c r="C630" s="56"/>
      <c r="H630" s="56"/>
      <c r="M630" s="56"/>
      <c r="R630" s="56"/>
      <c r="W630" s="56"/>
      <c r="AB630" s="56"/>
    </row>
    <row r="631" spans="1:28" ht="42" customHeight="1" x14ac:dyDescent="0.2">
      <c r="A631" s="68"/>
      <c r="B631" s="79"/>
      <c r="C631" s="56"/>
      <c r="H631" s="56"/>
      <c r="M631" s="56"/>
      <c r="R631" s="56"/>
      <c r="W631" s="56"/>
      <c r="AB631" s="56"/>
    </row>
    <row r="632" spans="1:28" ht="42" customHeight="1" x14ac:dyDescent="0.2">
      <c r="A632" s="68"/>
      <c r="B632" s="79"/>
      <c r="C632" s="56"/>
      <c r="H632" s="56"/>
      <c r="M632" s="56"/>
      <c r="R632" s="56"/>
      <c r="W632" s="56"/>
      <c r="AB632" s="56"/>
    </row>
    <row r="633" spans="1:28" ht="42" customHeight="1" x14ac:dyDescent="0.2">
      <c r="A633" s="68"/>
      <c r="B633" s="79"/>
      <c r="C633" s="56"/>
      <c r="H633" s="56"/>
      <c r="M633" s="56"/>
      <c r="R633" s="56"/>
      <c r="W633" s="56"/>
      <c r="AB633" s="56"/>
    </row>
    <row r="634" spans="1:28" ht="42" customHeight="1" x14ac:dyDescent="0.2">
      <c r="A634" s="68"/>
      <c r="B634" s="79"/>
      <c r="C634" s="56"/>
      <c r="H634" s="56"/>
      <c r="M634" s="56"/>
      <c r="R634" s="56"/>
      <c r="W634" s="56"/>
      <c r="AB634" s="56"/>
    </row>
    <row r="635" spans="1:28" ht="42" customHeight="1" x14ac:dyDescent="0.2">
      <c r="A635" s="68"/>
      <c r="B635" s="79"/>
      <c r="C635" s="56"/>
      <c r="H635" s="56"/>
      <c r="M635" s="56"/>
      <c r="R635" s="56"/>
      <c r="W635" s="56"/>
      <c r="AB635" s="56"/>
    </row>
    <row r="636" spans="1:28" ht="42" customHeight="1" x14ac:dyDescent="0.2">
      <c r="A636" s="68"/>
      <c r="B636" s="79"/>
      <c r="C636" s="56"/>
      <c r="H636" s="56"/>
      <c r="M636" s="56"/>
      <c r="R636" s="56"/>
      <c r="W636" s="56"/>
      <c r="AB636" s="56"/>
    </row>
    <row r="637" spans="1:28" ht="42" customHeight="1" x14ac:dyDescent="0.2">
      <c r="A637" s="68"/>
      <c r="B637" s="79"/>
      <c r="C637" s="56"/>
      <c r="H637" s="56"/>
      <c r="M637" s="56"/>
      <c r="R637" s="56"/>
      <c r="W637" s="56"/>
      <c r="AB637" s="56"/>
    </row>
    <row r="638" spans="1:28" ht="42" customHeight="1" x14ac:dyDescent="0.2">
      <c r="A638" s="68"/>
      <c r="B638" s="79"/>
      <c r="C638" s="56"/>
      <c r="H638" s="56"/>
      <c r="M638" s="56"/>
      <c r="R638" s="56"/>
      <c r="W638" s="56"/>
      <c r="AB638" s="56"/>
    </row>
    <row r="639" spans="1:28" ht="42" customHeight="1" x14ac:dyDescent="0.2">
      <c r="A639" s="68"/>
      <c r="B639" s="79"/>
      <c r="C639" s="56"/>
      <c r="H639" s="56"/>
      <c r="M639" s="56"/>
      <c r="R639" s="56"/>
      <c r="W639" s="56"/>
      <c r="AB639" s="56"/>
    </row>
    <row r="640" spans="1:28" ht="42" customHeight="1" x14ac:dyDescent="0.2">
      <c r="A640" s="68"/>
      <c r="B640" s="79"/>
      <c r="C640" s="56"/>
      <c r="H640" s="56"/>
      <c r="M640" s="56"/>
      <c r="R640" s="56"/>
      <c r="W640" s="56"/>
      <c r="AB640" s="56"/>
    </row>
    <row r="641" spans="1:28" ht="42" customHeight="1" x14ac:dyDescent="0.2">
      <c r="A641" s="68"/>
      <c r="B641" s="79"/>
      <c r="C641" s="56"/>
      <c r="H641" s="56"/>
      <c r="M641" s="56"/>
      <c r="R641" s="56"/>
      <c r="W641" s="56"/>
      <c r="AB641" s="56"/>
    </row>
    <row r="642" spans="1:28" ht="42" customHeight="1" x14ac:dyDescent="0.2">
      <c r="A642" s="68"/>
      <c r="B642" s="79"/>
      <c r="C642" s="56"/>
      <c r="H642" s="56"/>
      <c r="M642" s="56"/>
      <c r="R642" s="56"/>
      <c r="W642" s="56"/>
      <c r="AB642" s="56"/>
    </row>
    <row r="643" spans="1:28" ht="42" customHeight="1" x14ac:dyDescent="0.2">
      <c r="A643" s="68"/>
      <c r="B643" s="79"/>
      <c r="C643" s="56"/>
      <c r="H643" s="56"/>
      <c r="M643" s="56"/>
      <c r="R643" s="56"/>
      <c r="W643" s="56"/>
      <c r="AB643" s="56"/>
    </row>
    <row r="644" spans="1:28" ht="42" customHeight="1" x14ac:dyDescent="0.2">
      <c r="A644" s="68"/>
      <c r="B644" s="79"/>
      <c r="C644" s="56"/>
      <c r="H644" s="56"/>
      <c r="M644" s="56"/>
      <c r="R644" s="56"/>
      <c r="W644" s="56"/>
      <c r="AB644" s="56"/>
    </row>
    <row r="645" spans="1:28" ht="42" customHeight="1" x14ac:dyDescent="0.2">
      <c r="A645" s="68"/>
      <c r="B645" s="79"/>
      <c r="C645" s="56"/>
      <c r="H645" s="56"/>
      <c r="M645" s="56"/>
      <c r="R645" s="56"/>
      <c r="W645" s="56"/>
      <c r="AB645" s="56"/>
    </row>
    <row r="646" spans="1:28" ht="42" customHeight="1" x14ac:dyDescent="0.2">
      <c r="A646" s="68"/>
      <c r="B646" s="79"/>
      <c r="C646" s="56"/>
      <c r="H646" s="56"/>
      <c r="M646" s="56"/>
      <c r="R646" s="56"/>
      <c r="W646" s="56"/>
      <c r="AB646" s="56"/>
    </row>
    <row r="647" spans="1:28" ht="42" customHeight="1" x14ac:dyDescent="0.2">
      <c r="A647" s="68"/>
      <c r="B647" s="79"/>
      <c r="C647" s="56"/>
      <c r="H647" s="56"/>
      <c r="M647" s="56"/>
      <c r="R647" s="56"/>
      <c r="W647" s="56"/>
      <c r="AB647" s="56"/>
    </row>
    <row r="648" spans="1:28" ht="42" customHeight="1" x14ac:dyDescent="0.2">
      <c r="A648" s="68"/>
      <c r="B648" s="79"/>
      <c r="C648" s="56"/>
      <c r="H648" s="56"/>
      <c r="M648" s="56"/>
      <c r="R648" s="56"/>
      <c r="W648" s="56"/>
      <c r="AB648" s="56"/>
    </row>
    <row r="649" spans="1:28" ht="42" customHeight="1" x14ac:dyDescent="0.2">
      <c r="A649" s="68"/>
      <c r="B649" s="79"/>
      <c r="C649" s="56"/>
      <c r="H649" s="56"/>
      <c r="M649" s="56"/>
      <c r="R649" s="56"/>
      <c r="W649" s="56"/>
      <c r="AB649" s="56"/>
    </row>
    <row r="650" spans="1:28" ht="42" customHeight="1" x14ac:dyDescent="0.2">
      <c r="A650" s="68"/>
      <c r="B650" s="79"/>
      <c r="C650" s="56"/>
      <c r="H650" s="56"/>
      <c r="M650" s="56"/>
      <c r="R650" s="56"/>
      <c r="W650" s="56"/>
      <c r="AB650" s="56"/>
    </row>
    <row r="651" spans="1:28" ht="42" customHeight="1" x14ac:dyDescent="0.2">
      <c r="A651" s="68"/>
      <c r="B651" s="79"/>
      <c r="C651" s="56"/>
      <c r="H651" s="56"/>
      <c r="M651" s="56"/>
      <c r="R651" s="56"/>
      <c r="W651" s="56"/>
      <c r="AB651" s="56"/>
    </row>
    <row r="652" spans="1:28" ht="42" customHeight="1" x14ac:dyDescent="0.2">
      <c r="A652" s="68"/>
      <c r="B652" s="79"/>
      <c r="C652" s="56"/>
      <c r="H652" s="56"/>
      <c r="M652" s="56"/>
      <c r="R652" s="56"/>
      <c r="W652" s="56"/>
      <c r="AB652" s="56"/>
    </row>
    <row r="653" spans="1:28" ht="42" customHeight="1" x14ac:dyDescent="0.2">
      <c r="A653" s="68"/>
      <c r="B653" s="79"/>
      <c r="C653" s="56"/>
      <c r="H653" s="56"/>
      <c r="M653" s="56"/>
      <c r="R653" s="56"/>
      <c r="W653" s="56"/>
      <c r="AB653" s="56"/>
    </row>
    <row r="654" spans="1:28" ht="42" customHeight="1" x14ac:dyDescent="0.2">
      <c r="A654" s="68"/>
      <c r="B654" s="79"/>
      <c r="C654" s="56"/>
      <c r="H654" s="56"/>
      <c r="M654" s="56"/>
      <c r="R654" s="56"/>
      <c r="W654" s="56"/>
      <c r="AB654" s="56"/>
    </row>
    <row r="655" spans="1:28" ht="42" customHeight="1" x14ac:dyDescent="0.2">
      <c r="A655" s="68"/>
      <c r="B655" s="79"/>
      <c r="C655" s="56"/>
      <c r="H655" s="56"/>
      <c r="M655" s="56"/>
      <c r="R655" s="56"/>
      <c r="W655" s="56"/>
      <c r="AB655" s="56"/>
    </row>
    <row r="656" spans="1:28" ht="42" customHeight="1" x14ac:dyDescent="0.2">
      <c r="A656" s="68"/>
      <c r="B656" s="79"/>
      <c r="C656" s="56"/>
      <c r="H656" s="56"/>
      <c r="M656" s="56"/>
      <c r="R656" s="56"/>
      <c r="W656" s="56"/>
      <c r="AB656" s="56"/>
    </row>
    <row r="657" spans="1:28" ht="42" customHeight="1" x14ac:dyDescent="0.2">
      <c r="A657" s="68"/>
      <c r="B657" s="79"/>
      <c r="C657" s="56"/>
      <c r="H657" s="56"/>
      <c r="M657" s="56"/>
      <c r="R657" s="56"/>
      <c r="W657" s="56"/>
      <c r="AB657" s="56"/>
    </row>
    <row r="658" spans="1:28" ht="42" customHeight="1" x14ac:dyDescent="0.2">
      <c r="A658" s="68"/>
      <c r="B658" s="79"/>
      <c r="C658" s="56"/>
      <c r="H658" s="56"/>
      <c r="M658" s="56"/>
      <c r="R658" s="56"/>
      <c r="W658" s="56"/>
      <c r="AB658" s="56"/>
    </row>
    <row r="659" spans="1:28" ht="42" customHeight="1" x14ac:dyDescent="0.2">
      <c r="A659" s="68"/>
      <c r="B659" s="79"/>
      <c r="C659" s="56"/>
      <c r="H659" s="56"/>
      <c r="M659" s="56"/>
      <c r="R659" s="56"/>
      <c r="W659" s="56"/>
      <c r="AB659" s="56"/>
    </row>
    <row r="660" spans="1:28" ht="42" customHeight="1" x14ac:dyDescent="0.2">
      <c r="A660" s="68"/>
      <c r="B660" s="79"/>
      <c r="C660" s="56"/>
      <c r="H660" s="56"/>
      <c r="M660" s="56"/>
      <c r="R660" s="56"/>
      <c r="W660" s="56"/>
      <c r="AB660" s="56"/>
    </row>
    <row r="661" spans="1:28" ht="42" customHeight="1" x14ac:dyDescent="0.2">
      <c r="A661" s="68"/>
      <c r="B661" s="79"/>
      <c r="C661" s="56"/>
      <c r="H661" s="56"/>
      <c r="M661" s="56"/>
      <c r="R661" s="56"/>
      <c r="W661" s="56"/>
      <c r="AB661" s="56"/>
    </row>
    <row r="662" spans="1:28" ht="42" customHeight="1" x14ac:dyDescent="0.2">
      <c r="A662" s="68"/>
      <c r="B662" s="79"/>
      <c r="C662" s="56"/>
      <c r="H662" s="56"/>
      <c r="M662" s="56"/>
      <c r="R662" s="56"/>
      <c r="W662" s="56"/>
      <c r="AB662" s="56"/>
    </row>
    <row r="663" spans="1:28" ht="42" customHeight="1" x14ac:dyDescent="0.2">
      <c r="A663" s="68"/>
      <c r="B663" s="79"/>
      <c r="C663" s="56"/>
      <c r="H663" s="56"/>
      <c r="M663" s="56"/>
      <c r="R663" s="56"/>
      <c r="W663" s="56"/>
      <c r="AB663" s="56"/>
    </row>
    <row r="664" spans="1:28" ht="42" customHeight="1" x14ac:dyDescent="0.2">
      <c r="A664" s="68"/>
      <c r="B664" s="79"/>
      <c r="C664" s="56"/>
      <c r="H664" s="56"/>
      <c r="M664" s="56"/>
      <c r="R664" s="56"/>
      <c r="W664" s="56"/>
      <c r="AB664" s="56"/>
    </row>
    <row r="665" spans="1:28" ht="42" customHeight="1" x14ac:dyDescent="0.2">
      <c r="A665" s="68"/>
      <c r="B665" s="79"/>
      <c r="C665" s="56"/>
      <c r="H665" s="56"/>
      <c r="M665" s="56"/>
      <c r="R665" s="56"/>
      <c r="W665" s="56"/>
      <c r="AB665" s="56"/>
    </row>
    <row r="666" spans="1:28" ht="42" customHeight="1" x14ac:dyDescent="0.2">
      <c r="A666" s="68"/>
      <c r="B666" s="79"/>
      <c r="C666" s="56"/>
      <c r="H666" s="56"/>
      <c r="M666" s="56"/>
      <c r="R666" s="56"/>
      <c r="W666" s="56"/>
      <c r="AB666" s="56"/>
    </row>
    <row r="667" spans="1:28" ht="42" customHeight="1" x14ac:dyDescent="0.2">
      <c r="A667" s="68"/>
      <c r="B667" s="79"/>
      <c r="C667" s="56"/>
      <c r="H667" s="56"/>
      <c r="M667" s="56"/>
      <c r="R667" s="56"/>
      <c r="W667" s="56"/>
      <c r="AB667" s="56"/>
    </row>
  </sheetData>
  <mergeCells count="305">
    <mergeCell ref="X347:X470"/>
    <mergeCell ref="AB347:AB470"/>
    <mergeCell ref="D479:D506"/>
    <mergeCell ref="H479:H506"/>
    <mergeCell ref="I479:I506"/>
    <mergeCell ref="M479:M506"/>
    <mergeCell ref="N479:N506"/>
    <mergeCell ref="R479:R506"/>
    <mergeCell ref="S479:S506"/>
    <mergeCell ref="W479:W506"/>
    <mergeCell ref="X477:X478"/>
    <mergeCell ref="X479:X506"/>
    <mergeCell ref="AB477:AB478"/>
    <mergeCell ref="S471:S475"/>
    <mergeCell ref="W471:W475"/>
    <mergeCell ref="X471:X475"/>
    <mergeCell ref="AB471:AB475"/>
    <mergeCell ref="D477:D478"/>
    <mergeCell ref="H477:H478"/>
    <mergeCell ref="I477:I478"/>
    <mergeCell ref="M477:M478"/>
    <mergeCell ref="N477:N478"/>
    <mergeCell ref="R477:R478"/>
    <mergeCell ref="H471:H475"/>
    <mergeCell ref="W50:W109"/>
    <mergeCell ref="X50:X109"/>
    <mergeCell ref="AB50:AB109"/>
    <mergeCell ref="C110:C113"/>
    <mergeCell ref="D110:D113"/>
    <mergeCell ref="H110:H113"/>
    <mergeCell ref="I110:I113"/>
    <mergeCell ref="M110:M113"/>
    <mergeCell ref="N110:N113"/>
    <mergeCell ref="R110:R113"/>
    <mergeCell ref="S110:S113"/>
    <mergeCell ref="W110:W113"/>
    <mergeCell ref="X110:X113"/>
    <mergeCell ref="AB110:AB113"/>
    <mergeCell ref="C50:C109"/>
    <mergeCell ref="D50:D109"/>
    <mergeCell ref="H50:H109"/>
    <mergeCell ref="A50:A109"/>
    <mergeCell ref="C191:C193"/>
    <mergeCell ref="D191:D193"/>
    <mergeCell ref="H191:H193"/>
    <mergeCell ref="I191:I193"/>
    <mergeCell ref="M191:M193"/>
    <mergeCell ref="N191:N193"/>
    <mergeCell ref="R191:R193"/>
    <mergeCell ref="S191:S193"/>
    <mergeCell ref="S129:S137"/>
    <mergeCell ref="I50:I109"/>
    <mergeCell ref="M50:M109"/>
    <mergeCell ref="N50:N109"/>
    <mergeCell ref="R50:R109"/>
    <mergeCell ref="S50:S109"/>
    <mergeCell ref="I138:I152"/>
    <mergeCell ref="M138:M152"/>
    <mergeCell ref="N138:N152"/>
    <mergeCell ref="R138:R152"/>
    <mergeCell ref="S138:S152"/>
    <mergeCell ref="A114:A128"/>
    <mergeCell ref="C114:C128"/>
    <mergeCell ref="D114:D128"/>
    <mergeCell ref="S114:S128"/>
    <mergeCell ref="S10:S28"/>
    <mergeCell ref="W10:W28"/>
    <mergeCell ref="B9:AB9"/>
    <mergeCell ref="W1:AB1"/>
    <mergeCell ref="W2:AB2"/>
    <mergeCell ref="M5:Q5"/>
    <mergeCell ref="R5:V5"/>
    <mergeCell ref="W5:AA5"/>
    <mergeCell ref="AB114:AB128"/>
    <mergeCell ref="B3:AB3"/>
    <mergeCell ref="X10:X28"/>
    <mergeCell ref="AB10:AB28"/>
    <mergeCell ref="AB4:AB6"/>
    <mergeCell ref="C41:C49"/>
    <mergeCell ref="D41:D49"/>
    <mergeCell ref="H41:H49"/>
    <mergeCell ref="M41:M49"/>
    <mergeCell ref="N41:N49"/>
    <mergeCell ref="H5:L5"/>
    <mergeCell ref="X41:X49"/>
    <mergeCell ref="AB41:AB49"/>
    <mergeCell ref="AB29:AB40"/>
    <mergeCell ref="M29:M40"/>
    <mergeCell ref="H29:H40"/>
    <mergeCell ref="W29:W40"/>
    <mergeCell ref="N29:N40"/>
    <mergeCell ref="R29:R40"/>
    <mergeCell ref="S29:S40"/>
    <mergeCell ref="X29:X40"/>
    <mergeCell ref="W41:W49"/>
    <mergeCell ref="A191:A193"/>
    <mergeCell ref="C5:G5"/>
    <mergeCell ref="R41:R49"/>
    <mergeCell ref="S41:S49"/>
    <mergeCell ref="A110:A113"/>
    <mergeCell ref="A129:A137"/>
    <mergeCell ref="C129:C137"/>
    <mergeCell ref="D129:D137"/>
    <mergeCell ref="H129:H137"/>
    <mergeCell ref="I129:I137"/>
    <mergeCell ref="M129:M137"/>
    <mergeCell ref="N129:N137"/>
    <mergeCell ref="R129:R137"/>
    <mergeCell ref="A8:AB8"/>
    <mergeCell ref="A4:A6"/>
    <mergeCell ref="B4:B6"/>
    <mergeCell ref="C4:AA4"/>
    <mergeCell ref="A29:A40"/>
    <mergeCell ref="AB172:AB189"/>
    <mergeCell ref="AB129:AB137"/>
    <mergeCell ref="W138:W152"/>
    <mergeCell ref="X138:X152"/>
    <mergeCell ref="AB138:AB152"/>
    <mergeCell ref="A10:A28"/>
    <mergeCell ref="I10:I28"/>
    <mergeCell ref="M10:M28"/>
    <mergeCell ref="N10:N28"/>
    <mergeCell ref="R10:R28"/>
    <mergeCell ref="A41:A49"/>
    <mergeCell ref="I41:I49"/>
    <mergeCell ref="A138:A152"/>
    <mergeCell ref="C138:C152"/>
    <mergeCell ref="D138:D152"/>
    <mergeCell ref="H138:H152"/>
    <mergeCell ref="C29:C40"/>
    <mergeCell ref="D29:D40"/>
    <mergeCell ref="C10:C28"/>
    <mergeCell ref="H10:H28"/>
    <mergeCell ref="I29:I40"/>
    <mergeCell ref="D10:D28"/>
    <mergeCell ref="H114:H128"/>
    <mergeCell ref="I114:I128"/>
    <mergeCell ref="R114:R128"/>
    <mergeCell ref="X114:X128"/>
    <mergeCell ref="A172:A189"/>
    <mergeCell ref="W191:W193"/>
    <mergeCell ref="X191:X193"/>
    <mergeCell ref="W129:W137"/>
    <mergeCell ref="X129:X137"/>
    <mergeCell ref="C172:C189"/>
    <mergeCell ref="D172:D189"/>
    <mergeCell ref="H172:H189"/>
    <mergeCell ref="I172:I189"/>
    <mergeCell ref="M172:M189"/>
    <mergeCell ref="N172:N189"/>
    <mergeCell ref="R172:R189"/>
    <mergeCell ref="S172:S189"/>
    <mergeCell ref="W172:W189"/>
    <mergeCell ref="X172:X189"/>
    <mergeCell ref="M114:M128"/>
    <mergeCell ref="N114:N128"/>
    <mergeCell ref="W114:W128"/>
    <mergeCell ref="A591:B591"/>
    <mergeCell ref="B587:AB587"/>
    <mergeCell ref="AB521:AB542"/>
    <mergeCell ref="X521:X542"/>
    <mergeCell ref="A521:A542"/>
    <mergeCell ref="S563:S586"/>
    <mergeCell ref="W563:W586"/>
    <mergeCell ref="AB479:AB506"/>
    <mergeCell ref="H507:H509"/>
    <mergeCell ref="I507:I509"/>
    <mergeCell ref="R507:R509"/>
    <mergeCell ref="S507:S509"/>
    <mergeCell ref="W507:W509"/>
    <mergeCell ref="X507:X509"/>
    <mergeCell ref="AB507:AB509"/>
    <mergeCell ref="X510:X517"/>
    <mergeCell ref="AB510:AB517"/>
    <mergeCell ref="A589:B589"/>
    <mergeCell ref="X563:X586"/>
    <mergeCell ref="R521:R542"/>
    <mergeCell ref="S521:S542"/>
    <mergeCell ref="A590:B590"/>
    <mergeCell ref="W549:W562"/>
    <mergeCell ref="X549:X562"/>
    <mergeCell ref="W347:W470"/>
    <mergeCell ref="A507:A509"/>
    <mergeCell ref="C507:C509"/>
    <mergeCell ref="D507:D509"/>
    <mergeCell ref="M507:M509"/>
    <mergeCell ref="N507:N509"/>
    <mergeCell ref="C479:C506"/>
    <mergeCell ref="A471:A475"/>
    <mergeCell ref="A477:A478"/>
    <mergeCell ref="C477:C478"/>
    <mergeCell ref="I471:I475"/>
    <mergeCell ref="M471:M475"/>
    <mergeCell ref="N471:N475"/>
    <mergeCell ref="R471:R475"/>
    <mergeCell ref="A479:A506"/>
    <mergeCell ref="S196:S201"/>
    <mergeCell ref="W202:W248"/>
    <mergeCell ref="X202:X248"/>
    <mergeCell ref="AB202:AB248"/>
    <mergeCell ref="W249:W296"/>
    <mergeCell ref="X249:X296"/>
    <mergeCell ref="AB249:AB296"/>
    <mergeCell ref="S249:S296"/>
    <mergeCell ref="AB191:AB193"/>
    <mergeCell ref="W196:W201"/>
    <mergeCell ref="X196:X201"/>
    <mergeCell ref="AB196:AB201"/>
    <mergeCell ref="S202:S248"/>
    <mergeCell ref="B195:AB195"/>
    <mergeCell ref="I196:I201"/>
    <mergeCell ref="M196:M201"/>
    <mergeCell ref="N196:N201"/>
    <mergeCell ref="R196:R201"/>
    <mergeCell ref="I249:I296"/>
    <mergeCell ref="M249:M296"/>
    <mergeCell ref="N249:N296"/>
    <mergeCell ref="R249:R296"/>
    <mergeCell ref="N202:N248"/>
    <mergeCell ref="R202:R248"/>
    <mergeCell ref="AB549:AB562"/>
    <mergeCell ref="A549:A562"/>
    <mergeCell ref="C549:C562"/>
    <mergeCell ref="D549:D562"/>
    <mergeCell ref="H549:H562"/>
    <mergeCell ref="I549:I562"/>
    <mergeCell ref="M549:M562"/>
    <mergeCell ref="N549:N562"/>
    <mergeCell ref="R549:R562"/>
    <mergeCell ref="S549:S562"/>
    <mergeCell ref="AB563:AB586"/>
    <mergeCell ref="A563:A586"/>
    <mergeCell ref="C563:C586"/>
    <mergeCell ref="D563:D586"/>
    <mergeCell ref="H563:H586"/>
    <mergeCell ref="I563:I586"/>
    <mergeCell ref="M563:M586"/>
    <mergeCell ref="N563:N586"/>
    <mergeCell ref="R563:R586"/>
    <mergeCell ref="A202:A248"/>
    <mergeCell ref="C202:C248"/>
    <mergeCell ref="D202:D248"/>
    <mergeCell ref="I202:I248"/>
    <mergeCell ref="A249:A296"/>
    <mergeCell ref="C249:C296"/>
    <mergeCell ref="D249:D296"/>
    <mergeCell ref="H249:H296"/>
    <mergeCell ref="H202:H248"/>
    <mergeCell ref="H196:H201"/>
    <mergeCell ref="M202:M248"/>
    <mergeCell ref="A196:A201"/>
    <mergeCell ref="C196:C201"/>
    <mergeCell ref="D196:D201"/>
    <mergeCell ref="A510:A517"/>
    <mergeCell ref="I510:I517"/>
    <mergeCell ref="A543:A548"/>
    <mergeCell ref="R543:R548"/>
    <mergeCell ref="N510:N517"/>
    <mergeCell ref="R510:R517"/>
    <mergeCell ref="C510:C517"/>
    <mergeCell ref="D510:D517"/>
    <mergeCell ref="H510:H517"/>
    <mergeCell ref="M510:M517"/>
    <mergeCell ref="C543:C548"/>
    <mergeCell ref="D543:D548"/>
    <mergeCell ref="H543:H548"/>
    <mergeCell ref="I543:I548"/>
    <mergeCell ref="M543:M548"/>
    <mergeCell ref="N543:N548"/>
    <mergeCell ref="A297:A346"/>
    <mergeCell ref="C297:C346"/>
    <mergeCell ref="D297:D346"/>
    <mergeCell ref="H297:H346"/>
    <mergeCell ref="I297:I346"/>
    <mergeCell ref="A347:A470"/>
    <mergeCell ref="C471:C475"/>
    <mergeCell ref="D471:D475"/>
    <mergeCell ref="C347:C470"/>
    <mergeCell ref="D347:D470"/>
    <mergeCell ref="H347:H470"/>
    <mergeCell ref="I347:I470"/>
    <mergeCell ref="X543:X548"/>
    <mergeCell ref="AB543:AB548"/>
    <mergeCell ref="X297:X346"/>
    <mergeCell ref="AB297:AB346"/>
    <mergeCell ref="W521:W542"/>
    <mergeCell ref="C521:C542"/>
    <mergeCell ref="D521:D542"/>
    <mergeCell ref="S543:S548"/>
    <mergeCell ref="W543:W548"/>
    <mergeCell ref="S510:S517"/>
    <mergeCell ref="W510:W517"/>
    <mergeCell ref="M297:M346"/>
    <mergeCell ref="N297:N346"/>
    <mergeCell ref="R297:R346"/>
    <mergeCell ref="S297:S346"/>
    <mergeCell ref="W297:W346"/>
    <mergeCell ref="S477:S478"/>
    <mergeCell ref="W477:W478"/>
    <mergeCell ref="H521:H542"/>
    <mergeCell ref="N521:N542"/>
    <mergeCell ref="M521:M542"/>
    <mergeCell ref="I521:I542"/>
    <mergeCell ref="R347:R470"/>
    <mergeCell ref="S347:S470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4" firstPageNumber="5" fitToHeight="0" orientation="landscape" useFirstPageNumber="1" r:id="rId1"/>
  <headerFooter alignWithMargins="0">
    <oddHeader>&amp;C&amp;P</oddHeader>
  </headerFooter>
  <rowBreaks count="10" manualBreakCount="10">
    <brk id="40" max="27" man="1"/>
    <brk id="80" max="27" man="1"/>
    <brk id="126" max="27" man="1"/>
    <brk id="171" max="27" man="1"/>
    <brk id="219" max="27" man="1"/>
    <brk id="267" max="27" man="1"/>
    <brk id="319" max="27" man="1"/>
    <brk id="426" max="27" man="1"/>
    <brk id="478" max="27" man="1"/>
    <brk id="526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77"/>
  <sheetViews>
    <sheetView showRuler="0" view="pageBreakPreview" zoomScale="60" zoomScaleNormal="79" zoomScalePageLayoutView="70" workbookViewId="0">
      <selection activeCell="L2" sqref="L2"/>
    </sheetView>
  </sheetViews>
  <sheetFormatPr defaultColWidth="8.7109375" defaultRowHeight="12.75" outlineLevelRow="1" x14ac:dyDescent="0.2"/>
  <cols>
    <col min="1" max="1" width="11" style="22" customWidth="1"/>
    <col min="2" max="2" width="26.28515625" style="1" customWidth="1"/>
    <col min="3" max="3" width="10.28515625" style="23" customWidth="1"/>
    <col min="4" max="4" width="13.5703125" style="24" customWidth="1"/>
    <col min="5" max="5" width="7.7109375" style="24" customWidth="1"/>
    <col min="6" max="6" width="13.28515625" style="24" customWidth="1"/>
    <col min="7" max="7" width="9.5703125" style="24" customWidth="1"/>
    <col min="8" max="8" width="11.140625" style="24" customWidth="1"/>
    <col min="9" max="9" width="10.140625" style="24" customWidth="1"/>
    <col min="10" max="10" width="9" style="24" customWidth="1"/>
    <col min="11" max="11" width="11" style="4" customWidth="1"/>
    <col min="12" max="12" width="8.85546875" style="4" customWidth="1"/>
    <col min="13" max="13" width="10.85546875" style="7" customWidth="1"/>
    <col min="14" max="14" width="11" style="7" customWidth="1"/>
    <col min="15" max="15" width="7.5703125" style="28" customWidth="1"/>
    <col min="16" max="16" width="10.85546875" style="29" customWidth="1"/>
    <col min="17" max="17" width="9" style="29" customWidth="1"/>
    <col min="18" max="18" width="10.85546875" style="7" customWidth="1"/>
    <col min="19" max="19" width="12.85546875" style="7" customWidth="1"/>
    <col min="20" max="20" width="7.7109375" style="28" customWidth="1"/>
    <col min="21" max="21" width="12.7109375" style="29" customWidth="1"/>
    <col min="22" max="22" width="9.85546875" style="29" customWidth="1"/>
    <col min="23" max="23" width="12.5703125" style="7" customWidth="1"/>
    <col min="24" max="24" width="10.7109375" style="7" customWidth="1"/>
    <col min="25" max="25" width="9.140625" style="28" customWidth="1"/>
    <col min="26" max="26" width="11" style="29" customWidth="1"/>
    <col min="27" max="27" width="9.7109375" style="7" customWidth="1"/>
    <col min="28" max="28" width="10.85546875" style="7" customWidth="1"/>
    <col min="29" max="29" width="10.140625" style="7" customWidth="1"/>
    <col min="30" max="30" width="14.28515625" style="1" bestFit="1" customWidth="1"/>
    <col min="31" max="31" width="14.7109375" style="1" customWidth="1"/>
    <col min="32" max="32" width="10.85546875" style="1" bestFit="1" customWidth="1"/>
    <col min="33" max="16384" width="8.7109375" style="1"/>
  </cols>
  <sheetData>
    <row r="1" spans="1:30" ht="85.15" customHeight="1" x14ac:dyDescent="0.2">
      <c r="A1" s="220"/>
      <c r="B1" s="76"/>
      <c r="C1" s="221"/>
      <c r="D1" s="76"/>
      <c r="E1" s="221"/>
      <c r="F1" s="76"/>
      <c r="G1" s="76"/>
      <c r="H1" s="76"/>
      <c r="I1" s="76"/>
      <c r="J1" s="221"/>
      <c r="K1" s="76"/>
      <c r="L1" s="76"/>
      <c r="M1" s="76"/>
      <c r="N1" s="76"/>
      <c r="O1" s="221"/>
      <c r="P1" s="76"/>
      <c r="Q1" s="76"/>
      <c r="R1" s="76"/>
      <c r="S1" s="76"/>
      <c r="T1" s="221"/>
      <c r="U1" s="76"/>
      <c r="V1" s="76"/>
      <c r="W1" s="76"/>
      <c r="X1" s="76"/>
      <c r="Y1" s="153"/>
      <c r="Z1" s="427" t="s">
        <v>1393</v>
      </c>
      <c r="AA1" s="427"/>
      <c r="AB1" s="427"/>
      <c r="AC1" s="427"/>
      <c r="AD1" s="56"/>
    </row>
    <row r="2" spans="1:30" ht="101.25" customHeight="1" x14ac:dyDescent="0.2">
      <c r="A2" s="220"/>
      <c r="B2" s="76"/>
      <c r="C2" s="221"/>
      <c r="D2" s="76"/>
      <c r="E2" s="221"/>
      <c r="F2" s="76"/>
      <c r="G2" s="76"/>
      <c r="H2" s="76"/>
      <c r="I2" s="76"/>
      <c r="J2" s="221"/>
      <c r="K2" s="76"/>
      <c r="L2" s="76"/>
      <c r="M2" s="76"/>
      <c r="N2" s="76"/>
      <c r="O2" s="221"/>
      <c r="P2" s="76"/>
      <c r="Q2" s="76"/>
      <c r="R2" s="76"/>
      <c r="S2" s="76"/>
      <c r="T2" s="221"/>
      <c r="U2" s="76"/>
      <c r="V2" s="76"/>
      <c r="W2" s="76"/>
      <c r="X2" s="76"/>
      <c r="Y2" s="153"/>
      <c r="Z2" s="372" t="s">
        <v>412</v>
      </c>
      <c r="AA2" s="372"/>
      <c r="AB2" s="372"/>
      <c r="AC2" s="372"/>
      <c r="AD2" s="56"/>
    </row>
    <row r="3" spans="1:30" ht="54" customHeight="1" x14ac:dyDescent="0.3">
      <c r="A3" s="456" t="s">
        <v>670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56"/>
    </row>
    <row r="4" spans="1:30" s="14" customFormat="1" ht="15.6" customHeight="1" x14ac:dyDescent="0.2">
      <c r="A4" s="460" t="s">
        <v>671</v>
      </c>
      <c r="B4" s="453" t="s">
        <v>0</v>
      </c>
      <c r="C4" s="455" t="s">
        <v>199</v>
      </c>
      <c r="D4" s="455" t="s">
        <v>169</v>
      </c>
      <c r="E4" s="458" t="s">
        <v>14</v>
      </c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222"/>
    </row>
    <row r="5" spans="1:30" s="8" customFormat="1" ht="27.4" customHeight="1" x14ac:dyDescent="0.2">
      <c r="A5" s="460"/>
      <c r="B5" s="453"/>
      <c r="C5" s="455"/>
      <c r="D5" s="455"/>
      <c r="E5" s="454" t="s">
        <v>21</v>
      </c>
      <c r="F5" s="454"/>
      <c r="G5" s="454"/>
      <c r="H5" s="454"/>
      <c r="I5" s="454"/>
      <c r="J5" s="452" t="s">
        <v>22</v>
      </c>
      <c r="K5" s="452"/>
      <c r="L5" s="452"/>
      <c r="M5" s="452"/>
      <c r="N5" s="452"/>
      <c r="O5" s="452" t="s">
        <v>23</v>
      </c>
      <c r="P5" s="452"/>
      <c r="Q5" s="452"/>
      <c r="R5" s="452"/>
      <c r="S5" s="452"/>
      <c r="T5" s="452" t="s">
        <v>24</v>
      </c>
      <c r="U5" s="452"/>
      <c r="V5" s="452"/>
      <c r="W5" s="452"/>
      <c r="X5" s="452"/>
      <c r="Y5" s="452" t="s">
        <v>25</v>
      </c>
      <c r="Z5" s="452"/>
      <c r="AA5" s="452"/>
      <c r="AB5" s="452"/>
      <c r="AC5" s="452"/>
      <c r="AD5" s="154"/>
    </row>
    <row r="6" spans="1:30" s="8" customFormat="1" ht="64.150000000000006" customHeight="1" x14ac:dyDescent="0.2">
      <c r="A6" s="460"/>
      <c r="B6" s="453"/>
      <c r="C6" s="455"/>
      <c r="D6" s="455"/>
      <c r="E6" s="223" t="s">
        <v>199</v>
      </c>
      <c r="F6" s="59" t="s">
        <v>5</v>
      </c>
      <c r="G6" s="59" t="s">
        <v>170</v>
      </c>
      <c r="H6" s="224" t="s">
        <v>6</v>
      </c>
      <c r="I6" s="225" t="s">
        <v>13</v>
      </c>
      <c r="J6" s="223" t="s">
        <v>199</v>
      </c>
      <c r="K6" s="59" t="s">
        <v>5</v>
      </c>
      <c r="L6" s="59" t="s">
        <v>170</v>
      </c>
      <c r="M6" s="225" t="s">
        <v>6</v>
      </c>
      <c r="N6" s="225" t="s">
        <v>13</v>
      </c>
      <c r="O6" s="223" t="s">
        <v>199</v>
      </c>
      <c r="P6" s="59" t="s">
        <v>5</v>
      </c>
      <c r="Q6" s="59" t="s">
        <v>170</v>
      </c>
      <c r="R6" s="225" t="s">
        <v>6</v>
      </c>
      <c r="S6" s="225" t="s">
        <v>13</v>
      </c>
      <c r="T6" s="223" t="s">
        <v>199</v>
      </c>
      <c r="U6" s="59" t="s">
        <v>5</v>
      </c>
      <c r="V6" s="59" t="s">
        <v>170</v>
      </c>
      <c r="W6" s="225" t="s">
        <v>6</v>
      </c>
      <c r="X6" s="225" t="s">
        <v>13</v>
      </c>
      <c r="Y6" s="223" t="s">
        <v>199</v>
      </c>
      <c r="Z6" s="59" t="s">
        <v>5</v>
      </c>
      <c r="AA6" s="59" t="s">
        <v>170</v>
      </c>
      <c r="AB6" s="225" t="s">
        <v>171</v>
      </c>
      <c r="AC6" s="225" t="s">
        <v>36</v>
      </c>
      <c r="AD6" s="154"/>
    </row>
    <row r="7" spans="1:30" ht="22.35" customHeight="1" x14ac:dyDescent="0.2">
      <c r="A7" s="226">
        <v>1</v>
      </c>
      <c r="B7" s="227">
        <v>2</v>
      </c>
      <c r="C7" s="226">
        <v>3</v>
      </c>
      <c r="D7" s="226">
        <v>4</v>
      </c>
      <c r="E7" s="226">
        <v>5</v>
      </c>
      <c r="F7" s="226">
        <v>6</v>
      </c>
      <c r="G7" s="226">
        <v>7</v>
      </c>
      <c r="H7" s="226">
        <v>8</v>
      </c>
      <c r="I7" s="226">
        <v>9</v>
      </c>
      <c r="J7" s="226">
        <v>10</v>
      </c>
      <c r="K7" s="226">
        <v>11</v>
      </c>
      <c r="L7" s="226">
        <v>12</v>
      </c>
      <c r="M7" s="228">
        <v>13</v>
      </c>
      <c r="N7" s="228">
        <v>14</v>
      </c>
      <c r="O7" s="228">
        <v>15</v>
      </c>
      <c r="P7" s="228">
        <v>16</v>
      </c>
      <c r="Q7" s="228">
        <v>17</v>
      </c>
      <c r="R7" s="228">
        <v>18</v>
      </c>
      <c r="S7" s="228">
        <v>19</v>
      </c>
      <c r="T7" s="228">
        <v>20</v>
      </c>
      <c r="U7" s="228">
        <v>21</v>
      </c>
      <c r="V7" s="228">
        <v>22</v>
      </c>
      <c r="W7" s="228">
        <v>23</v>
      </c>
      <c r="X7" s="228">
        <v>24</v>
      </c>
      <c r="Y7" s="228">
        <v>25</v>
      </c>
      <c r="Z7" s="228">
        <v>26</v>
      </c>
      <c r="AA7" s="228">
        <v>27</v>
      </c>
      <c r="AB7" s="228">
        <v>28</v>
      </c>
      <c r="AC7" s="228">
        <v>29</v>
      </c>
      <c r="AD7" s="56"/>
    </row>
    <row r="8" spans="1:30" s="6" customFormat="1" ht="60.75" customHeight="1" x14ac:dyDescent="0.2">
      <c r="A8" s="416" t="s">
        <v>1145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8"/>
      <c r="AD8" s="229"/>
    </row>
    <row r="9" spans="1:30" s="6" customFormat="1" ht="53.25" customHeight="1" x14ac:dyDescent="0.2">
      <c r="A9" s="157" t="s">
        <v>2</v>
      </c>
      <c r="B9" s="424" t="s">
        <v>1146</v>
      </c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425"/>
      <c r="AD9" s="230"/>
    </row>
    <row r="10" spans="1:30" ht="34.5" customHeight="1" x14ac:dyDescent="0.2">
      <c r="A10" s="157" t="s">
        <v>497</v>
      </c>
      <c r="B10" s="424" t="s">
        <v>1148</v>
      </c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45"/>
      <c r="AD10" s="56"/>
    </row>
    <row r="11" spans="1:30" s="4" customFormat="1" ht="91.15" customHeight="1" x14ac:dyDescent="0.2">
      <c r="A11" s="231" t="s">
        <v>1306</v>
      </c>
      <c r="B11" s="232" t="s">
        <v>172</v>
      </c>
      <c r="C11" s="233">
        <f>E11+J11+O11+T11+Y11</f>
        <v>0.56999999999999995</v>
      </c>
      <c r="D11" s="234">
        <f>F11+K11+P11+U11+Z11</f>
        <v>125721</v>
      </c>
      <c r="E11" s="233">
        <f t="shared" ref="E11:AC11" si="0">E12+E13+E14</f>
        <v>0</v>
      </c>
      <c r="F11" s="234">
        <f t="shared" si="0"/>
        <v>0</v>
      </c>
      <c r="G11" s="234">
        <f t="shared" si="0"/>
        <v>0</v>
      </c>
      <c r="H11" s="234">
        <f t="shared" si="0"/>
        <v>0</v>
      </c>
      <c r="I11" s="234">
        <f t="shared" si="0"/>
        <v>0</v>
      </c>
      <c r="J11" s="233">
        <f>J12+J13+J14</f>
        <v>0</v>
      </c>
      <c r="K11" s="234">
        <f t="shared" si="0"/>
        <v>0</v>
      </c>
      <c r="L11" s="234">
        <f t="shared" si="0"/>
        <v>0</v>
      </c>
      <c r="M11" s="234">
        <f t="shared" si="0"/>
        <v>0</v>
      </c>
      <c r="N11" s="234">
        <f>N12+N13+N14</f>
        <v>0</v>
      </c>
      <c r="O11" s="233">
        <f t="shared" si="0"/>
        <v>0</v>
      </c>
      <c r="P11" s="234">
        <f t="shared" si="0"/>
        <v>0</v>
      </c>
      <c r="Q11" s="234">
        <f t="shared" si="0"/>
        <v>0</v>
      </c>
      <c r="R11" s="234">
        <f t="shared" si="0"/>
        <v>0</v>
      </c>
      <c r="S11" s="234">
        <f t="shared" si="0"/>
        <v>0</v>
      </c>
      <c r="T11" s="233">
        <f t="shared" si="0"/>
        <v>0.56999999999999995</v>
      </c>
      <c r="U11" s="234">
        <f>U12+U13+U14</f>
        <v>125721</v>
      </c>
      <c r="V11" s="234">
        <f t="shared" si="0"/>
        <v>0</v>
      </c>
      <c r="W11" s="234">
        <f t="shared" si="0"/>
        <v>110232</v>
      </c>
      <c r="X11" s="234">
        <f t="shared" si="0"/>
        <v>15489</v>
      </c>
      <c r="Y11" s="233">
        <f t="shared" si="0"/>
        <v>0</v>
      </c>
      <c r="Z11" s="234">
        <f t="shared" si="0"/>
        <v>0</v>
      </c>
      <c r="AA11" s="234">
        <f t="shared" si="0"/>
        <v>0</v>
      </c>
      <c r="AB11" s="234">
        <f t="shared" si="0"/>
        <v>0</v>
      </c>
      <c r="AC11" s="234">
        <f t="shared" si="0"/>
        <v>0</v>
      </c>
      <c r="AD11" s="66"/>
    </row>
    <row r="12" spans="1:30" s="4" customFormat="1" ht="85.15" customHeight="1" outlineLevel="1" x14ac:dyDescent="0.2">
      <c r="A12" s="235" t="s">
        <v>1304</v>
      </c>
      <c r="B12" s="236" t="s">
        <v>173</v>
      </c>
      <c r="C12" s="237">
        <f t="shared" ref="C12:C16" si="1">E12+J12+O12+T12+Y12</f>
        <v>0.56999999999999995</v>
      </c>
      <c r="D12" s="238">
        <f t="shared" ref="D12:D13" si="2">F12+K12+P12+U12+Z12</f>
        <v>123838</v>
      </c>
      <c r="E12" s="237">
        <v>0</v>
      </c>
      <c r="F12" s="238">
        <v>0</v>
      </c>
      <c r="G12" s="238">
        <v>0</v>
      </c>
      <c r="H12" s="238">
        <v>0</v>
      </c>
      <c r="I12" s="238">
        <v>0</v>
      </c>
      <c r="J12" s="239">
        <v>0</v>
      </c>
      <c r="K12" s="238">
        <f>SUM(L12:N12)</f>
        <v>0</v>
      </c>
      <c r="L12" s="238">
        <v>0</v>
      </c>
      <c r="M12" s="240">
        <v>0</v>
      </c>
      <c r="N12" s="240">
        <f>7196-7196</f>
        <v>0</v>
      </c>
      <c r="O12" s="239">
        <f>0.58-0.58</f>
        <v>0</v>
      </c>
      <c r="P12" s="238">
        <f>Q12+R12+S12</f>
        <v>0</v>
      </c>
      <c r="Q12" s="240">
        <v>0</v>
      </c>
      <c r="R12" s="240">
        <v>0</v>
      </c>
      <c r="S12" s="240">
        <f>6622-6622</f>
        <v>0</v>
      </c>
      <c r="T12" s="239">
        <v>0.56999999999999995</v>
      </c>
      <c r="U12" s="238">
        <f>W12+X12+V12</f>
        <v>123838</v>
      </c>
      <c r="V12" s="240">
        <v>0</v>
      </c>
      <c r="W12" s="240">
        <v>110232</v>
      </c>
      <c r="X12" s="240">
        <v>13606</v>
      </c>
      <c r="Y12" s="239">
        <v>0</v>
      </c>
      <c r="Z12" s="238">
        <f>AB12+AC12+AA12</f>
        <v>0</v>
      </c>
      <c r="AA12" s="240">
        <v>0</v>
      </c>
      <c r="AB12" s="240">
        <v>0</v>
      </c>
      <c r="AC12" s="240">
        <v>0</v>
      </c>
      <c r="AD12" s="66"/>
    </row>
    <row r="13" spans="1:30" s="4" customFormat="1" ht="101.45" customHeight="1" outlineLevel="1" x14ac:dyDescent="0.2">
      <c r="A13" s="235" t="s">
        <v>1305</v>
      </c>
      <c r="B13" s="236" t="s">
        <v>174</v>
      </c>
      <c r="C13" s="237">
        <f t="shared" si="1"/>
        <v>0</v>
      </c>
      <c r="D13" s="238">
        <f t="shared" si="2"/>
        <v>1883</v>
      </c>
      <c r="E13" s="237">
        <v>0</v>
      </c>
      <c r="F13" s="238">
        <f>H13+I13</f>
        <v>0</v>
      </c>
      <c r="G13" s="238">
        <v>0</v>
      </c>
      <c r="H13" s="238">
        <v>0</v>
      </c>
      <c r="I13" s="238">
        <v>0</v>
      </c>
      <c r="J13" s="239">
        <v>0</v>
      </c>
      <c r="K13" s="238">
        <f>SUM(L13:N13)</f>
        <v>0</v>
      </c>
      <c r="L13" s="238">
        <v>0</v>
      </c>
      <c r="M13" s="240">
        <v>0</v>
      </c>
      <c r="N13" s="240">
        <v>0</v>
      </c>
      <c r="O13" s="239">
        <v>0</v>
      </c>
      <c r="P13" s="238">
        <f>R13+S13</f>
        <v>0</v>
      </c>
      <c r="Q13" s="240">
        <v>0</v>
      </c>
      <c r="R13" s="240">
        <v>0</v>
      </c>
      <c r="S13" s="240">
        <v>0</v>
      </c>
      <c r="T13" s="239">
        <v>0</v>
      </c>
      <c r="U13" s="238">
        <f>W13+X13</f>
        <v>1883</v>
      </c>
      <c r="V13" s="240">
        <v>0</v>
      </c>
      <c r="W13" s="240">
        <v>0</v>
      </c>
      <c r="X13" s="240">
        <f>1954-71</f>
        <v>1883</v>
      </c>
      <c r="Y13" s="239">
        <v>0</v>
      </c>
      <c r="Z13" s="238">
        <f>AB13+AC13</f>
        <v>0</v>
      </c>
      <c r="AA13" s="240">
        <v>0</v>
      </c>
      <c r="AB13" s="240">
        <v>0</v>
      </c>
      <c r="AC13" s="240">
        <v>0</v>
      </c>
      <c r="AD13" s="66"/>
    </row>
    <row r="14" spans="1:30" s="4" customFormat="1" ht="99.6" customHeight="1" outlineLevel="1" x14ac:dyDescent="0.2">
      <c r="A14" s="235" t="s">
        <v>1307</v>
      </c>
      <c r="B14" s="236" t="s">
        <v>175</v>
      </c>
      <c r="C14" s="237">
        <f t="shared" si="1"/>
        <v>0</v>
      </c>
      <c r="D14" s="238">
        <f>F14+K14+P14+U14+Z14</f>
        <v>0</v>
      </c>
      <c r="E14" s="237">
        <v>0</v>
      </c>
      <c r="F14" s="238">
        <v>0</v>
      </c>
      <c r="G14" s="238">
        <v>0</v>
      </c>
      <c r="H14" s="238">
        <v>0</v>
      </c>
      <c r="I14" s="238">
        <v>0</v>
      </c>
      <c r="J14" s="239">
        <v>0</v>
      </c>
      <c r="K14" s="238">
        <f>SUM(L14:N14)</f>
        <v>0</v>
      </c>
      <c r="L14" s="238">
        <v>0</v>
      </c>
      <c r="M14" s="240">
        <v>0</v>
      </c>
      <c r="N14" s="240">
        <v>0</v>
      </c>
      <c r="O14" s="239">
        <v>0</v>
      </c>
      <c r="P14" s="238">
        <f>R14+S14</f>
        <v>0</v>
      </c>
      <c r="Q14" s="240">
        <v>0</v>
      </c>
      <c r="R14" s="240">
        <v>0</v>
      </c>
      <c r="S14" s="240">
        <v>0</v>
      </c>
      <c r="T14" s="239">
        <v>0</v>
      </c>
      <c r="U14" s="238">
        <f>W14+X14</f>
        <v>0</v>
      </c>
      <c r="V14" s="240">
        <v>0</v>
      </c>
      <c r="W14" s="240">
        <v>0</v>
      </c>
      <c r="X14" s="240">
        <v>0</v>
      </c>
      <c r="Y14" s="239">
        <v>0</v>
      </c>
      <c r="Z14" s="238">
        <f>AB14+AC14</f>
        <v>0</v>
      </c>
      <c r="AA14" s="240">
        <v>0</v>
      </c>
      <c r="AB14" s="240">
        <v>0</v>
      </c>
      <c r="AC14" s="240">
        <v>0</v>
      </c>
      <c r="AD14" s="66"/>
    </row>
    <row r="15" spans="1:30" s="4" customFormat="1" ht="53.25" customHeight="1" x14ac:dyDescent="0.2">
      <c r="A15" s="231" t="s">
        <v>1308</v>
      </c>
      <c r="B15" s="232" t="s">
        <v>215</v>
      </c>
      <c r="C15" s="233">
        <f>E15+J15+O15+T15+Y15</f>
        <v>0</v>
      </c>
      <c r="D15" s="234">
        <f t="shared" ref="D15:D20" si="3">F15+K15+P15+U15+Z15</f>
        <v>0</v>
      </c>
      <c r="E15" s="233">
        <v>0</v>
      </c>
      <c r="F15" s="234">
        <v>0</v>
      </c>
      <c r="G15" s="234">
        <v>0</v>
      </c>
      <c r="H15" s="234">
        <v>0</v>
      </c>
      <c r="I15" s="234">
        <v>0</v>
      </c>
      <c r="J15" s="241">
        <v>0</v>
      </c>
      <c r="K15" s="234">
        <f t="shared" ref="K15:K20" si="4">SUM(L15:N15)</f>
        <v>0</v>
      </c>
      <c r="L15" s="234">
        <v>0</v>
      </c>
      <c r="M15" s="234">
        <v>0</v>
      </c>
      <c r="N15" s="234">
        <v>0</v>
      </c>
      <c r="O15" s="241">
        <v>0</v>
      </c>
      <c r="P15" s="234">
        <f t="shared" ref="P15:P20" si="5">R15+S15</f>
        <v>0</v>
      </c>
      <c r="Q15" s="234">
        <v>0</v>
      </c>
      <c r="R15" s="234">
        <v>0</v>
      </c>
      <c r="S15" s="234">
        <v>0</v>
      </c>
      <c r="T15" s="241">
        <v>0</v>
      </c>
      <c r="U15" s="234">
        <f t="shared" ref="U15:U20" si="6">W15+X15</f>
        <v>0</v>
      </c>
      <c r="V15" s="234">
        <v>0</v>
      </c>
      <c r="W15" s="234">
        <v>0</v>
      </c>
      <c r="X15" s="234">
        <v>0</v>
      </c>
      <c r="Y15" s="241">
        <v>0</v>
      </c>
      <c r="Z15" s="234">
        <f t="shared" ref="Z15:Z20" si="7">AB15+AC15</f>
        <v>0</v>
      </c>
      <c r="AA15" s="234">
        <v>0</v>
      </c>
      <c r="AB15" s="234">
        <v>0</v>
      </c>
      <c r="AC15" s="234">
        <v>0</v>
      </c>
      <c r="AD15" s="66"/>
    </row>
    <row r="16" spans="1:30" s="4" customFormat="1" ht="73.900000000000006" customHeight="1" x14ac:dyDescent="0.2">
      <c r="A16" s="231" t="s">
        <v>1309</v>
      </c>
      <c r="B16" s="232" t="s">
        <v>27</v>
      </c>
      <c r="C16" s="233">
        <f t="shared" si="1"/>
        <v>0</v>
      </c>
      <c r="D16" s="234">
        <f t="shared" si="3"/>
        <v>0</v>
      </c>
      <c r="E16" s="233">
        <v>0</v>
      </c>
      <c r="F16" s="234">
        <v>0</v>
      </c>
      <c r="G16" s="234">
        <v>0</v>
      </c>
      <c r="H16" s="234">
        <v>0</v>
      </c>
      <c r="I16" s="234">
        <v>0</v>
      </c>
      <c r="J16" s="241">
        <v>0</v>
      </c>
      <c r="K16" s="234">
        <f t="shared" si="4"/>
        <v>0</v>
      </c>
      <c r="L16" s="234">
        <v>0</v>
      </c>
      <c r="M16" s="234">
        <v>0</v>
      </c>
      <c r="N16" s="234">
        <v>0</v>
      </c>
      <c r="O16" s="241">
        <v>0</v>
      </c>
      <c r="P16" s="234">
        <f t="shared" si="5"/>
        <v>0</v>
      </c>
      <c r="Q16" s="234">
        <v>0</v>
      </c>
      <c r="R16" s="234">
        <v>0</v>
      </c>
      <c r="S16" s="234">
        <v>0</v>
      </c>
      <c r="T16" s="241">
        <v>0</v>
      </c>
      <c r="U16" s="234">
        <f t="shared" si="6"/>
        <v>0</v>
      </c>
      <c r="V16" s="234">
        <v>0</v>
      </c>
      <c r="W16" s="234">
        <v>0</v>
      </c>
      <c r="X16" s="234">
        <v>0</v>
      </c>
      <c r="Y16" s="241">
        <v>0</v>
      </c>
      <c r="Z16" s="234">
        <f t="shared" si="7"/>
        <v>0</v>
      </c>
      <c r="AA16" s="234">
        <v>0</v>
      </c>
      <c r="AB16" s="234">
        <v>0</v>
      </c>
      <c r="AC16" s="234">
        <v>0</v>
      </c>
      <c r="AD16" s="66"/>
    </row>
    <row r="17" spans="1:30" s="4" customFormat="1" ht="90" customHeight="1" x14ac:dyDescent="0.2">
      <c r="A17" s="231" t="s">
        <v>1310</v>
      </c>
      <c r="B17" s="242" t="s">
        <v>28</v>
      </c>
      <c r="C17" s="233">
        <f>E17+J17+O17++T17+Y17</f>
        <v>0</v>
      </c>
      <c r="D17" s="234">
        <f t="shared" si="3"/>
        <v>0</v>
      </c>
      <c r="E17" s="233">
        <v>0</v>
      </c>
      <c r="F17" s="234">
        <v>0</v>
      </c>
      <c r="G17" s="234">
        <v>0</v>
      </c>
      <c r="H17" s="234">
        <v>0</v>
      </c>
      <c r="I17" s="234">
        <v>0</v>
      </c>
      <c r="J17" s="241">
        <v>0</v>
      </c>
      <c r="K17" s="234">
        <f t="shared" si="4"/>
        <v>0</v>
      </c>
      <c r="L17" s="234">
        <v>0</v>
      </c>
      <c r="M17" s="234">
        <v>0</v>
      </c>
      <c r="N17" s="234">
        <v>0</v>
      </c>
      <c r="O17" s="241">
        <v>0</v>
      </c>
      <c r="P17" s="234">
        <f t="shared" si="5"/>
        <v>0</v>
      </c>
      <c r="Q17" s="234">
        <v>0</v>
      </c>
      <c r="R17" s="234">
        <v>0</v>
      </c>
      <c r="S17" s="234">
        <v>0</v>
      </c>
      <c r="T17" s="241">
        <v>0</v>
      </c>
      <c r="U17" s="234">
        <f t="shared" si="6"/>
        <v>0</v>
      </c>
      <c r="V17" s="234">
        <v>0</v>
      </c>
      <c r="W17" s="234">
        <v>0</v>
      </c>
      <c r="X17" s="234">
        <v>0</v>
      </c>
      <c r="Y17" s="241">
        <v>0</v>
      </c>
      <c r="Z17" s="234">
        <f t="shared" si="7"/>
        <v>0</v>
      </c>
      <c r="AA17" s="234">
        <v>0</v>
      </c>
      <c r="AB17" s="234">
        <v>0</v>
      </c>
      <c r="AC17" s="234">
        <v>0</v>
      </c>
      <c r="AD17" s="66"/>
    </row>
    <row r="18" spans="1:30" ht="83.45" customHeight="1" x14ac:dyDescent="0.2">
      <c r="A18" s="231" t="s">
        <v>498</v>
      </c>
      <c r="B18" s="242" t="s">
        <v>45</v>
      </c>
      <c r="C18" s="233">
        <f>E18+J18+O18++T18+Y18</f>
        <v>0</v>
      </c>
      <c r="D18" s="234">
        <f t="shared" si="3"/>
        <v>0</v>
      </c>
      <c r="E18" s="233">
        <v>0</v>
      </c>
      <c r="F18" s="234">
        <v>0</v>
      </c>
      <c r="G18" s="234">
        <v>0</v>
      </c>
      <c r="H18" s="234">
        <v>0</v>
      </c>
      <c r="I18" s="234">
        <v>0</v>
      </c>
      <c r="J18" s="241">
        <v>0</v>
      </c>
      <c r="K18" s="234">
        <f t="shared" si="4"/>
        <v>0</v>
      </c>
      <c r="L18" s="234">
        <v>0</v>
      </c>
      <c r="M18" s="234">
        <v>0</v>
      </c>
      <c r="N18" s="234">
        <v>0</v>
      </c>
      <c r="O18" s="241">
        <v>0</v>
      </c>
      <c r="P18" s="234">
        <f t="shared" si="5"/>
        <v>0</v>
      </c>
      <c r="Q18" s="234">
        <v>0</v>
      </c>
      <c r="R18" s="234">
        <v>0</v>
      </c>
      <c r="S18" s="234">
        <v>0</v>
      </c>
      <c r="T18" s="241">
        <v>0</v>
      </c>
      <c r="U18" s="234">
        <f t="shared" si="6"/>
        <v>0</v>
      </c>
      <c r="V18" s="234">
        <v>0</v>
      </c>
      <c r="W18" s="234">
        <v>0</v>
      </c>
      <c r="X18" s="234">
        <v>0</v>
      </c>
      <c r="Y18" s="241">
        <v>0</v>
      </c>
      <c r="Z18" s="234">
        <f t="shared" si="7"/>
        <v>0</v>
      </c>
      <c r="AA18" s="234">
        <v>0</v>
      </c>
      <c r="AB18" s="234">
        <v>0</v>
      </c>
      <c r="AC18" s="234">
        <v>0</v>
      </c>
      <c r="AD18" s="56"/>
    </row>
    <row r="19" spans="1:30" ht="64.150000000000006" customHeight="1" x14ac:dyDescent="0.2">
      <c r="A19" s="231" t="s">
        <v>1311</v>
      </c>
      <c r="B19" s="242" t="s">
        <v>29</v>
      </c>
      <c r="C19" s="233">
        <f t="shared" ref="C19" si="8">E19+J19+O19+T19+Y19</f>
        <v>0</v>
      </c>
      <c r="D19" s="234">
        <f t="shared" si="3"/>
        <v>0</v>
      </c>
      <c r="E19" s="233">
        <v>0</v>
      </c>
      <c r="F19" s="234">
        <v>0</v>
      </c>
      <c r="G19" s="234">
        <v>0</v>
      </c>
      <c r="H19" s="234">
        <v>0</v>
      </c>
      <c r="I19" s="234">
        <v>0</v>
      </c>
      <c r="J19" s="241">
        <v>0</v>
      </c>
      <c r="K19" s="234">
        <f t="shared" si="4"/>
        <v>0</v>
      </c>
      <c r="L19" s="234">
        <v>0</v>
      </c>
      <c r="M19" s="234">
        <v>0</v>
      </c>
      <c r="N19" s="234">
        <v>0</v>
      </c>
      <c r="O19" s="241">
        <v>0</v>
      </c>
      <c r="P19" s="234">
        <f t="shared" si="5"/>
        <v>0</v>
      </c>
      <c r="Q19" s="234">
        <v>0</v>
      </c>
      <c r="R19" s="234">
        <v>0</v>
      </c>
      <c r="S19" s="234">
        <v>0</v>
      </c>
      <c r="T19" s="241">
        <v>0</v>
      </c>
      <c r="U19" s="234">
        <f t="shared" si="6"/>
        <v>0</v>
      </c>
      <c r="V19" s="234">
        <v>0</v>
      </c>
      <c r="W19" s="234">
        <v>0</v>
      </c>
      <c r="X19" s="234">
        <v>0</v>
      </c>
      <c r="Y19" s="241">
        <v>0</v>
      </c>
      <c r="Z19" s="234">
        <f t="shared" si="7"/>
        <v>0</v>
      </c>
      <c r="AA19" s="234">
        <v>0</v>
      </c>
      <c r="AB19" s="234">
        <v>0</v>
      </c>
      <c r="AC19" s="234">
        <v>0</v>
      </c>
      <c r="AD19" s="56"/>
    </row>
    <row r="20" spans="1:30" ht="51" customHeight="1" x14ac:dyDescent="0.2">
      <c r="A20" s="231" t="s">
        <v>1312</v>
      </c>
      <c r="B20" s="242" t="s">
        <v>42</v>
      </c>
      <c r="C20" s="233">
        <f>E20+J20+O20+T20+Y20</f>
        <v>0</v>
      </c>
      <c r="D20" s="234">
        <f t="shared" si="3"/>
        <v>0</v>
      </c>
      <c r="E20" s="233">
        <v>0</v>
      </c>
      <c r="F20" s="234">
        <v>0</v>
      </c>
      <c r="G20" s="234">
        <v>0</v>
      </c>
      <c r="H20" s="234">
        <v>0</v>
      </c>
      <c r="I20" s="234">
        <v>0</v>
      </c>
      <c r="J20" s="241">
        <v>0</v>
      </c>
      <c r="K20" s="234">
        <f t="shared" si="4"/>
        <v>0</v>
      </c>
      <c r="L20" s="234">
        <v>0</v>
      </c>
      <c r="M20" s="234">
        <v>0</v>
      </c>
      <c r="N20" s="234">
        <v>0</v>
      </c>
      <c r="O20" s="241">
        <v>0</v>
      </c>
      <c r="P20" s="234">
        <f t="shared" si="5"/>
        <v>0</v>
      </c>
      <c r="Q20" s="234">
        <v>0</v>
      </c>
      <c r="R20" s="234">
        <v>0</v>
      </c>
      <c r="S20" s="234">
        <v>0</v>
      </c>
      <c r="T20" s="241">
        <v>0</v>
      </c>
      <c r="U20" s="234">
        <f t="shared" si="6"/>
        <v>0</v>
      </c>
      <c r="V20" s="234">
        <v>0</v>
      </c>
      <c r="W20" s="234">
        <v>0</v>
      </c>
      <c r="X20" s="234">
        <v>0</v>
      </c>
      <c r="Y20" s="241">
        <v>0</v>
      </c>
      <c r="Z20" s="234">
        <f t="shared" si="7"/>
        <v>0</v>
      </c>
      <c r="AA20" s="234">
        <v>0</v>
      </c>
      <c r="AB20" s="234">
        <v>0</v>
      </c>
      <c r="AC20" s="234">
        <v>0</v>
      </c>
      <c r="AD20" s="56"/>
    </row>
    <row r="21" spans="1:30" s="4" customFormat="1" ht="39" customHeight="1" outlineLevel="1" x14ac:dyDescent="0.2">
      <c r="A21" s="231" t="s">
        <v>1313</v>
      </c>
      <c r="B21" s="242" t="s">
        <v>210</v>
      </c>
      <c r="C21" s="233">
        <f t="shared" ref="C21:AC21" si="9">C22</f>
        <v>0.96799999999999997</v>
      </c>
      <c r="D21" s="234">
        <f t="shared" si="9"/>
        <v>198590</v>
      </c>
      <c r="E21" s="233">
        <f t="shared" si="9"/>
        <v>0</v>
      </c>
      <c r="F21" s="234">
        <f t="shared" si="9"/>
        <v>87629</v>
      </c>
      <c r="G21" s="234">
        <f t="shared" si="9"/>
        <v>0</v>
      </c>
      <c r="H21" s="234">
        <f t="shared" si="9"/>
        <v>83058</v>
      </c>
      <c r="I21" s="234">
        <f t="shared" si="9"/>
        <v>4571</v>
      </c>
      <c r="J21" s="233">
        <f t="shared" si="9"/>
        <v>0</v>
      </c>
      <c r="K21" s="234">
        <f t="shared" si="9"/>
        <v>291</v>
      </c>
      <c r="L21" s="234">
        <f t="shared" si="9"/>
        <v>0</v>
      </c>
      <c r="M21" s="234">
        <f t="shared" si="9"/>
        <v>0</v>
      </c>
      <c r="N21" s="234">
        <f t="shared" si="9"/>
        <v>291</v>
      </c>
      <c r="O21" s="233">
        <f t="shared" si="9"/>
        <v>0</v>
      </c>
      <c r="P21" s="234">
        <f t="shared" si="9"/>
        <v>67626</v>
      </c>
      <c r="Q21" s="234">
        <f t="shared" si="9"/>
        <v>0</v>
      </c>
      <c r="R21" s="234">
        <f t="shared" si="9"/>
        <v>64161</v>
      </c>
      <c r="S21" s="234">
        <f t="shared" si="9"/>
        <v>3465</v>
      </c>
      <c r="T21" s="233">
        <f t="shared" si="9"/>
        <v>0.96799999999999997</v>
      </c>
      <c r="U21" s="234">
        <f t="shared" si="9"/>
        <v>43044</v>
      </c>
      <c r="V21" s="234">
        <f t="shared" si="9"/>
        <v>0</v>
      </c>
      <c r="W21" s="234">
        <f t="shared" si="9"/>
        <v>40792</v>
      </c>
      <c r="X21" s="234">
        <f t="shared" si="9"/>
        <v>2252</v>
      </c>
      <c r="Y21" s="233">
        <f t="shared" si="9"/>
        <v>0</v>
      </c>
      <c r="Z21" s="234">
        <f t="shared" si="9"/>
        <v>0</v>
      </c>
      <c r="AA21" s="234">
        <f t="shared" si="9"/>
        <v>0</v>
      </c>
      <c r="AB21" s="234">
        <f t="shared" si="9"/>
        <v>0</v>
      </c>
      <c r="AC21" s="234">
        <f t="shared" si="9"/>
        <v>0</v>
      </c>
      <c r="AD21" s="66"/>
    </row>
    <row r="22" spans="1:30" ht="31.5" customHeight="1" outlineLevel="1" x14ac:dyDescent="0.2">
      <c r="A22" s="235" t="s">
        <v>1314</v>
      </c>
      <c r="B22" s="243" t="s">
        <v>210</v>
      </c>
      <c r="C22" s="237">
        <f>E22+J22+O22+T22+Y22</f>
        <v>0.96799999999999997</v>
      </c>
      <c r="D22" s="238">
        <f>F22+K22+P22+U22+Z22</f>
        <v>198590</v>
      </c>
      <c r="E22" s="237">
        <v>0</v>
      </c>
      <c r="F22" s="238">
        <f>G22+H22+I22</f>
        <v>87629</v>
      </c>
      <c r="G22" s="238">
        <v>0</v>
      </c>
      <c r="H22" s="238">
        <v>83058</v>
      </c>
      <c r="I22" s="238">
        <v>4571</v>
      </c>
      <c r="J22" s="237">
        <v>0</v>
      </c>
      <c r="K22" s="238">
        <f t="shared" ref="K22:K27" si="10">L22+M22+N22</f>
        <v>291</v>
      </c>
      <c r="L22" s="238">
        <v>0</v>
      </c>
      <c r="M22" s="238">
        <f>47204-41693-5511</f>
        <v>0</v>
      </c>
      <c r="N22" s="238">
        <f>2485-2194</f>
        <v>291</v>
      </c>
      <c r="O22" s="237">
        <v>0</v>
      </c>
      <c r="P22" s="238">
        <f>Q22+R22+S22</f>
        <v>67626</v>
      </c>
      <c r="Q22" s="238">
        <v>0</v>
      </c>
      <c r="R22" s="240">
        <f>47048+17113</f>
        <v>64161</v>
      </c>
      <c r="S22" s="240">
        <f>2476+88+901</f>
        <v>3465</v>
      </c>
      <c r="T22" s="239">
        <v>0.96799999999999997</v>
      </c>
      <c r="U22" s="238">
        <f>V22+W22+X22</f>
        <v>43044</v>
      </c>
      <c r="V22" s="238">
        <v>0</v>
      </c>
      <c r="W22" s="240">
        <v>40792</v>
      </c>
      <c r="X22" s="240">
        <v>2252</v>
      </c>
      <c r="Y22" s="239">
        <v>0</v>
      </c>
      <c r="Z22" s="238">
        <v>0</v>
      </c>
      <c r="AA22" s="240">
        <v>0</v>
      </c>
      <c r="AB22" s="240">
        <v>0</v>
      </c>
      <c r="AC22" s="240">
        <v>0</v>
      </c>
      <c r="AD22" s="56"/>
    </row>
    <row r="23" spans="1:30" s="4" customFormat="1" ht="71.25" customHeight="1" outlineLevel="1" x14ac:dyDescent="0.2">
      <c r="A23" s="231" t="s">
        <v>1315</v>
      </c>
      <c r="B23" s="242" t="s">
        <v>211</v>
      </c>
      <c r="C23" s="233">
        <f>C24</f>
        <v>1.5</v>
      </c>
      <c r="D23" s="234">
        <f>F23+K23+P23+U23+Z23</f>
        <v>174852</v>
      </c>
      <c r="E23" s="233">
        <f t="shared" ref="E23:J23" si="11">E24</f>
        <v>1.5</v>
      </c>
      <c r="F23" s="234">
        <f>F24</f>
        <v>167820</v>
      </c>
      <c r="G23" s="234">
        <f t="shared" si="11"/>
        <v>126793</v>
      </c>
      <c r="H23" s="234">
        <f t="shared" si="11"/>
        <v>38250</v>
      </c>
      <c r="I23" s="234">
        <f t="shared" si="11"/>
        <v>2777</v>
      </c>
      <c r="J23" s="233">
        <f t="shared" si="11"/>
        <v>0</v>
      </c>
      <c r="K23" s="234">
        <f t="shared" si="10"/>
        <v>7032</v>
      </c>
      <c r="L23" s="234">
        <v>0</v>
      </c>
      <c r="M23" s="234">
        <f t="shared" ref="M23:AC23" si="12">M24</f>
        <v>0</v>
      </c>
      <c r="N23" s="234">
        <f t="shared" si="12"/>
        <v>7032</v>
      </c>
      <c r="O23" s="233">
        <f t="shared" si="12"/>
        <v>0</v>
      </c>
      <c r="P23" s="234">
        <f>Q23+R23+S23</f>
        <v>0</v>
      </c>
      <c r="Q23" s="234">
        <v>0</v>
      </c>
      <c r="R23" s="234">
        <f t="shared" si="12"/>
        <v>0</v>
      </c>
      <c r="S23" s="234">
        <f t="shared" si="12"/>
        <v>0</v>
      </c>
      <c r="T23" s="233">
        <f t="shared" si="12"/>
        <v>0</v>
      </c>
      <c r="U23" s="234">
        <f t="shared" si="12"/>
        <v>0</v>
      </c>
      <c r="V23" s="234">
        <v>0</v>
      </c>
      <c r="W23" s="234">
        <f t="shared" si="12"/>
        <v>0</v>
      </c>
      <c r="X23" s="234">
        <f t="shared" si="12"/>
        <v>0</v>
      </c>
      <c r="Y23" s="233">
        <f t="shared" si="12"/>
        <v>0</v>
      </c>
      <c r="Z23" s="234">
        <f t="shared" si="12"/>
        <v>0</v>
      </c>
      <c r="AA23" s="234">
        <v>0</v>
      </c>
      <c r="AB23" s="234">
        <f t="shared" si="12"/>
        <v>0</v>
      </c>
      <c r="AC23" s="234">
        <f t="shared" si="12"/>
        <v>0</v>
      </c>
      <c r="AD23" s="66"/>
    </row>
    <row r="24" spans="1:30" ht="63" customHeight="1" outlineLevel="1" x14ac:dyDescent="0.2">
      <c r="A24" s="235" t="s">
        <v>1316</v>
      </c>
      <c r="B24" s="243" t="s">
        <v>211</v>
      </c>
      <c r="C24" s="237">
        <f>E24</f>
        <v>1.5</v>
      </c>
      <c r="D24" s="238">
        <f>F24+K24+P24+U24+Z24</f>
        <v>174852</v>
      </c>
      <c r="E24" s="237">
        <v>1.5</v>
      </c>
      <c r="F24" s="238">
        <f>G24+H24+I24</f>
        <v>167820</v>
      </c>
      <c r="G24" s="238">
        <v>126793</v>
      </c>
      <c r="H24" s="238">
        <v>38250</v>
      </c>
      <c r="I24" s="238">
        <v>2777</v>
      </c>
      <c r="J24" s="237">
        <v>0</v>
      </c>
      <c r="K24" s="238">
        <f t="shared" si="10"/>
        <v>7032</v>
      </c>
      <c r="L24" s="238">
        <v>0</v>
      </c>
      <c r="M24" s="238">
        <v>0</v>
      </c>
      <c r="N24" s="238">
        <f>7002+30</f>
        <v>7032</v>
      </c>
      <c r="O24" s="237">
        <v>0</v>
      </c>
      <c r="P24" s="234">
        <f t="shared" ref="P24:P25" si="13">Q24+R24+S24</f>
        <v>0</v>
      </c>
      <c r="Q24" s="238">
        <v>0</v>
      </c>
      <c r="R24" s="240">
        <v>0</v>
      </c>
      <c r="S24" s="240">
        <v>0</v>
      </c>
      <c r="T24" s="239">
        <v>0</v>
      </c>
      <c r="U24" s="238">
        <v>0</v>
      </c>
      <c r="V24" s="238">
        <v>0</v>
      </c>
      <c r="W24" s="240">
        <v>0</v>
      </c>
      <c r="X24" s="240">
        <v>0</v>
      </c>
      <c r="Y24" s="239">
        <v>0</v>
      </c>
      <c r="Z24" s="238">
        <v>0</v>
      </c>
      <c r="AA24" s="240">
        <v>0</v>
      </c>
      <c r="AB24" s="240">
        <v>0</v>
      </c>
      <c r="AC24" s="240">
        <v>0</v>
      </c>
      <c r="AD24" s="56"/>
    </row>
    <row r="25" spans="1:30" s="4" customFormat="1" ht="43.15" customHeight="1" outlineLevel="1" x14ac:dyDescent="0.2">
      <c r="A25" s="231" t="s">
        <v>1317</v>
      </c>
      <c r="B25" s="242" t="s">
        <v>327</v>
      </c>
      <c r="C25" s="233">
        <f>E25</f>
        <v>0</v>
      </c>
      <c r="D25" s="234">
        <f t="shared" ref="D25:D30" si="14">F25+K25+P25+U25+Z25</f>
        <v>0</v>
      </c>
      <c r="E25" s="233">
        <v>0</v>
      </c>
      <c r="F25" s="234">
        <f>G25+H25+I25</f>
        <v>0</v>
      </c>
      <c r="G25" s="234">
        <v>0</v>
      </c>
      <c r="H25" s="234">
        <v>0</v>
      </c>
      <c r="I25" s="234">
        <v>0</v>
      </c>
      <c r="J25" s="233">
        <v>0</v>
      </c>
      <c r="K25" s="234">
        <f t="shared" si="10"/>
        <v>0</v>
      </c>
      <c r="L25" s="234">
        <v>0</v>
      </c>
      <c r="M25" s="234">
        <v>0</v>
      </c>
      <c r="N25" s="234">
        <v>0</v>
      </c>
      <c r="O25" s="233">
        <v>0</v>
      </c>
      <c r="P25" s="234">
        <f t="shared" si="13"/>
        <v>0</v>
      </c>
      <c r="Q25" s="234">
        <v>0</v>
      </c>
      <c r="R25" s="244">
        <v>0</v>
      </c>
      <c r="S25" s="244">
        <f>5000-5000</f>
        <v>0</v>
      </c>
      <c r="T25" s="241">
        <v>0</v>
      </c>
      <c r="U25" s="234">
        <f>V25+W25+X25</f>
        <v>0</v>
      </c>
      <c r="V25" s="234">
        <v>0</v>
      </c>
      <c r="W25" s="244">
        <v>0</v>
      </c>
      <c r="X25" s="244">
        <f>5000-5000</f>
        <v>0</v>
      </c>
      <c r="Y25" s="241">
        <v>0</v>
      </c>
      <c r="Z25" s="234">
        <v>0</v>
      </c>
      <c r="AA25" s="244">
        <v>0</v>
      </c>
      <c r="AB25" s="244">
        <v>0</v>
      </c>
      <c r="AC25" s="244">
        <v>0</v>
      </c>
      <c r="AD25" s="66"/>
    </row>
    <row r="26" spans="1:30" s="4" customFormat="1" ht="132" customHeight="1" outlineLevel="1" x14ac:dyDescent="0.2">
      <c r="A26" s="231" t="s">
        <v>1318</v>
      </c>
      <c r="B26" s="242" t="s">
        <v>241</v>
      </c>
      <c r="C26" s="233">
        <f>E26+J26</f>
        <v>0</v>
      </c>
      <c r="D26" s="234">
        <f t="shared" si="14"/>
        <v>0</v>
      </c>
      <c r="E26" s="233">
        <v>0</v>
      </c>
      <c r="F26" s="234">
        <f>G26+H26+I26</f>
        <v>0</v>
      </c>
      <c r="G26" s="234">
        <v>0</v>
      </c>
      <c r="H26" s="234">
        <v>0</v>
      </c>
      <c r="I26" s="234">
        <v>0</v>
      </c>
      <c r="J26" s="233">
        <v>0</v>
      </c>
      <c r="K26" s="234">
        <f t="shared" si="10"/>
        <v>0</v>
      </c>
      <c r="L26" s="234">
        <v>0</v>
      </c>
      <c r="M26" s="234">
        <v>0</v>
      </c>
      <c r="N26" s="234">
        <v>0</v>
      </c>
      <c r="O26" s="233">
        <v>0</v>
      </c>
      <c r="P26" s="234">
        <f>Q26+R26+S26</f>
        <v>0</v>
      </c>
      <c r="Q26" s="234">
        <v>0</v>
      </c>
      <c r="R26" s="244">
        <v>0</v>
      </c>
      <c r="S26" s="244">
        <v>0</v>
      </c>
      <c r="T26" s="241">
        <v>0</v>
      </c>
      <c r="U26" s="234">
        <v>0</v>
      </c>
      <c r="V26" s="234">
        <v>0</v>
      </c>
      <c r="W26" s="244">
        <v>0</v>
      </c>
      <c r="X26" s="244">
        <v>0</v>
      </c>
      <c r="Y26" s="241">
        <v>0</v>
      </c>
      <c r="Z26" s="234">
        <v>0</v>
      </c>
      <c r="AA26" s="244">
        <v>0</v>
      </c>
      <c r="AB26" s="244">
        <v>0</v>
      </c>
      <c r="AC26" s="244">
        <v>0</v>
      </c>
      <c r="AD26" s="66"/>
    </row>
    <row r="27" spans="1:30" s="4" customFormat="1" ht="130.5" customHeight="1" outlineLevel="1" x14ac:dyDescent="0.2">
      <c r="A27" s="231" t="s">
        <v>1319</v>
      </c>
      <c r="B27" s="242" t="s">
        <v>242</v>
      </c>
      <c r="C27" s="233">
        <f>E27+J27</f>
        <v>0</v>
      </c>
      <c r="D27" s="234">
        <f t="shared" si="14"/>
        <v>0</v>
      </c>
      <c r="E27" s="233">
        <v>0</v>
      </c>
      <c r="F27" s="234">
        <f>G27+H27+I27</f>
        <v>0</v>
      </c>
      <c r="G27" s="234">
        <v>0</v>
      </c>
      <c r="H27" s="234">
        <v>0</v>
      </c>
      <c r="I27" s="234">
        <v>0</v>
      </c>
      <c r="J27" s="233">
        <v>0</v>
      </c>
      <c r="K27" s="234">
        <f t="shared" si="10"/>
        <v>0</v>
      </c>
      <c r="L27" s="234">
        <v>0</v>
      </c>
      <c r="M27" s="234">
        <v>0</v>
      </c>
      <c r="N27" s="234">
        <v>0</v>
      </c>
      <c r="O27" s="233">
        <v>0</v>
      </c>
      <c r="P27" s="234">
        <f>Q27+R27+S27</f>
        <v>0</v>
      </c>
      <c r="Q27" s="234">
        <v>0</v>
      </c>
      <c r="R27" s="244">
        <v>0</v>
      </c>
      <c r="S27" s="244">
        <v>0</v>
      </c>
      <c r="T27" s="241">
        <v>0</v>
      </c>
      <c r="U27" s="234">
        <v>0</v>
      </c>
      <c r="V27" s="234">
        <v>0</v>
      </c>
      <c r="W27" s="244">
        <v>0</v>
      </c>
      <c r="X27" s="244">
        <v>0</v>
      </c>
      <c r="Y27" s="241">
        <v>0</v>
      </c>
      <c r="Z27" s="234">
        <v>0</v>
      </c>
      <c r="AA27" s="244">
        <v>0</v>
      </c>
      <c r="AB27" s="244">
        <v>0</v>
      </c>
      <c r="AC27" s="244">
        <v>0</v>
      </c>
      <c r="AD27" s="66"/>
    </row>
    <row r="28" spans="1:30" s="4" customFormat="1" ht="57.6" customHeight="1" outlineLevel="1" x14ac:dyDescent="0.2">
      <c r="A28" s="231" t="s">
        <v>1320</v>
      </c>
      <c r="B28" s="242" t="s">
        <v>298</v>
      </c>
      <c r="C28" s="233">
        <f>E28</f>
        <v>0.6</v>
      </c>
      <c r="D28" s="234">
        <f>F28+K28+P28+U28+Z28</f>
        <v>67025</v>
      </c>
      <c r="E28" s="231">
        <f>E29+E30</f>
        <v>0.6</v>
      </c>
      <c r="F28" s="234">
        <f>F29+F30+F31</f>
        <v>66016</v>
      </c>
      <c r="G28" s="234">
        <f>G29+G30+G31</f>
        <v>0</v>
      </c>
      <c r="H28" s="234">
        <f>H29+H30+H31</f>
        <v>60962</v>
      </c>
      <c r="I28" s="234">
        <f>I29+I30+I31</f>
        <v>5054</v>
      </c>
      <c r="J28" s="233">
        <v>0</v>
      </c>
      <c r="K28" s="234">
        <f>K29+K30+K31</f>
        <v>1009</v>
      </c>
      <c r="L28" s="234">
        <f>L29+L30+L31</f>
        <v>0</v>
      </c>
      <c r="M28" s="234">
        <f>M29+M30+M31</f>
        <v>0</v>
      </c>
      <c r="N28" s="234">
        <f>N29+N30+N31</f>
        <v>1009</v>
      </c>
      <c r="O28" s="233">
        <v>0</v>
      </c>
      <c r="P28" s="234">
        <f t="shared" ref="P28:AC28" si="15">P29+P30</f>
        <v>0</v>
      </c>
      <c r="Q28" s="234">
        <f t="shared" si="15"/>
        <v>0</v>
      </c>
      <c r="R28" s="234">
        <f t="shared" si="15"/>
        <v>0</v>
      </c>
      <c r="S28" s="234">
        <f t="shared" si="15"/>
        <v>0</v>
      </c>
      <c r="T28" s="241">
        <v>0</v>
      </c>
      <c r="U28" s="234">
        <f t="shared" si="15"/>
        <v>0</v>
      </c>
      <c r="V28" s="234">
        <f t="shared" si="15"/>
        <v>0</v>
      </c>
      <c r="W28" s="234">
        <f t="shared" si="15"/>
        <v>0</v>
      </c>
      <c r="X28" s="234">
        <f t="shared" si="15"/>
        <v>0</v>
      </c>
      <c r="Y28" s="241">
        <v>0</v>
      </c>
      <c r="Z28" s="234">
        <f>Z29+Z30</f>
        <v>0</v>
      </c>
      <c r="AA28" s="234">
        <f t="shared" si="15"/>
        <v>0</v>
      </c>
      <c r="AB28" s="234">
        <f t="shared" si="15"/>
        <v>0</v>
      </c>
      <c r="AC28" s="234">
        <f t="shared" si="15"/>
        <v>0</v>
      </c>
      <c r="AD28" s="66"/>
    </row>
    <row r="29" spans="1:30" ht="54" customHeight="1" outlineLevel="1" x14ac:dyDescent="0.2">
      <c r="A29" s="235" t="s">
        <v>1321</v>
      </c>
      <c r="B29" s="243" t="s">
        <v>298</v>
      </c>
      <c r="C29" s="237">
        <f>E29</f>
        <v>0.6</v>
      </c>
      <c r="D29" s="238">
        <f t="shared" si="14"/>
        <v>64036</v>
      </c>
      <c r="E29" s="237">
        <v>0.6</v>
      </c>
      <c r="F29" s="238">
        <f>G29+H29+I29</f>
        <v>64036</v>
      </c>
      <c r="G29" s="238">
        <v>0</v>
      </c>
      <c r="H29" s="238">
        <v>60962</v>
      </c>
      <c r="I29" s="238">
        <v>3074</v>
      </c>
      <c r="J29" s="237">
        <v>0</v>
      </c>
      <c r="K29" s="238">
        <v>0</v>
      </c>
      <c r="L29" s="238">
        <v>0</v>
      </c>
      <c r="M29" s="238">
        <v>0</v>
      </c>
      <c r="N29" s="238">
        <v>0</v>
      </c>
      <c r="O29" s="237">
        <v>0</v>
      </c>
      <c r="P29" s="238">
        <v>0</v>
      </c>
      <c r="Q29" s="238">
        <v>0</v>
      </c>
      <c r="R29" s="240">
        <v>0</v>
      </c>
      <c r="S29" s="240">
        <v>0</v>
      </c>
      <c r="T29" s="239">
        <v>0</v>
      </c>
      <c r="U29" s="238">
        <v>0</v>
      </c>
      <c r="V29" s="238">
        <v>0</v>
      </c>
      <c r="W29" s="240">
        <v>0</v>
      </c>
      <c r="X29" s="240">
        <v>0</v>
      </c>
      <c r="Y29" s="239">
        <v>0</v>
      </c>
      <c r="Z29" s="238">
        <v>0</v>
      </c>
      <c r="AA29" s="240">
        <v>0</v>
      </c>
      <c r="AB29" s="240">
        <v>0</v>
      </c>
      <c r="AC29" s="240">
        <v>0</v>
      </c>
      <c r="AD29" s="56"/>
    </row>
    <row r="30" spans="1:30" ht="79.150000000000006" customHeight="1" outlineLevel="1" x14ac:dyDescent="0.2">
      <c r="A30" s="235" t="s">
        <v>1322</v>
      </c>
      <c r="B30" s="243" t="s">
        <v>324</v>
      </c>
      <c r="C30" s="237">
        <f>E30</f>
        <v>0</v>
      </c>
      <c r="D30" s="238">
        <f t="shared" si="14"/>
        <v>1980</v>
      </c>
      <c r="E30" s="237">
        <v>0</v>
      </c>
      <c r="F30" s="238">
        <f>G30+H30+I30</f>
        <v>1980</v>
      </c>
      <c r="G30" s="238">
        <v>0</v>
      </c>
      <c r="H30" s="238">
        <v>0</v>
      </c>
      <c r="I30" s="238">
        <v>1980</v>
      </c>
      <c r="J30" s="237">
        <v>0</v>
      </c>
      <c r="K30" s="238">
        <v>0</v>
      </c>
      <c r="L30" s="238">
        <v>0</v>
      </c>
      <c r="M30" s="238">
        <v>0</v>
      </c>
      <c r="N30" s="238">
        <v>0</v>
      </c>
      <c r="O30" s="237">
        <v>0</v>
      </c>
      <c r="P30" s="238">
        <v>0</v>
      </c>
      <c r="Q30" s="238">
        <v>0</v>
      </c>
      <c r="R30" s="240">
        <v>0</v>
      </c>
      <c r="S30" s="240">
        <v>0</v>
      </c>
      <c r="T30" s="239">
        <v>0</v>
      </c>
      <c r="U30" s="238">
        <v>0</v>
      </c>
      <c r="V30" s="238">
        <v>0</v>
      </c>
      <c r="W30" s="240">
        <v>0</v>
      </c>
      <c r="X30" s="240">
        <v>0</v>
      </c>
      <c r="Y30" s="239">
        <v>0</v>
      </c>
      <c r="Z30" s="238">
        <v>0</v>
      </c>
      <c r="AA30" s="240">
        <v>0</v>
      </c>
      <c r="AB30" s="240">
        <v>0</v>
      </c>
      <c r="AC30" s="240">
        <v>0</v>
      </c>
      <c r="AD30" s="56"/>
    </row>
    <row r="31" spans="1:30" ht="88.5" customHeight="1" outlineLevel="1" x14ac:dyDescent="0.2">
      <c r="A31" s="235" t="s">
        <v>1323</v>
      </c>
      <c r="B31" s="243" t="s">
        <v>409</v>
      </c>
      <c r="C31" s="237">
        <f>E31</f>
        <v>0</v>
      </c>
      <c r="D31" s="238">
        <f>F31+K31+P31+U31+Z31</f>
        <v>1009</v>
      </c>
      <c r="E31" s="237">
        <v>0</v>
      </c>
      <c r="F31" s="238">
        <f>G31+H31+I31</f>
        <v>0</v>
      </c>
      <c r="G31" s="238">
        <v>0</v>
      </c>
      <c r="H31" s="238">
        <v>0</v>
      </c>
      <c r="I31" s="238">
        <v>0</v>
      </c>
      <c r="J31" s="237">
        <v>0</v>
      </c>
      <c r="K31" s="238">
        <f>L31+M31+N31</f>
        <v>1009</v>
      </c>
      <c r="L31" s="238">
        <v>0</v>
      </c>
      <c r="M31" s="238">
        <v>0</v>
      </c>
      <c r="N31" s="238">
        <v>1009</v>
      </c>
      <c r="O31" s="237">
        <v>0</v>
      </c>
      <c r="P31" s="238">
        <v>0</v>
      </c>
      <c r="Q31" s="238">
        <v>0</v>
      </c>
      <c r="R31" s="240">
        <v>0</v>
      </c>
      <c r="S31" s="240">
        <v>0</v>
      </c>
      <c r="T31" s="239">
        <v>0</v>
      </c>
      <c r="U31" s="238">
        <v>0</v>
      </c>
      <c r="V31" s="238">
        <v>0</v>
      </c>
      <c r="W31" s="240">
        <v>0</v>
      </c>
      <c r="X31" s="240">
        <v>0</v>
      </c>
      <c r="Y31" s="239">
        <v>0</v>
      </c>
      <c r="Z31" s="238">
        <v>0</v>
      </c>
      <c r="AA31" s="240">
        <v>0</v>
      </c>
      <c r="AB31" s="240">
        <v>0</v>
      </c>
      <c r="AC31" s="240">
        <v>0</v>
      </c>
      <c r="AD31" s="56"/>
    </row>
    <row r="32" spans="1:30" ht="88.5" customHeight="1" outlineLevel="1" x14ac:dyDescent="0.2">
      <c r="A32" s="231" t="s">
        <v>1324</v>
      </c>
      <c r="B32" s="242" t="s">
        <v>581</v>
      </c>
      <c r="C32" s="233">
        <v>0</v>
      </c>
      <c r="D32" s="234">
        <f>F32+K32+P32+U32+Z32</f>
        <v>0</v>
      </c>
      <c r="E32" s="233">
        <v>0</v>
      </c>
      <c r="F32" s="234">
        <f>G32+H32+I32</f>
        <v>0</v>
      </c>
      <c r="G32" s="234">
        <v>0</v>
      </c>
      <c r="H32" s="234">
        <v>0</v>
      </c>
      <c r="I32" s="234">
        <v>0</v>
      </c>
      <c r="J32" s="233">
        <v>0</v>
      </c>
      <c r="K32" s="234">
        <f>L32+M32+N32</f>
        <v>0</v>
      </c>
      <c r="L32" s="234">
        <v>0</v>
      </c>
      <c r="M32" s="234">
        <v>0</v>
      </c>
      <c r="N32" s="234">
        <v>0</v>
      </c>
      <c r="O32" s="233">
        <v>0</v>
      </c>
      <c r="P32" s="234">
        <f>Q32+R32+S32</f>
        <v>0</v>
      </c>
      <c r="Q32" s="234">
        <v>0</v>
      </c>
      <c r="R32" s="234">
        <v>0</v>
      </c>
      <c r="S32" s="234">
        <v>0</v>
      </c>
      <c r="T32" s="241">
        <v>0</v>
      </c>
      <c r="U32" s="234">
        <f>V32+W32+X32</f>
        <v>0</v>
      </c>
      <c r="V32" s="234">
        <v>0</v>
      </c>
      <c r="W32" s="234">
        <v>0</v>
      </c>
      <c r="X32" s="234">
        <v>0</v>
      </c>
      <c r="Y32" s="241">
        <v>0</v>
      </c>
      <c r="Z32" s="234">
        <f>AA32+AB32+AC32</f>
        <v>0</v>
      </c>
      <c r="AA32" s="234">
        <v>0</v>
      </c>
      <c r="AB32" s="234">
        <v>0</v>
      </c>
      <c r="AC32" s="234">
        <v>0</v>
      </c>
      <c r="AD32" s="56"/>
    </row>
    <row r="33" spans="1:30" s="15" customFormat="1" ht="40.5" customHeight="1" x14ac:dyDescent="0.2">
      <c r="A33" s="245"/>
      <c r="B33" s="246" t="s">
        <v>499</v>
      </c>
      <c r="C33" s="247">
        <f t="shared" ref="C33:R33" si="16">C11+C16+C17+C18+C19+C20+C21+C23+C15+C25+C26+C27+C28+C32</f>
        <v>3.6379999999999999</v>
      </c>
      <c r="D33" s="248">
        <f t="shared" si="16"/>
        <v>566188</v>
      </c>
      <c r="E33" s="247">
        <f t="shared" si="16"/>
        <v>2.1</v>
      </c>
      <c r="F33" s="248">
        <f t="shared" si="16"/>
        <v>321465</v>
      </c>
      <c r="G33" s="248">
        <f t="shared" si="16"/>
        <v>126793</v>
      </c>
      <c r="H33" s="248">
        <f t="shared" si="16"/>
        <v>182270</v>
      </c>
      <c r="I33" s="248">
        <f t="shared" si="16"/>
        <v>12402</v>
      </c>
      <c r="J33" s="247">
        <f t="shared" si="16"/>
        <v>0</v>
      </c>
      <c r="K33" s="248">
        <f t="shared" si="16"/>
        <v>8332</v>
      </c>
      <c r="L33" s="248">
        <f t="shared" si="16"/>
        <v>0</v>
      </c>
      <c r="M33" s="248">
        <f t="shared" si="16"/>
        <v>0</v>
      </c>
      <c r="N33" s="248">
        <f t="shared" si="16"/>
        <v>8332</v>
      </c>
      <c r="O33" s="249">
        <f t="shared" si="16"/>
        <v>0</v>
      </c>
      <c r="P33" s="248">
        <f t="shared" si="16"/>
        <v>67626</v>
      </c>
      <c r="Q33" s="248">
        <f t="shared" si="16"/>
        <v>0</v>
      </c>
      <c r="R33" s="248">
        <f t="shared" si="16"/>
        <v>64161</v>
      </c>
      <c r="S33" s="248">
        <f>S11+S16+S17+S18+S19+S20+S21+S23+S15+S25+S26+S27+S32</f>
        <v>3465</v>
      </c>
      <c r="T33" s="247">
        <f>T11+T16+T17+T18+T19+T20+T21+T23+T15+T25+T26+T27+T28+T32</f>
        <v>1.5379999999999998</v>
      </c>
      <c r="U33" s="248">
        <f>V33+W33+X33</f>
        <v>168765</v>
      </c>
      <c r="V33" s="248">
        <f>V11+V16+V17+V18+V19+V20+V21+V23+V15+V25+V26+V27+V28+V32</f>
        <v>0</v>
      </c>
      <c r="W33" s="248">
        <f>W11+W16+W17+W18+W19+W20+W21+W23+W15+W25+W26+W27+W28+W32</f>
        <v>151024</v>
      </c>
      <c r="X33" s="248">
        <f>X11+X16+X17+X18+X19+X20+X21+X23+X15+X25+X26+X27+X28+X32</f>
        <v>17741</v>
      </c>
      <c r="Y33" s="247">
        <f>Y11+Y15+Y16+Y17+Y18+Y19+Y20+Y21+Y23+Y25+Y26+Y27+Y28+Y32</f>
        <v>0</v>
      </c>
      <c r="Z33" s="248">
        <f>Z11+Z16+Z17+Z18+Z19+Z20+Z21+Z23+Z15+Z25+Z26+Z27+Z28+Z32</f>
        <v>0</v>
      </c>
      <c r="AA33" s="248">
        <f>AA11+AA16+AA17+AA18+AA19+AA20+AA21+AA23+AA15+AA25+AA26+AA27+AA28+AA32</f>
        <v>0</v>
      </c>
      <c r="AB33" s="248">
        <f>AB11+AB16+AB17+AB18+AB19+AB20+AB21+AB23+AB15+AB25+AB26+AB27+AB28+AB32</f>
        <v>0</v>
      </c>
      <c r="AC33" s="248">
        <f>AC11+AC16+AC17+AC18+AC19+AC20+AC21+AC23+AC15+AC25+AC26+AC27+AC28+AC32</f>
        <v>0</v>
      </c>
      <c r="AD33" s="245"/>
    </row>
    <row r="34" spans="1:30" ht="40.5" customHeight="1" x14ac:dyDescent="0.2">
      <c r="A34" s="250" t="s">
        <v>41</v>
      </c>
      <c r="B34" s="446" t="s">
        <v>1147</v>
      </c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447"/>
      <c r="AA34" s="447"/>
      <c r="AB34" s="447"/>
      <c r="AC34" s="448"/>
      <c r="AD34" s="56"/>
    </row>
    <row r="35" spans="1:30" s="4" customFormat="1" ht="112.15" customHeight="1" outlineLevel="1" x14ac:dyDescent="0.2">
      <c r="A35" s="231" t="s">
        <v>500</v>
      </c>
      <c r="B35" s="251" t="s">
        <v>46</v>
      </c>
      <c r="C35" s="233">
        <f t="shared" ref="C35:C36" si="17">E35+J35+O35+Y35+T35</f>
        <v>0</v>
      </c>
      <c r="D35" s="234">
        <f t="shared" ref="D35:D37" si="18">F35+K35+P35+Z35+U35</f>
        <v>0</v>
      </c>
      <c r="E35" s="233">
        <v>0</v>
      </c>
      <c r="F35" s="244">
        <f>G35+H35+I35</f>
        <v>0</v>
      </c>
      <c r="G35" s="234">
        <v>0</v>
      </c>
      <c r="H35" s="234">
        <v>0</v>
      </c>
      <c r="I35" s="234">
        <v>0</v>
      </c>
      <c r="J35" s="233">
        <v>0</v>
      </c>
      <c r="K35" s="234">
        <f>N35+M35+L35</f>
        <v>0</v>
      </c>
      <c r="L35" s="234">
        <v>0</v>
      </c>
      <c r="M35" s="234">
        <v>0</v>
      </c>
      <c r="N35" s="234">
        <v>0</v>
      </c>
      <c r="O35" s="233">
        <v>0</v>
      </c>
      <c r="P35" s="244">
        <f t="shared" ref="P35:P37" si="19">S35+R35+Q35</f>
        <v>0</v>
      </c>
      <c r="Q35" s="234">
        <v>0</v>
      </c>
      <c r="R35" s="234">
        <v>0</v>
      </c>
      <c r="S35" s="234">
        <v>0</v>
      </c>
      <c r="T35" s="233">
        <v>0</v>
      </c>
      <c r="U35" s="244">
        <f t="shared" ref="U35:U37" si="20">V35+W35+X35</f>
        <v>0</v>
      </c>
      <c r="V35" s="234">
        <v>0</v>
      </c>
      <c r="W35" s="234">
        <v>0</v>
      </c>
      <c r="X35" s="234">
        <v>0</v>
      </c>
      <c r="Y35" s="233">
        <v>0</v>
      </c>
      <c r="Z35" s="234">
        <f>AC35+AB35+AA35</f>
        <v>0</v>
      </c>
      <c r="AA35" s="234">
        <v>0</v>
      </c>
      <c r="AB35" s="234">
        <v>0</v>
      </c>
      <c r="AC35" s="234">
        <v>0</v>
      </c>
      <c r="AD35" s="66"/>
    </row>
    <row r="36" spans="1:30" s="4" customFormat="1" ht="105" customHeight="1" outlineLevel="1" x14ac:dyDescent="0.2">
      <c r="A36" s="231" t="s">
        <v>501</v>
      </c>
      <c r="B36" s="251" t="s">
        <v>131</v>
      </c>
      <c r="C36" s="233">
        <f t="shared" si="17"/>
        <v>0</v>
      </c>
      <c r="D36" s="234">
        <f t="shared" si="18"/>
        <v>0</v>
      </c>
      <c r="E36" s="233">
        <v>0</v>
      </c>
      <c r="F36" s="244">
        <f>G36+H36+I36</f>
        <v>0</v>
      </c>
      <c r="G36" s="234">
        <v>0</v>
      </c>
      <c r="H36" s="234">
        <v>0</v>
      </c>
      <c r="I36" s="234">
        <v>0</v>
      </c>
      <c r="J36" s="233">
        <v>0</v>
      </c>
      <c r="K36" s="234">
        <f t="shared" ref="K36:K37" si="21">N36+M36+L36</f>
        <v>0</v>
      </c>
      <c r="L36" s="234">
        <v>0</v>
      </c>
      <c r="M36" s="234">
        <v>0</v>
      </c>
      <c r="N36" s="234">
        <v>0</v>
      </c>
      <c r="O36" s="233">
        <v>0</v>
      </c>
      <c r="P36" s="244">
        <f t="shared" si="19"/>
        <v>0</v>
      </c>
      <c r="Q36" s="234">
        <v>0</v>
      </c>
      <c r="R36" s="234">
        <v>0</v>
      </c>
      <c r="S36" s="234">
        <v>0</v>
      </c>
      <c r="T36" s="233">
        <v>0</v>
      </c>
      <c r="U36" s="244">
        <f t="shared" si="20"/>
        <v>0</v>
      </c>
      <c r="V36" s="234">
        <v>0</v>
      </c>
      <c r="W36" s="234">
        <v>0</v>
      </c>
      <c r="X36" s="234">
        <v>0</v>
      </c>
      <c r="Y36" s="233">
        <v>0</v>
      </c>
      <c r="Z36" s="234">
        <f t="shared" ref="Z36:Z37" si="22">AC36+AB36+AA36</f>
        <v>0</v>
      </c>
      <c r="AA36" s="234">
        <v>0</v>
      </c>
      <c r="AB36" s="234">
        <v>0</v>
      </c>
      <c r="AC36" s="234">
        <v>0</v>
      </c>
      <c r="AD36" s="66"/>
    </row>
    <row r="37" spans="1:30" s="4" customFormat="1" ht="122.25" customHeight="1" outlineLevel="1" x14ac:dyDescent="0.2">
      <c r="A37" s="231" t="s">
        <v>502</v>
      </c>
      <c r="B37" s="251" t="s">
        <v>672</v>
      </c>
      <c r="C37" s="233">
        <f>E37+J37+O37+Y37+T37</f>
        <v>0</v>
      </c>
      <c r="D37" s="234">
        <f t="shared" si="18"/>
        <v>0</v>
      </c>
      <c r="E37" s="233">
        <v>0</v>
      </c>
      <c r="F37" s="244">
        <f t="shared" ref="F37" si="23">G37+H37+I37</f>
        <v>0</v>
      </c>
      <c r="G37" s="234">
        <v>0</v>
      </c>
      <c r="H37" s="234">
        <v>0</v>
      </c>
      <c r="I37" s="234">
        <v>0</v>
      </c>
      <c r="J37" s="233">
        <v>0</v>
      </c>
      <c r="K37" s="234">
        <f t="shared" si="21"/>
        <v>0</v>
      </c>
      <c r="L37" s="234">
        <v>0</v>
      </c>
      <c r="M37" s="234">
        <v>0</v>
      </c>
      <c r="N37" s="234">
        <v>0</v>
      </c>
      <c r="O37" s="233">
        <v>0</v>
      </c>
      <c r="P37" s="244">
        <f t="shared" si="19"/>
        <v>0</v>
      </c>
      <c r="Q37" s="234">
        <v>0</v>
      </c>
      <c r="R37" s="234">
        <v>0</v>
      </c>
      <c r="S37" s="234">
        <v>0</v>
      </c>
      <c r="T37" s="233">
        <v>0</v>
      </c>
      <c r="U37" s="244">
        <f t="shared" si="20"/>
        <v>0</v>
      </c>
      <c r="V37" s="234">
        <v>0</v>
      </c>
      <c r="W37" s="234">
        <v>0</v>
      </c>
      <c r="X37" s="234">
        <v>0</v>
      </c>
      <c r="Y37" s="233">
        <v>0</v>
      </c>
      <c r="Z37" s="234">
        <f t="shared" si="22"/>
        <v>0</v>
      </c>
      <c r="AA37" s="234">
        <v>0</v>
      </c>
      <c r="AB37" s="234">
        <v>0</v>
      </c>
      <c r="AC37" s="234">
        <v>0</v>
      </c>
      <c r="AD37" s="66"/>
    </row>
    <row r="38" spans="1:30" s="4" customFormat="1" ht="79.5" customHeight="1" outlineLevel="1" x14ac:dyDescent="0.2">
      <c r="A38" s="231" t="s">
        <v>503</v>
      </c>
      <c r="B38" s="251" t="s">
        <v>325</v>
      </c>
      <c r="C38" s="233">
        <f t="shared" ref="C38:D40" si="24">E38+J38+O38+T38+Y38</f>
        <v>2</v>
      </c>
      <c r="D38" s="234">
        <f>F38+K38+P38+U38+Z38</f>
        <v>184170</v>
      </c>
      <c r="E38" s="241">
        <v>1</v>
      </c>
      <c r="F38" s="244">
        <f>G38+H38+I38</f>
        <v>66560</v>
      </c>
      <c r="G38" s="244">
        <f>G39+G40</f>
        <v>0</v>
      </c>
      <c r="H38" s="244">
        <f>H39+H40</f>
        <v>62060</v>
      </c>
      <c r="I38" s="244">
        <f>I39+I40</f>
        <v>4500</v>
      </c>
      <c r="J38" s="233">
        <v>0</v>
      </c>
      <c r="K38" s="234">
        <f>K39+K40</f>
        <v>0</v>
      </c>
      <c r="L38" s="234">
        <f>L39+L40</f>
        <v>0</v>
      </c>
      <c r="M38" s="234">
        <f>M39+M40</f>
        <v>0</v>
      </c>
      <c r="N38" s="234">
        <f>N39+N40</f>
        <v>0</v>
      </c>
      <c r="O38" s="241">
        <f>O39+O40</f>
        <v>1</v>
      </c>
      <c r="P38" s="244">
        <f>S38+R38+Q38</f>
        <v>117610</v>
      </c>
      <c r="Q38" s="244">
        <v>0</v>
      </c>
      <c r="R38" s="244">
        <f>R39+R40+R41</f>
        <v>110000</v>
      </c>
      <c r="S38" s="244">
        <f>S39+S40+S41</f>
        <v>7610</v>
      </c>
      <c r="T38" s="241">
        <v>0</v>
      </c>
      <c r="U38" s="244">
        <f>V38+W38+X38</f>
        <v>0</v>
      </c>
      <c r="V38" s="244">
        <v>0</v>
      </c>
      <c r="W38" s="244">
        <v>0</v>
      </c>
      <c r="X38" s="244">
        <v>0</v>
      </c>
      <c r="Y38" s="241">
        <v>0</v>
      </c>
      <c r="Z38" s="244">
        <v>0</v>
      </c>
      <c r="AA38" s="244">
        <v>0</v>
      </c>
      <c r="AB38" s="244">
        <v>0</v>
      </c>
      <c r="AC38" s="244">
        <v>0</v>
      </c>
      <c r="AD38" s="66"/>
    </row>
    <row r="39" spans="1:30" ht="79.5" customHeight="1" outlineLevel="1" x14ac:dyDescent="0.2">
      <c r="A39" s="235" t="s">
        <v>504</v>
      </c>
      <c r="B39" s="252" t="s">
        <v>325</v>
      </c>
      <c r="C39" s="237">
        <f t="shared" si="24"/>
        <v>2</v>
      </c>
      <c r="D39" s="238">
        <f t="shared" si="24"/>
        <v>180619</v>
      </c>
      <c r="E39" s="239">
        <v>1</v>
      </c>
      <c r="F39" s="240">
        <f>G39+H39+I39</f>
        <v>65189</v>
      </c>
      <c r="G39" s="240">
        <v>0</v>
      </c>
      <c r="H39" s="240">
        <f>62060</f>
        <v>62060</v>
      </c>
      <c r="I39" s="240">
        <v>3129</v>
      </c>
      <c r="J39" s="237">
        <v>0</v>
      </c>
      <c r="K39" s="238">
        <f>L39+M39+N39</f>
        <v>0</v>
      </c>
      <c r="L39" s="238">
        <v>0</v>
      </c>
      <c r="M39" s="240">
        <f>61000-33953-27047</f>
        <v>0</v>
      </c>
      <c r="N39" s="240">
        <f>3756-2091-1665</f>
        <v>0</v>
      </c>
      <c r="O39" s="239">
        <v>1</v>
      </c>
      <c r="P39" s="240">
        <f>S39+R39</f>
        <v>115430</v>
      </c>
      <c r="Q39" s="240">
        <v>0</v>
      </c>
      <c r="R39" s="240">
        <v>108735</v>
      </c>
      <c r="S39" s="240">
        <v>6695</v>
      </c>
      <c r="T39" s="239">
        <v>0</v>
      </c>
      <c r="U39" s="240">
        <f>V39+W39+X39</f>
        <v>0</v>
      </c>
      <c r="V39" s="240">
        <v>0</v>
      </c>
      <c r="W39" s="240">
        <v>0</v>
      </c>
      <c r="X39" s="240">
        <v>0</v>
      </c>
      <c r="Y39" s="239">
        <v>0</v>
      </c>
      <c r="Z39" s="240">
        <v>0</v>
      </c>
      <c r="AA39" s="240">
        <v>0</v>
      </c>
      <c r="AB39" s="240">
        <v>0</v>
      </c>
      <c r="AC39" s="240">
        <v>0</v>
      </c>
      <c r="AD39" s="56"/>
    </row>
    <row r="40" spans="1:30" ht="93" customHeight="1" outlineLevel="1" x14ac:dyDescent="0.2">
      <c r="A40" s="235" t="s">
        <v>505</v>
      </c>
      <c r="B40" s="252" t="s">
        <v>334</v>
      </c>
      <c r="C40" s="237">
        <f t="shared" si="24"/>
        <v>0</v>
      </c>
      <c r="D40" s="238">
        <f t="shared" si="24"/>
        <v>2208</v>
      </c>
      <c r="E40" s="239">
        <v>0</v>
      </c>
      <c r="F40" s="240">
        <f>G40+H40+I40</f>
        <v>1371</v>
      </c>
      <c r="G40" s="240">
        <v>0</v>
      </c>
      <c r="H40" s="240">
        <v>0</v>
      </c>
      <c r="I40" s="240">
        <v>1371</v>
      </c>
      <c r="J40" s="237">
        <v>0</v>
      </c>
      <c r="K40" s="238">
        <v>0</v>
      </c>
      <c r="L40" s="238">
        <v>0</v>
      </c>
      <c r="M40" s="240">
        <v>0</v>
      </c>
      <c r="N40" s="240">
        <v>0</v>
      </c>
      <c r="O40" s="239">
        <v>0</v>
      </c>
      <c r="P40" s="240">
        <f>Q40+R40+S40</f>
        <v>837</v>
      </c>
      <c r="Q40" s="240">
        <v>0</v>
      </c>
      <c r="R40" s="240">
        <v>0</v>
      </c>
      <c r="S40" s="240">
        <f>1366+836-1365</f>
        <v>837</v>
      </c>
      <c r="T40" s="239">
        <v>0</v>
      </c>
      <c r="U40" s="240">
        <v>0</v>
      </c>
      <c r="V40" s="240">
        <v>0</v>
      </c>
      <c r="W40" s="240">
        <v>0</v>
      </c>
      <c r="X40" s="240">
        <v>0</v>
      </c>
      <c r="Y40" s="239">
        <v>0</v>
      </c>
      <c r="Z40" s="240">
        <v>0</v>
      </c>
      <c r="AA40" s="240">
        <v>0</v>
      </c>
      <c r="AB40" s="240">
        <v>0</v>
      </c>
      <c r="AC40" s="240">
        <v>0</v>
      </c>
      <c r="AD40" s="56"/>
    </row>
    <row r="41" spans="1:30" ht="27" customHeight="1" outlineLevel="1" x14ac:dyDescent="0.2">
      <c r="A41" s="235"/>
      <c r="B41" s="252" t="s">
        <v>220</v>
      </c>
      <c r="C41" s="237">
        <f>E41+J41+O41+T41+Y41</f>
        <v>0</v>
      </c>
      <c r="D41" s="238">
        <f>F41+K41+P41+U41+Z41</f>
        <v>1343</v>
      </c>
      <c r="E41" s="239">
        <v>0</v>
      </c>
      <c r="F41" s="240">
        <f>G41+H41+I41</f>
        <v>0</v>
      </c>
      <c r="G41" s="240">
        <v>0</v>
      </c>
      <c r="H41" s="240">
        <v>0</v>
      </c>
      <c r="I41" s="240">
        <v>0</v>
      </c>
      <c r="J41" s="237">
        <v>0</v>
      </c>
      <c r="K41" s="238">
        <f>L41+M41+N41</f>
        <v>0</v>
      </c>
      <c r="L41" s="238">
        <v>0</v>
      </c>
      <c r="M41" s="240">
        <f>35662-35662</f>
        <v>0</v>
      </c>
      <c r="N41" s="240">
        <v>0</v>
      </c>
      <c r="O41" s="239">
        <v>0</v>
      </c>
      <c r="P41" s="240">
        <f>Q41+R41+S41</f>
        <v>1343</v>
      </c>
      <c r="Q41" s="240">
        <v>0</v>
      </c>
      <c r="R41" s="240">
        <v>1265</v>
      </c>
      <c r="S41" s="240">
        <v>78</v>
      </c>
      <c r="T41" s="239">
        <v>0</v>
      </c>
      <c r="U41" s="240">
        <v>0</v>
      </c>
      <c r="V41" s="240">
        <v>0</v>
      </c>
      <c r="W41" s="240">
        <v>0</v>
      </c>
      <c r="X41" s="240">
        <v>0</v>
      </c>
      <c r="Y41" s="239">
        <v>0</v>
      </c>
      <c r="Z41" s="240">
        <v>0</v>
      </c>
      <c r="AA41" s="240">
        <v>0</v>
      </c>
      <c r="AB41" s="240">
        <v>0</v>
      </c>
      <c r="AC41" s="235">
        <v>0</v>
      </c>
      <c r="AD41" s="56"/>
    </row>
    <row r="42" spans="1:30" s="4" customFormat="1" ht="106.5" customHeight="1" outlineLevel="1" x14ac:dyDescent="0.2">
      <c r="A42" s="231" t="s">
        <v>506</v>
      </c>
      <c r="B42" s="251" t="s">
        <v>367</v>
      </c>
      <c r="C42" s="233">
        <f>E42+J42+O42+T42+Y42</f>
        <v>0.99299999999999999</v>
      </c>
      <c r="D42" s="234">
        <f>F42+K42+P42+U42+Z42</f>
        <v>222112</v>
      </c>
      <c r="E42" s="241">
        <v>0</v>
      </c>
      <c r="F42" s="244">
        <f>G42+H42+I42</f>
        <v>0</v>
      </c>
      <c r="G42" s="244">
        <v>0</v>
      </c>
      <c r="H42" s="244">
        <v>0</v>
      </c>
      <c r="I42" s="244">
        <v>0</v>
      </c>
      <c r="J42" s="233">
        <f>0.45-0.42</f>
        <v>3.0000000000000027E-2</v>
      </c>
      <c r="K42" s="234">
        <f>L42+M42+N42</f>
        <v>2196</v>
      </c>
      <c r="L42" s="234">
        <v>0</v>
      </c>
      <c r="M42" s="244">
        <f>35662-35662</f>
        <v>0</v>
      </c>
      <c r="N42" s="244">
        <v>2196</v>
      </c>
      <c r="O42" s="241">
        <v>0.96299999999999997</v>
      </c>
      <c r="P42" s="244">
        <f>Q42+R42+S42</f>
        <v>219169</v>
      </c>
      <c r="Q42" s="244">
        <v>0</v>
      </c>
      <c r="R42" s="244">
        <f>0+196000+1952</f>
        <v>197952</v>
      </c>
      <c r="S42" s="244">
        <f>8048+360+5272+7537</f>
        <v>21217</v>
      </c>
      <c r="T42" s="241">
        <v>0</v>
      </c>
      <c r="U42" s="248">
        <f>V42+W42+X42</f>
        <v>747</v>
      </c>
      <c r="V42" s="244">
        <v>0</v>
      </c>
      <c r="W42" s="244">
        <f>14769-14769</f>
        <v>0</v>
      </c>
      <c r="X42" s="244">
        <v>747</v>
      </c>
      <c r="Y42" s="241">
        <v>0</v>
      </c>
      <c r="Z42" s="244">
        <v>0</v>
      </c>
      <c r="AA42" s="244">
        <v>0</v>
      </c>
      <c r="AB42" s="244">
        <v>0</v>
      </c>
      <c r="AC42" s="244">
        <v>0</v>
      </c>
      <c r="AD42" s="66"/>
    </row>
    <row r="43" spans="1:30" s="16" customFormat="1" ht="42" customHeight="1" x14ac:dyDescent="0.2">
      <c r="A43" s="253"/>
      <c r="B43" s="254" t="s">
        <v>507</v>
      </c>
      <c r="C43" s="247">
        <f t="shared" ref="C43:S43" si="25">C35+C36+C37+C38+C42</f>
        <v>2.9929999999999999</v>
      </c>
      <c r="D43" s="248">
        <f t="shared" si="25"/>
        <v>406282</v>
      </c>
      <c r="E43" s="247">
        <f t="shared" si="25"/>
        <v>1</v>
      </c>
      <c r="F43" s="248">
        <f t="shared" si="25"/>
        <v>66560</v>
      </c>
      <c r="G43" s="248">
        <f t="shared" si="25"/>
        <v>0</v>
      </c>
      <c r="H43" s="248">
        <f t="shared" si="25"/>
        <v>62060</v>
      </c>
      <c r="I43" s="248">
        <f t="shared" si="25"/>
        <v>4500</v>
      </c>
      <c r="J43" s="247">
        <f t="shared" si="25"/>
        <v>3.0000000000000027E-2</v>
      </c>
      <c r="K43" s="248">
        <f t="shared" si="25"/>
        <v>2196</v>
      </c>
      <c r="L43" s="248">
        <f t="shared" si="25"/>
        <v>0</v>
      </c>
      <c r="M43" s="248">
        <f t="shared" si="25"/>
        <v>0</v>
      </c>
      <c r="N43" s="248">
        <f t="shared" si="25"/>
        <v>2196</v>
      </c>
      <c r="O43" s="247">
        <f t="shared" si="25"/>
        <v>1.9630000000000001</v>
      </c>
      <c r="P43" s="248">
        <f t="shared" si="25"/>
        <v>336779</v>
      </c>
      <c r="Q43" s="248">
        <f t="shared" si="25"/>
        <v>0</v>
      </c>
      <c r="R43" s="248">
        <f t="shared" si="25"/>
        <v>307952</v>
      </c>
      <c r="S43" s="248">
        <f t="shared" si="25"/>
        <v>28827</v>
      </c>
      <c r="T43" s="247">
        <f>T35+Y36+Y37+T38+T42</f>
        <v>0</v>
      </c>
      <c r="U43" s="248">
        <f>U35+U36+U37+U38+U42</f>
        <v>747</v>
      </c>
      <c r="V43" s="248">
        <f>V35+AA36+AA37+V38+V42</f>
        <v>0</v>
      </c>
      <c r="W43" s="248">
        <f t="shared" ref="W43:AC43" si="26">W35+W36+W37+W38+W42</f>
        <v>0</v>
      </c>
      <c r="X43" s="248">
        <f t="shared" si="26"/>
        <v>747</v>
      </c>
      <c r="Y43" s="247">
        <f t="shared" si="26"/>
        <v>0</v>
      </c>
      <c r="Z43" s="248">
        <f t="shared" si="26"/>
        <v>0</v>
      </c>
      <c r="AA43" s="248">
        <f t="shared" si="26"/>
        <v>0</v>
      </c>
      <c r="AB43" s="248">
        <f t="shared" si="26"/>
        <v>0</v>
      </c>
      <c r="AC43" s="248">
        <f t="shared" si="26"/>
        <v>0</v>
      </c>
      <c r="AD43" s="255"/>
    </row>
    <row r="44" spans="1:30" s="17" customFormat="1" ht="29.45" customHeight="1" x14ac:dyDescent="0.2">
      <c r="A44" s="256" t="s">
        <v>133</v>
      </c>
      <c r="B44" s="437" t="s">
        <v>508</v>
      </c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9"/>
      <c r="AD44" s="257"/>
    </row>
    <row r="45" spans="1:30" s="17" customFormat="1" ht="163.5" customHeight="1" outlineLevel="1" x14ac:dyDescent="0.2">
      <c r="A45" s="258" t="s">
        <v>1325</v>
      </c>
      <c r="B45" s="259" t="s">
        <v>130</v>
      </c>
      <c r="C45" s="260">
        <v>0</v>
      </c>
      <c r="D45" s="261">
        <f t="shared" ref="D45:D52" si="27">F45+K45+P45+U45+Z45</f>
        <v>21262</v>
      </c>
      <c r="E45" s="237">
        <v>0</v>
      </c>
      <c r="F45" s="238">
        <f>I45</f>
        <v>5316</v>
      </c>
      <c r="G45" s="238">
        <v>0</v>
      </c>
      <c r="H45" s="238">
        <v>0</v>
      </c>
      <c r="I45" s="238">
        <f>5960-644</f>
        <v>5316</v>
      </c>
      <c r="J45" s="260">
        <v>0</v>
      </c>
      <c r="K45" s="261">
        <f t="shared" ref="K45:K50" si="28">L45+M45+N45</f>
        <v>5316</v>
      </c>
      <c r="L45" s="261">
        <v>0</v>
      </c>
      <c r="M45" s="262">
        <v>0</v>
      </c>
      <c r="N45" s="261">
        <v>5316</v>
      </c>
      <c r="O45" s="260">
        <v>0</v>
      </c>
      <c r="P45" s="261">
        <f>Q45+R45+S45</f>
        <v>5315</v>
      </c>
      <c r="Q45" s="261">
        <v>0</v>
      </c>
      <c r="R45" s="262">
        <v>0</v>
      </c>
      <c r="S45" s="261">
        <v>5315</v>
      </c>
      <c r="T45" s="263">
        <v>0</v>
      </c>
      <c r="U45" s="262">
        <f>V45+W45+X45</f>
        <v>5315</v>
      </c>
      <c r="V45" s="262">
        <v>0</v>
      </c>
      <c r="W45" s="262">
        <v>0</v>
      </c>
      <c r="X45" s="262">
        <v>5315</v>
      </c>
      <c r="Y45" s="263">
        <v>0</v>
      </c>
      <c r="Z45" s="262">
        <v>0</v>
      </c>
      <c r="AA45" s="262">
        <v>0</v>
      </c>
      <c r="AB45" s="262">
        <v>0</v>
      </c>
      <c r="AC45" s="262">
        <v>0</v>
      </c>
      <c r="AD45" s="264"/>
    </row>
    <row r="46" spans="1:30" s="17" customFormat="1" ht="133.5" customHeight="1" outlineLevel="1" x14ac:dyDescent="0.2">
      <c r="A46" s="258" t="s">
        <v>1326</v>
      </c>
      <c r="B46" s="259" t="s">
        <v>132</v>
      </c>
      <c r="C46" s="260">
        <v>0</v>
      </c>
      <c r="D46" s="261">
        <f t="shared" si="27"/>
        <v>14126</v>
      </c>
      <c r="E46" s="237">
        <v>0</v>
      </c>
      <c r="F46" s="238">
        <f>I46</f>
        <v>4685</v>
      </c>
      <c r="G46" s="238">
        <v>0</v>
      </c>
      <c r="H46" s="238">
        <v>0</v>
      </c>
      <c r="I46" s="238">
        <v>4685</v>
      </c>
      <c r="J46" s="260">
        <v>0</v>
      </c>
      <c r="K46" s="261">
        <f t="shared" si="28"/>
        <v>0</v>
      </c>
      <c r="L46" s="261">
        <v>0</v>
      </c>
      <c r="M46" s="262">
        <v>0</v>
      </c>
      <c r="N46" s="261">
        <v>0</v>
      </c>
      <c r="O46" s="260">
        <v>0</v>
      </c>
      <c r="P46" s="261">
        <f>Q46+R46+S46</f>
        <v>4685</v>
      </c>
      <c r="Q46" s="261">
        <v>0</v>
      </c>
      <c r="R46" s="262">
        <v>0</v>
      </c>
      <c r="S46" s="261">
        <v>4685</v>
      </c>
      <c r="T46" s="263">
        <v>0</v>
      </c>
      <c r="U46" s="262">
        <f>V46+W46+X46</f>
        <v>4756</v>
      </c>
      <c r="V46" s="262">
        <v>0</v>
      </c>
      <c r="W46" s="262">
        <v>0</v>
      </c>
      <c r="X46" s="262">
        <f>4685+71</f>
        <v>4756</v>
      </c>
      <c r="Y46" s="263">
        <v>0</v>
      </c>
      <c r="Z46" s="262">
        <v>0</v>
      </c>
      <c r="AA46" s="262">
        <v>0</v>
      </c>
      <c r="AB46" s="262">
        <v>0</v>
      </c>
      <c r="AC46" s="262">
        <v>0</v>
      </c>
      <c r="AD46" s="264"/>
    </row>
    <row r="47" spans="1:30" s="17" customFormat="1" ht="93" customHeight="1" outlineLevel="1" x14ac:dyDescent="0.2">
      <c r="A47" s="258" t="s">
        <v>1327</v>
      </c>
      <c r="B47" s="259" t="s">
        <v>673</v>
      </c>
      <c r="C47" s="237">
        <f>E47+J47+O47++Y47+T47</f>
        <v>0.1</v>
      </c>
      <c r="D47" s="261">
        <f>F47+K47+P47+U47+Z47</f>
        <v>8452</v>
      </c>
      <c r="E47" s="237">
        <f>1-1</f>
        <v>0</v>
      </c>
      <c r="F47" s="238">
        <f>I47</f>
        <v>0</v>
      </c>
      <c r="G47" s="238">
        <v>0</v>
      </c>
      <c r="H47" s="238">
        <v>0</v>
      </c>
      <c r="I47" s="238">
        <v>0</v>
      </c>
      <c r="J47" s="260">
        <v>0</v>
      </c>
      <c r="K47" s="261">
        <f t="shared" si="28"/>
        <v>0</v>
      </c>
      <c r="L47" s="261">
        <v>0</v>
      </c>
      <c r="M47" s="262">
        <v>0</v>
      </c>
      <c r="N47" s="261">
        <v>0</v>
      </c>
      <c r="O47" s="260">
        <v>0</v>
      </c>
      <c r="P47" s="261">
        <f>Q47+R47+S47</f>
        <v>0</v>
      </c>
      <c r="Q47" s="261">
        <v>0</v>
      </c>
      <c r="R47" s="262">
        <v>0</v>
      </c>
      <c r="S47" s="261">
        <f>324-324</f>
        <v>0</v>
      </c>
      <c r="T47" s="263">
        <v>0</v>
      </c>
      <c r="U47" s="262">
        <f t="shared" ref="U47:U48" si="29">V47+W47+X47</f>
        <v>0</v>
      </c>
      <c r="V47" s="262">
        <v>0</v>
      </c>
      <c r="W47" s="262">
        <v>0</v>
      </c>
      <c r="X47" s="262">
        <v>0</v>
      </c>
      <c r="Y47" s="263">
        <v>0.1</v>
      </c>
      <c r="Z47" s="262">
        <f t="shared" ref="Z47:Z69" si="30">AA47+AB47+AC47</f>
        <v>8452</v>
      </c>
      <c r="AA47" s="262">
        <v>0</v>
      </c>
      <c r="AB47" s="262">
        <v>0</v>
      </c>
      <c r="AC47" s="262">
        <v>8452</v>
      </c>
      <c r="AD47" s="264"/>
    </row>
    <row r="48" spans="1:30" ht="121.5" customHeight="1" outlineLevel="1" x14ac:dyDescent="0.2">
      <c r="A48" s="258" t="s">
        <v>1328</v>
      </c>
      <c r="B48" s="252" t="s">
        <v>417</v>
      </c>
      <c r="C48" s="237">
        <f t="shared" ref="C48:C69" si="31">E48+J48+O48++Y48+T48</f>
        <v>0</v>
      </c>
      <c r="D48" s="261">
        <f t="shared" si="27"/>
        <v>53</v>
      </c>
      <c r="E48" s="239">
        <v>0</v>
      </c>
      <c r="F48" s="240">
        <v>0</v>
      </c>
      <c r="G48" s="240">
        <v>0</v>
      </c>
      <c r="H48" s="240">
        <v>0</v>
      </c>
      <c r="I48" s="240">
        <v>0</v>
      </c>
      <c r="J48" s="237">
        <v>0</v>
      </c>
      <c r="K48" s="261">
        <f t="shared" si="28"/>
        <v>53</v>
      </c>
      <c r="L48" s="238">
        <v>0</v>
      </c>
      <c r="M48" s="240">
        <v>0</v>
      </c>
      <c r="N48" s="240">
        <v>53</v>
      </c>
      <c r="O48" s="239">
        <v>0</v>
      </c>
      <c r="P48" s="240">
        <f>S48</f>
        <v>0</v>
      </c>
      <c r="Q48" s="240">
        <v>0</v>
      </c>
      <c r="R48" s="240">
        <v>0</v>
      </c>
      <c r="S48" s="240">
        <v>0</v>
      </c>
      <c r="T48" s="239">
        <v>0</v>
      </c>
      <c r="U48" s="262">
        <f t="shared" si="29"/>
        <v>0</v>
      </c>
      <c r="V48" s="238">
        <v>0</v>
      </c>
      <c r="W48" s="238">
        <v>0</v>
      </c>
      <c r="X48" s="238">
        <v>0</v>
      </c>
      <c r="Y48" s="239">
        <v>0</v>
      </c>
      <c r="Z48" s="262">
        <f t="shared" si="30"/>
        <v>0</v>
      </c>
      <c r="AA48" s="240">
        <v>0</v>
      </c>
      <c r="AB48" s="240">
        <v>0</v>
      </c>
      <c r="AC48" s="240">
        <v>0</v>
      </c>
      <c r="AD48" s="56"/>
    </row>
    <row r="49" spans="1:30" s="17" customFormat="1" ht="85.15" customHeight="1" outlineLevel="1" x14ac:dyDescent="0.2">
      <c r="A49" s="258" t="s">
        <v>1329</v>
      </c>
      <c r="B49" s="265" t="s">
        <v>376</v>
      </c>
      <c r="C49" s="237">
        <f t="shared" si="31"/>
        <v>0</v>
      </c>
      <c r="D49" s="261">
        <f t="shared" si="27"/>
        <v>6358</v>
      </c>
      <c r="E49" s="237">
        <v>0</v>
      </c>
      <c r="F49" s="238">
        <f>I49</f>
        <v>0</v>
      </c>
      <c r="G49" s="238">
        <v>0</v>
      </c>
      <c r="H49" s="238">
        <v>0</v>
      </c>
      <c r="I49" s="238">
        <v>0</v>
      </c>
      <c r="J49" s="260">
        <v>0</v>
      </c>
      <c r="K49" s="261">
        <f t="shared" si="28"/>
        <v>0</v>
      </c>
      <c r="L49" s="261">
        <v>0</v>
      </c>
      <c r="M49" s="262">
        <v>0</v>
      </c>
      <c r="N49" s="261">
        <v>0</v>
      </c>
      <c r="O49" s="260">
        <v>0</v>
      </c>
      <c r="P49" s="261">
        <f>S49</f>
        <v>0</v>
      </c>
      <c r="Q49" s="261">
        <v>0</v>
      </c>
      <c r="R49" s="262">
        <v>0</v>
      </c>
      <c r="S49" s="261">
        <f>4887-4887</f>
        <v>0</v>
      </c>
      <c r="T49" s="263">
        <v>0</v>
      </c>
      <c r="U49" s="262">
        <f>V49+W49+X49</f>
        <v>6358</v>
      </c>
      <c r="V49" s="262">
        <v>0</v>
      </c>
      <c r="W49" s="262">
        <v>0</v>
      </c>
      <c r="X49" s="262">
        <v>6358</v>
      </c>
      <c r="Y49" s="263">
        <v>0</v>
      </c>
      <c r="Z49" s="262">
        <f t="shared" si="30"/>
        <v>0</v>
      </c>
      <c r="AA49" s="262">
        <v>0</v>
      </c>
      <c r="AB49" s="262">
        <v>0</v>
      </c>
      <c r="AC49" s="262">
        <v>0</v>
      </c>
      <c r="AD49" s="264"/>
    </row>
    <row r="50" spans="1:30" s="17" customFormat="1" ht="102" customHeight="1" outlineLevel="1" x14ac:dyDescent="0.2">
      <c r="A50" s="258" t="s">
        <v>1330</v>
      </c>
      <c r="B50" s="265" t="s">
        <v>615</v>
      </c>
      <c r="C50" s="237">
        <f t="shared" si="31"/>
        <v>1.3</v>
      </c>
      <c r="D50" s="261">
        <f t="shared" si="27"/>
        <v>15681</v>
      </c>
      <c r="E50" s="237">
        <v>0</v>
      </c>
      <c r="F50" s="238">
        <v>0</v>
      </c>
      <c r="G50" s="238">
        <v>0</v>
      </c>
      <c r="H50" s="238">
        <v>0</v>
      </c>
      <c r="I50" s="238">
        <v>0</v>
      </c>
      <c r="J50" s="260">
        <v>0</v>
      </c>
      <c r="K50" s="261">
        <f t="shared" si="28"/>
        <v>0</v>
      </c>
      <c r="L50" s="261">
        <v>0</v>
      </c>
      <c r="M50" s="262">
        <v>0</v>
      </c>
      <c r="N50" s="261">
        <v>0</v>
      </c>
      <c r="O50" s="260">
        <v>0</v>
      </c>
      <c r="P50" s="261">
        <v>0</v>
      </c>
      <c r="Q50" s="261">
        <v>0</v>
      </c>
      <c r="R50" s="262">
        <v>0</v>
      </c>
      <c r="S50" s="261">
        <v>0</v>
      </c>
      <c r="T50" s="263">
        <v>0</v>
      </c>
      <c r="U50" s="262">
        <v>0</v>
      </c>
      <c r="V50" s="262">
        <v>0</v>
      </c>
      <c r="W50" s="262">
        <v>0</v>
      </c>
      <c r="X50" s="262">
        <v>0</v>
      </c>
      <c r="Y50" s="263">
        <v>1.3</v>
      </c>
      <c r="Z50" s="262">
        <f t="shared" si="30"/>
        <v>15681</v>
      </c>
      <c r="AA50" s="262">
        <v>0</v>
      </c>
      <c r="AB50" s="262">
        <v>0</v>
      </c>
      <c r="AC50" s="262">
        <v>15681</v>
      </c>
      <c r="AD50" s="264"/>
    </row>
    <row r="51" spans="1:30" s="17" customFormat="1" ht="117.75" customHeight="1" outlineLevel="1" x14ac:dyDescent="0.2">
      <c r="A51" s="258" t="s">
        <v>1331</v>
      </c>
      <c r="B51" s="265" t="s">
        <v>658</v>
      </c>
      <c r="C51" s="237">
        <f t="shared" si="31"/>
        <v>0</v>
      </c>
      <c r="D51" s="261">
        <f t="shared" si="27"/>
        <v>0</v>
      </c>
      <c r="E51" s="237">
        <v>0</v>
      </c>
      <c r="F51" s="238">
        <f>I51</f>
        <v>0</v>
      </c>
      <c r="G51" s="238">
        <v>0</v>
      </c>
      <c r="H51" s="238">
        <v>0</v>
      </c>
      <c r="I51" s="238">
        <v>0</v>
      </c>
      <c r="J51" s="260">
        <v>0</v>
      </c>
      <c r="K51" s="261">
        <f t="shared" ref="K51:K58" si="32">L51+M51+N51</f>
        <v>0</v>
      </c>
      <c r="L51" s="261">
        <v>0</v>
      </c>
      <c r="M51" s="262">
        <v>0</v>
      </c>
      <c r="N51" s="261">
        <v>0</v>
      </c>
      <c r="O51" s="260">
        <v>0</v>
      </c>
      <c r="P51" s="261">
        <f>S51</f>
        <v>0</v>
      </c>
      <c r="Q51" s="261">
        <v>0</v>
      </c>
      <c r="R51" s="262">
        <v>0</v>
      </c>
      <c r="S51" s="261">
        <v>0</v>
      </c>
      <c r="T51" s="263">
        <v>0</v>
      </c>
      <c r="U51" s="262">
        <f t="shared" ref="U51:U69" si="33">V51+W51+X51</f>
        <v>0</v>
      </c>
      <c r="V51" s="262">
        <v>0</v>
      </c>
      <c r="W51" s="262">
        <v>0</v>
      </c>
      <c r="X51" s="262">
        <f>5991-5991</f>
        <v>0</v>
      </c>
      <c r="Y51" s="263">
        <v>0</v>
      </c>
      <c r="Z51" s="262">
        <f t="shared" si="30"/>
        <v>0</v>
      </c>
      <c r="AA51" s="262">
        <v>0</v>
      </c>
      <c r="AB51" s="262">
        <v>0</v>
      </c>
      <c r="AC51" s="262">
        <v>0</v>
      </c>
      <c r="AD51" s="264"/>
    </row>
    <row r="52" spans="1:30" s="17" customFormat="1" ht="119.25" customHeight="1" outlineLevel="1" x14ac:dyDescent="0.2">
      <c r="A52" s="258" t="s">
        <v>1332</v>
      </c>
      <c r="B52" s="265" t="s">
        <v>612</v>
      </c>
      <c r="C52" s="237">
        <f t="shared" si="31"/>
        <v>0</v>
      </c>
      <c r="D52" s="261">
        <f t="shared" si="27"/>
        <v>6900</v>
      </c>
      <c r="E52" s="237">
        <v>0</v>
      </c>
      <c r="F52" s="238">
        <v>0</v>
      </c>
      <c r="G52" s="238">
        <v>0</v>
      </c>
      <c r="H52" s="238">
        <v>0</v>
      </c>
      <c r="I52" s="238">
        <v>0</v>
      </c>
      <c r="J52" s="260">
        <v>0</v>
      </c>
      <c r="K52" s="261">
        <f t="shared" si="32"/>
        <v>0</v>
      </c>
      <c r="L52" s="261">
        <v>0</v>
      </c>
      <c r="M52" s="262">
        <v>0</v>
      </c>
      <c r="N52" s="261">
        <v>0</v>
      </c>
      <c r="O52" s="260">
        <v>0</v>
      </c>
      <c r="P52" s="261">
        <f>S52</f>
        <v>0</v>
      </c>
      <c r="Q52" s="261">
        <v>0</v>
      </c>
      <c r="R52" s="262">
        <v>0</v>
      </c>
      <c r="S52" s="261">
        <v>0</v>
      </c>
      <c r="T52" s="263">
        <v>0</v>
      </c>
      <c r="U52" s="262">
        <f t="shared" si="33"/>
        <v>6900</v>
      </c>
      <c r="V52" s="262">
        <v>0</v>
      </c>
      <c r="W52" s="262">
        <v>0</v>
      </c>
      <c r="X52" s="262">
        <v>6900</v>
      </c>
      <c r="Y52" s="263">
        <v>0</v>
      </c>
      <c r="Z52" s="262">
        <f t="shared" si="30"/>
        <v>0</v>
      </c>
      <c r="AA52" s="262">
        <v>0</v>
      </c>
      <c r="AB52" s="262">
        <v>0</v>
      </c>
      <c r="AC52" s="262">
        <v>0</v>
      </c>
      <c r="AD52" s="264"/>
    </row>
    <row r="53" spans="1:30" s="17" customFormat="1" ht="145.5" customHeight="1" outlineLevel="1" x14ac:dyDescent="0.2">
      <c r="A53" s="258" t="s">
        <v>1333</v>
      </c>
      <c r="B53" s="265" t="s">
        <v>331</v>
      </c>
      <c r="C53" s="237">
        <f t="shared" si="31"/>
        <v>0</v>
      </c>
      <c r="D53" s="261">
        <f t="shared" ref="D53:D74" si="34">F53+K53+P53+U53+Z53</f>
        <v>10340</v>
      </c>
      <c r="E53" s="237">
        <v>0</v>
      </c>
      <c r="F53" s="238">
        <f t="shared" ref="F53:F69" si="35">G53+H53+I53</f>
        <v>6871</v>
      </c>
      <c r="G53" s="238">
        <v>0</v>
      </c>
      <c r="H53" s="238">
        <v>0</v>
      </c>
      <c r="I53" s="238">
        <v>6871</v>
      </c>
      <c r="J53" s="260">
        <v>0</v>
      </c>
      <c r="K53" s="261">
        <f>L53+M53+N53</f>
        <v>3469</v>
      </c>
      <c r="L53" s="261">
        <v>0</v>
      </c>
      <c r="M53" s="262">
        <v>0</v>
      </c>
      <c r="N53" s="261">
        <f>3361+108</f>
        <v>3469</v>
      </c>
      <c r="O53" s="260">
        <v>0</v>
      </c>
      <c r="P53" s="261">
        <f t="shared" ref="P53:P73" si="36">Q53+R53+S53</f>
        <v>0</v>
      </c>
      <c r="Q53" s="261">
        <v>0</v>
      </c>
      <c r="R53" s="262">
        <v>0</v>
      </c>
      <c r="S53" s="261">
        <v>0</v>
      </c>
      <c r="T53" s="263">
        <v>0</v>
      </c>
      <c r="U53" s="262">
        <f t="shared" si="33"/>
        <v>0</v>
      </c>
      <c r="V53" s="262">
        <v>0</v>
      </c>
      <c r="W53" s="262">
        <v>0</v>
      </c>
      <c r="X53" s="262">
        <v>0</v>
      </c>
      <c r="Y53" s="263">
        <v>0</v>
      </c>
      <c r="Z53" s="262">
        <f t="shared" si="30"/>
        <v>0</v>
      </c>
      <c r="AA53" s="262">
        <v>0</v>
      </c>
      <c r="AB53" s="262">
        <v>0</v>
      </c>
      <c r="AC53" s="262">
        <v>0</v>
      </c>
      <c r="AD53" s="264"/>
    </row>
    <row r="54" spans="1:30" s="17" customFormat="1" ht="73.5" customHeight="1" outlineLevel="1" x14ac:dyDescent="0.2">
      <c r="A54" s="258" t="s">
        <v>1334</v>
      </c>
      <c r="B54" s="265" t="s">
        <v>614</v>
      </c>
      <c r="C54" s="237">
        <f t="shared" si="31"/>
        <v>0.34</v>
      </c>
      <c r="D54" s="261">
        <f t="shared" si="34"/>
        <v>3639</v>
      </c>
      <c r="E54" s="237">
        <v>0</v>
      </c>
      <c r="F54" s="238">
        <f t="shared" si="35"/>
        <v>0</v>
      </c>
      <c r="G54" s="238">
        <v>0</v>
      </c>
      <c r="H54" s="238">
        <v>0</v>
      </c>
      <c r="I54" s="238">
        <v>0</v>
      </c>
      <c r="J54" s="260">
        <v>0</v>
      </c>
      <c r="K54" s="261">
        <f t="shared" si="32"/>
        <v>0</v>
      </c>
      <c r="L54" s="261">
        <v>0</v>
      </c>
      <c r="M54" s="262">
        <v>0</v>
      </c>
      <c r="N54" s="261">
        <v>0</v>
      </c>
      <c r="O54" s="260">
        <v>0</v>
      </c>
      <c r="P54" s="261">
        <f t="shared" si="36"/>
        <v>0</v>
      </c>
      <c r="Q54" s="261">
        <v>0</v>
      </c>
      <c r="R54" s="262">
        <v>0</v>
      </c>
      <c r="S54" s="261">
        <v>0</v>
      </c>
      <c r="T54" s="263">
        <v>0</v>
      </c>
      <c r="U54" s="262">
        <f t="shared" si="33"/>
        <v>0</v>
      </c>
      <c r="V54" s="262">
        <v>0</v>
      </c>
      <c r="W54" s="262">
        <v>0</v>
      </c>
      <c r="X54" s="262">
        <v>0</v>
      </c>
      <c r="Y54" s="263">
        <v>0.34</v>
      </c>
      <c r="Z54" s="262">
        <f t="shared" si="30"/>
        <v>3639</v>
      </c>
      <c r="AA54" s="262">
        <v>0</v>
      </c>
      <c r="AB54" s="262">
        <v>0</v>
      </c>
      <c r="AC54" s="262">
        <v>3639</v>
      </c>
      <c r="AD54" s="264"/>
    </row>
    <row r="55" spans="1:30" s="17" customFormat="1" ht="165.75" customHeight="1" outlineLevel="1" x14ac:dyDescent="0.2">
      <c r="A55" s="258" t="s">
        <v>1335</v>
      </c>
      <c r="B55" s="265" t="s">
        <v>216</v>
      </c>
      <c r="C55" s="237">
        <f t="shared" si="31"/>
        <v>0</v>
      </c>
      <c r="D55" s="261">
        <f t="shared" si="34"/>
        <v>3016</v>
      </c>
      <c r="E55" s="237">
        <v>0</v>
      </c>
      <c r="F55" s="238">
        <f t="shared" si="35"/>
        <v>1512</v>
      </c>
      <c r="G55" s="238">
        <v>0</v>
      </c>
      <c r="H55" s="238">
        <v>0</v>
      </c>
      <c r="I55" s="238">
        <v>1512</v>
      </c>
      <c r="J55" s="260">
        <v>0</v>
      </c>
      <c r="K55" s="261">
        <f t="shared" si="32"/>
        <v>1504</v>
      </c>
      <c r="L55" s="261">
        <v>0</v>
      </c>
      <c r="M55" s="262">
        <v>0</v>
      </c>
      <c r="N55" s="261">
        <v>1504</v>
      </c>
      <c r="O55" s="260">
        <v>0</v>
      </c>
      <c r="P55" s="261">
        <f t="shared" si="36"/>
        <v>0</v>
      </c>
      <c r="Q55" s="261">
        <v>0</v>
      </c>
      <c r="R55" s="262">
        <v>0</v>
      </c>
      <c r="S55" s="261">
        <v>0</v>
      </c>
      <c r="T55" s="263">
        <v>0</v>
      </c>
      <c r="U55" s="262">
        <f t="shared" si="33"/>
        <v>0</v>
      </c>
      <c r="V55" s="262">
        <v>0</v>
      </c>
      <c r="W55" s="262">
        <v>0</v>
      </c>
      <c r="X55" s="262">
        <v>0</v>
      </c>
      <c r="Y55" s="263">
        <v>0</v>
      </c>
      <c r="Z55" s="262">
        <f t="shared" si="30"/>
        <v>0</v>
      </c>
      <c r="AA55" s="262">
        <v>0</v>
      </c>
      <c r="AB55" s="262">
        <v>0</v>
      </c>
      <c r="AC55" s="262">
        <v>0</v>
      </c>
      <c r="AD55" s="264"/>
    </row>
    <row r="56" spans="1:30" s="17" customFormat="1" ht="75" customHeight="1" outlineLevel="1" x14ac:dyDescent="0.2">
      <c r="A56" s="258" t="s">
        <v>1336</v>
      </c>
      <c r="B56" s="265" t="s">
        <v>217</v>
      </c>
      <c r="C56" s="237">
        <f t="shared" si="31"/>
        <v>0</v>
      </c>
      <c r="D56" s="261">
        <f t="shared" si="34"/>
        <v>1100</v>
      </c>
      <c r="E56" s="237">
        <v>0</v>
      </c>
      <c r="F56" s="238">
        <f t="shared" si="35"/>
        <v>1100</v>
      </c>
      <c r="G56" s="238">
        <v>0</v>
      </c>
      <c r="H56" s="238">
        <v>0</v>
      </c>
      <c r="I56" s="238">
        <v>1100</v>
      </c>
      <c r="J56" s="260">
        <v>0</v>
      </c>
      <c r="K56" s="261">
        <f t="shared" si="32"/>
        <v>0</v>
      </c>
      <c r="L56" s="261">
        <v>0</v>
      </c>
      <c r="M56" s="262">
        <v>0</v>
      </c>
      <c r="N56" s="261">
        <v>0</v>
      </c>
      <c r="O56" s="260">
        <v>0</v>
      </c>
      <c r="P56" s="261">
        <f t="shared" si="36"/>
        <v>0</v>
      </c>
      <c r="Q56" s="261">
        <v>0</v>
      </c>
      <c r="R56" s="262">
        <v>0</v>
      </c>
      <c r="S56" s="261">
        <v>0</v>
      </c>
      <c r="T56" s="263">
        <v>0</v>
      </c>
      <c r="U56" s="262">
        <f t="shared" si="33"/>
        <v>0</v>
      </c>
      <c r="V56" s="262">
        <v>0</v>
      </c>
      <c r="W56" s="262">
        <v>0</v>
      </c>
      <c r="X56" s="262">
        <v>0</v>
      </c>
      <c r="Y56" s="263">
        <v>0</v>
      </c>
      <c r="Z56" s="262">
        <f t="shared" si="30"/>
        <v>0</v>
      </c>
      <c r="AA56" s="262">
        <v>0</v>
      </c>
      <c r="AB56" s="262">
        <v>0</v>
      </c>
      <c r="AC56" s="262">
        <v>0</v>
      </c>
      <c r="AD56" s="264"/>
    </row>
    <row r="57" spans="1:30" s="17" customFormat="1" ht="110.45" customHeight="1" outlineLevel="1" x14ac:dyDescent="0.2">
      <c r="A57" s="258" t="s">
        <v>1337</v>
      </c>
      <c r="B57" s="265" t="s">
        <v>243</v>
      </c>
      <c r="C57" s="237">
        <f t="shared" si="31"/>
        <v>0</v>
      </c>
      <c r="D57" s="261">
        <f t="shared" si="34"/>
        <v>18791</v>
      </c>
      <c r="E57" s="237">
        <v>0</v>
      </c>
      <c r="F57" s="238">
        <f t="shared" si="35"/>
        <v>6923</v>
      </c>
      <c r="G57" s="238">
        <v>0</v>
      </c>
      <c r="H57" s="238">
        <v>6590</v>
      </c>
      <c r="I57" s="238">
        <v>333</v>
      </c>
      <c r="J57" s="260">
        <v>0</v>
      </c>
      <c r="K57" s="261">
        <f t="shared" si="32"/>
        <v>6357</v>
      </c>
      <c r="L57" s="261">
        <v>0</v>
      </c>
      <c r="M57" s="262">
        <v>0</v>
      </c>
      <c r="N57" s="261">
        <v>6357</v>
      </c>
      <c r="O57" s="260">
        <v>0</v>
      </c>
      <c r="P57" s="261">
        <f t="shared" si="36"/>
        <v>5511</v>
      </c>
      <c r="Q57" s="261">
        <v>0</v>
      </c>
      <c r="R57" s="262">
        <v>0</v>
      </c>
      <c r="S57" s="261">
        <f>7211-1700</f>
        <v>5511</v>
      </c>
      <c r="T57" s="263">
        <v>0</v>
      </c>
      <c r="U57" s="262">
        <f t="shared" si="33"/>
        <v>0</v>
      </c>
      <c r="V57" s="262">
        <v>0</v>
      </c>
      <c r="W57" s="262">
        <v>0</v>
      </c>
      <c r="X57" s="262">
        <v>0</v>
      </c>
      <c r="Y57" s="263">
        <v>0</v>
      </c>
      <c r="Z57" s="262">
        <f t="shared" si="30"/>
        <v>0</v>
      </c>
      <c r="AA57" s="262">
        <v>0</v>
      </c>
      <c r="AB57" s="262">
        <v>0</v>
      </c>
      <c r="AC57" s="262">
        <v>0</v>
      </c>
      <c r="AD57" s="264"/>
    </row>
    <row r="58" spans="1:30" s="17" customFormat="1" ht="236.45" customHeight="1" outlineLevel="1" x14ac:dyDescent="0.2">
      <c r="A58" s="258" t="s">
        <v>1338</v>
      </c>
      <c r="B58" s="265" t="s">
        <v>244</v>
      </c>
      <c r="C58" s="237">
        <f t="shared" si="31"/>
        <v>0</v>
      </c>
      <c r="D58" s="261">
        <f t="shared" si="34"/>
        <v>778</v>
      </c>
      <c r="E58" s="237">
        <v>0</v>
      </c>
      <c r="F58" s="238">
        <f t="shared" si="35"/>
        <v>778</v>
      </c>
      <c r="G58" s="238">
        <v>0</v>
      </c>
      <c r="H58" s="238">
        <v>0</v>
      </c>
      <c r="I58" s="238">
        <v>778</v>
      </c>
      <c r="J58" s="260">
        <v>0</v>
      </c>
      <c r="K58" s="261">
        <f t="shared" si="32"/>
        <v>0</v>
      </c>
      <c r="L58" s="261">
        <v>0</v>
      </c>
      <c r="M58" s="262">
        <v>0</v>
      </c>
      <c r="N58" s="261">
        <v>0</v>
      </c>
      <c r="O58" s="260">
        <v>0</v>
      </c>
      <c r="P58" s="261">
        <f t="shared" si="36"/>
        <v>0</v>
      </c>
      <c r="Q58" s="261">
        <v>0</v>
      </c>
      <c r="R58" s="262">
        <v>0</v>
      </c>
      <c r="S58" s="261">
        <v>0</v>
      </c>
      <c r="T58" s="263">
        <v>0</v>
      </c>
      <c r="U58" s="262">
        <f t="shared" si="33"/>
        <v>0</v>
      </c>
      <c r="V58" s="262">
        <v>0</v>
      </c>
      <c r="W58" s="262">
        <v>0</v>
      </c>
      <c r="X58" s="262">
        <v>0</v>
      </c>
      <c r="Y58" s="263">
        <v>0</v>
      </c>
      <c r="Z58" s="262">
        <f t="shared" si="30"/>
        <v>0</v>
      </c>
      <c r="AA58" s="262">
        <v>0</v>
      </c>
      <c r="AB58" s="262">
        <v>0</v>
      </c>
      <c r="AC58" s="262">
        <v>0</v>
      </c>
      <c r="AD58" s="264"/>
    </row>
    <row r="59" spans="1:30" s="17" customFormat="1" ht="116.25" customHeight="1" outlineLevel="1" x14ac:dyDescent="0.2">
      <c r="A59" s="258" t="s">
        <v>1339</v>
      </c>
      <c r="B59" s="265" t="s">
        <v>293</v>
      </c>
      <c r="C59" s="237">
        <f t="shared" si="31"/>
        <v>0</v>
      </c>
      <c r="D59" s="261">
        <f t="shared" si="34"/>
        <v>4370</v>
      </c>
      <c r="E59" s="237">
        <v>0</v>
      </c>
      <c r="F59" s="238">
        <f t="shared" si="35"/>
        <v>4370</v>
      </c>
      <c r="G59" s="238">
        <v>0</v>
      </c>
      <c r="H59" s="238">
        <v>4160</v>
      </c>
      <c r="I59" s="238">
        <v>210</v>
      </c>
      <c r="J59" s="260">
        <v>0</v>
      </c>
      <c r="K59" s="261">
        <f t="shared" ref="K59:K64" si="37">L59+M59+N59</f>
        <v>0</v>
      </c>
      <c r="L59" s="261">
        <v>0</v>
      </c>
      <c r="M59" s="262">
        <v>0</v>
      </c>
      <c r="N59" s="261">
        <v>0</v>
      </c>
      <c r="O59" s="260">
        <v>0</v>
      </c>
      <c r="P59" s="261">
        <f t="shared" si="36"/>
        <v>0</v>
      </c>
      <c r="Q59" s="261">
        <v>0</v>
      </c>
      <c r="R59" s="262">
        <v>0</v>
      </c>
      <c r="S59" s="261">
        <v>0</v>
      </c>
      <c r="T59" s="263">
        <v>0</v>
      </c>
      <c r="U59" s="262">
        <f t="shared" si="33"/>
        <v>0</v>
      </c>
      <c r="V59" s="262">
        <v>0</v>
      </c>
      <c r="W59" s="262">
        <v>0</v>
      </c>
      <c r="X59" s="262">
        <v>0</v>
      </c>
      <c r="Y59" s="263">
        <v>0</v>
      </c>
      <c r="Z59" s="262">
        <f t="shared" si="30"/>
        <v>0</v>
      </c>
      <c r="AA59" s="262">
        <v>0</v>
      </c>
      <c r="AB59" s="262">
        <v>0</v>
      </c>
      <c r="AC59" s="262">
        <v>0</v>
      </c>
      <c r="AD59" s="264"/>
    </row>
    <row r="60" spans="1:30" s="17" customFormat="1" ht="109.5" customHeight="1" outlineLevel="1" x14ac:dyDescent="0.2">
      <c r="A60" s="258" t="s">
        <v>1340</v>
      </c>
      <c r="B60" s="265" t="s">
        <v>294</v>
      </c>
      <c r="C60" s="237">
        <f t="shared" si="31"/>
        <v>0</v>
      </c>
      <c r="D60" s="261">
        <f t="shared" si="34"/>
        <v>4081</v>
      </c>
      <c r="E60" s="237">
        <v>0</v>
      </c>
      <c r="F60" s="238">
        <f t="shared" si="35"/>
        <v>4081</v>
      </c>
      <c r="G60" s="238">
        <v>0</v>
      </c>
      <c r="H60" s="238">
        <v>3885</v>
      </c>
      <c r="I60" s="238">
        <v>196</v>
      </c>
      <c r="J60" s="260">
        <v>0</v>
      </c>
      <c r="K60" s="261">
        <f t="shared" si="37"/>
        <v>0</v>
      </c>
      <c r="L60" s="261">
        <v>0</v>
      </c>
      <c r="M60" s="262">
        <v>0</v>
      </c>
      <c r="N60" s="261">
        <v>0</v>
      </c>
      <c r="O60" s="260">
        <v>0</v>
      </c>
      <c r="P60" s="261">
        <f t="shared" si="36"/>
        <v>0</v>
      </c>
      <c r="Q60" s="261">
        <v>0</v>
      </c>
      <c r="R60" s="262">
        <v>0</v>
      </c>
      <c r="S60" s="261">
        <v>0</v>
      </c>
      <c r="T60" s="263">
        <v>0</v>
      </c>
      <c r="U60" s="262">
        <f t="shared" si="33"/>
        <v>0</v>
      </c>
      <c r="V60" s="262">
        <v>0</v>
      </c>
      <c r="W60" s="262">
        <v>0</v>
      </c>
      <c r="X60" s="262">
        <v>0</v>
      </c>
      <c r="Y60" s="263">
        <v>0</v>
      </c>
      <c r="Z60" s="262">
        <f t="shared" si="30"/>
        <v>0</v>
      </c>
      <c r="AA60" s="262">
        <v>0</v>
      </c>
      <c r="AB60" s="262">
        <v>0</v>
      </c>
      <c r="AC60" s="262">
        <v>0</v>
      </c>
      <c r="AD60" s="264"/>
    </row>
    <row r="61" spans="1:30" s="17" customFormat="1" ht="95.25" customHeight="1" outlineLevel="1" x14ac:dyDescent="0.2">
      <c r="A61" s="258" t="s">
        <v>1341</v>
      </c>
      <c r="B61" s="265" t="s">
        <v>295</v>
      </c>
      <c r="C61" s="237">
        <f t="shared" si="31"/>
        <v>0</v>
      </c>
      <c r="D61" s="261">
        <f t="shared" si="34"/>
        <v>1786</v>
      </c>
      <c r="E61" s="237">
        <v>0</v>
      </c>
      <c r="F61" s="238">
        <f t="shared" si="35"/>
        <v>1786</v>
      </c>
      <c r="G61" s="238">
        <v>0</v>
      </c>
      <c r="H61" s="238">
        <v>1700</v>
      </c>
      <c r="I61" s="238">
        <v>86</v>
      </c>
      <c r="J61" s="260">
        <v>0</v>
      </c>
      <c r="K61" s="261">
        <f t="shared" si="37"/>
        <v>0</v>
      </c>
      <c r="L61" s="261">
        <v>0</v>
      </c>
      <c r="M61" s="262">
        <v>0</v>
      </c>
      <c r="N61" s="261">
        <v>0</v>
      </c>
      <c r="O61" s="260">
        <v>0</v>
      </c>
      <c r="P61" s="261">
        <f t="shared" si="36"/>
        <v>0</v>
      </c>
      <c r="Q61" s="261">
        <v>0</v>
      </c>
      <c r="R61" s="262">
        <v>0</v>
      </c>
      <c r="S61" s="261">
        <v>0</v>
      </c>
      <c r="T61" s="263">
        <v>0</v>
      </c>
      <c r="U61" s="262">
        <f t="shared" si="33"/>
        <v>0</v>
      </c>
      <c r="V61" s="262">
        <v>0</v>
      </c>
      <c r="W61" s="262">
        <v>0</v>
      </c>
      <c r="X61" s="262">
        <v>0</v>
      </c>
      <c r="Y61" s="263">
        <v>0</v>
      </c>
      <c r="Z61" s="262">
        <f t="shared" si="30"/>
        <v>0</v>
      </c>
      <c r="AA61" s="262">
        <v>0</v>
      </c>
      <c r="AB61" s="262">
        <v>0</v>
      </c>
      <c r="AC61" s="262">
        <v>0</v>
      </c>
      <c r="AD61" s="264"/>
    </row>
    <row r="62" spans="1:30" s="17" customFormat="1" ht="105.6" customHeight="1" outlineLevel="1" x14ac:dyDescent="0.2">
      <c r="A62" s="258" t="s">
        <v>1342</v>
      </c>
      <c r="B62" s="265" t="s">
        <v>353</v>
      </c>
      <c r="C62" s="237">
        <f t="shared" si="31"/>
        <v>0</v>
      </c>
      <c r="D62" s="261">
        <f t="shared" si="34"/>
        <v>3041</v>
      </c>
      <c r="E62" s="237">
        <v>0</v>
      </c>
      <c r="F62" s="238">
        <f t="shared" si="35"/>
        <v>3041</v>
      </c>
      <c r="G62" s="238">
        <v>0</v>
      </c>
      <c r="H62" s="238">
        <v>0</v>
      </c>
      <c r="I62" s="238">
        <v>3041</v>
      </c>
      <c r="J62" s="260">
        <v>0</v>
      </c>
      <c r="K62" s="261">
        <f t="shared" si="37"/>
        <v>0</v>
      </c>
      <c r="L62" s="261">
        <v>0</v>
      </c>
      <c r="M62" s="262">
        <v>0</v>
      </c>
      <c r="N62" s="261">
        <v>0</v>
      </c>
      <c r="O62" s="260">
        <v>0</v>
      </c>
      <c r="P62" s="261">
        <f t="shared" si="36"/>
        <v>0</v>
      </c>
      <c r="Q62" s="261">
        <v>0</v>
      </c>
      <c r="R62" s="262">
        <v>0</v>
      </c>
      <c r="S62" s="261">
        <v>0</v>
      </c>
      <c r="T62" s="263">
        <v>0</v>
      </c>
      <c r="U62" s="262">
        <f t="shared" si="33"/>
        <v>0</v>
      </c>
      <c r="V62" s="262">
        <v>0</v>
      </c>
      <c r="W62" s="262">
        <v>0</v>
      </c>
      <c r="X62" s="262">
        <v>0</v>
      </c>
      <c r="Y62" s="263">
        <v>0</v>
      </c>
      <c r="Z62" s="262">
        <f t="shared" si="30"/>
        <v>0</v>
      </c>
      <c r="AA62" s="262">
        <v>0</v>
      </c>
      <c r="AB62" s="262">
        <v>0</v>
      </c>
      <c r="AC62" s="262">
        <v>0</v>
      </c>
      <c r="AD62" s="264"/>
    </row>
    <row r="63" spans="1:30" s="17" customFormat="1" ht="93.75" customHeight="1" outlineLevel="1" x14ac:dyDescent="0.2">
      <c r="A63" s="258" t="s">
        <v>1343</v>
      </c>
      <c r="B63" s="265" t="s">
        <v>354</v>
      </c>
      <c r="C63" s="237">
        <f t="shared" si="31"/>
        <v>0</v>
      </c>
      <c r="D63" s="261">
        <f t="shared" si="34"/>
        <v>3893</v>
      </c>
      <c r="E63" s="237">
        <v>0</v>
      </c>
      <c r="F63" s="238">
        <f t="shared" si="35"/>
        <v>3893</v>
      </c>
      <c r="G63" s="238">
        <v>0</v>
      </c>
      <c r="H63" s="238">
        <v>0</v>
      </c>
      <c r="I63" s="238">
        <f>3893</f>
        <v>3893</v>
      </c>
      <c r="J63" s="260">
        <v>0</v>
      </c>
      <c r="K63" s="261">
        <f t="shared" si="37"/>
        <v>0</v>
      </c>
      <c r="L63" s="261">
        <v>0</v>
      </c>
      <c r="M63" s="262">
        <v>0</v>
      </c>
      <c r="N63" s="261">
        <v>0</v>
      </c>
      <c r="O63" s="260">
        <v>0</v>
      </c>
      <c r="P63" s="261">
        <f t="shared" si="36"/>
        <v>0</v>
      </c>
      <c r="Q63" s="261">
        <v>0</v>
      </c>
      <c r="R63" s="262">
        <v>0</v>
      </c>
      <c r="S63" s="261">
        <v>0</v>
      </c>
      <c r="T63" s="263">
        <v>0</v>
      </c>
      <c r="U63" s="262">
        <f t="shared" si="33"/>
        <v>0</v>
      </c>
      <c r="V63" s="262">
        <v>0</v>
      </c>
      <c r="W63" s="262">
        <v>0</v>
      </c>
      <c r="X63" s="262">
        <v>0</v>
      </c>
      <c r="Y63" s="263">
        <v>0</v>
      </c>
      <c r="Z63" s="262">
        <f t="shared" si="30"/>
        <v>0</v>
      </c>
      <c r="AA63" s="262">
        <v>0</v>
      </c>
      <c r="AB63" s="262">
        <v>0</v>
      </c>
      <c r="AC63" s="262">
        <v>0</v>
      </c>
      <c r="AD63" s="264"/>
    </row>
    <row r="64" spans="1:30" s="17" customFormat="1" ht="72" customHeight="1" outlineLevel="1" x14ac:dyDescent="0.2">
      <c r="A64" s="258" t="s">
        <v>1344</v>
      </c>
      <c r="B64" s="265" t="s">
        <v>374</v>
      </c>
      <c r="C64" s="237">
        <f t="shared" si="31"/>
        <v>0</v>
      </c>
      <c r="D64" s="261">
        <f t="shared" si="34"/>
        <v>263</v>
      </c>
      <c r="E64" s="237">
        <v>0</v>
      </c>
      <c r="F64" s="238">
        <f t="shared" si="35"/>
        <v>0</v>
      </c>
      <c r="G64" s="238">
        <v>0</v>
      </c>
      <c r="H64" s="238">
        <v>0</v>
      </c>
      <c r="I64" s="238">
        <v>0</v>
      </c>
      <c r="J64" s="260">
        <v>0</v>
      </c>
      <c r="K64" s="261">
        <f t="shared" si="37"/>
        <v>263</v>
      </c>
      <c r="L64" s="261">
        <v>0</v>
      </c>
      <c r="M64" s="262">
        <v>0</v>
      </c>
      <c r="N64" s="261">
        <v>263</v>
      </c>
      <c r="O64" s="260">
        <v>0</v>
      </c>
      <c r="P64" s="261">
        <f t="shared" si="36"/>
        <v>0</v>
      </c>
      <c r="Q64" s="261">
        <v>0</v>
      </c>
      <c r="R64" s="262">
        <v>0</v>
      </c>
      <c r="S64" s="261">
        <v>0</v>
      </c>
      <c r="T64" s="263">
        <v>0</v>
      </c>
      <c r="U64" s="262">
        <f t="shared" si="33"/>
        <v>0</v>
      </c>
      <c r="V64" s="262">
        <v>0</v>
      </c>
      <c r="W64" s="262">
        <v>0</v>
      </c>
      <c r="X64" s="262">
        <v>0</v>
      </c>
      <c r="Y64" s="263">
        <v>0</v>
      </c>
      <c r="Z64" s="262">
        <f t="shared" si="30"/>
        <v>0</v>
      </c>
      <c r="AA64" s="262">
        <v>0</v>
      </c>
      <c r="AB64" s="262">
        <v>0</v>
      </c>
      <c r="AC64" s="262">
        <v>0</v>
      </c>
      <c r="AD64" s="264"/>
    </row>
    <row r="65" spans="1:31" s="17" customFormat="1" ht="69.75" customHeight="1" outlineLevel="1" x14ac:dyDescent="0.2">
      <c r="A65" s="258" t="s">
        <v>1346</v>
      </c>
      <c r="B65" s="265" t="s">
        <v>377</v>
      </c>
      <c r="C65" s="237">
        <f t="shared" si="31"/>
        <v>2.36</v>
      </c>
      <c r="D65" s="261">
        <f t="shared" si="34"/>
        <v>25870</v>
      </c>
      <c r="E65" s="237">
        <v>0</v>
      </c>
      <c r="F65" s="238">
        <f t="shared" si="35"/>
        <v>0</v>
      </c>
      <c r="G65" s="238">
        <v>0</v>
      </c>
      <c r="H65" s="238">
        <v>0</v>
      </c>
      <c r="I65" s="238">
        <v>0</v>
      </c>
      <c r="J65" s="260">
        <v>0</v>
      </c>
      <c r="K65" s="261">
        <f>SUM(L65:N65)</f>
        <v>0</v>
      </c>
      <c r="L65" s="261">
        <v>0</v>
      </c>
      <c r="M65" s="262">
        <v>0</v>
      </c>
      <c r="N65" s="261">
        <f>2016-1236-780</f>
        <v>0</v>
      </c>
      <c r="O65" s="260">
        <v>0</v>
      </c>
      <c r="P65" s="261">
        <f t="shared" si="36"/>
        <v>0</v>
      </c>
      <c r="Q65" s="261">
        <v>0</v>
      </c>
      <c r="R65" s="262">
        <v>0</v>
      </c>
      <c r="S65" s="261">
        <f>1366-1366</f>
        <v>0</v>
      </c>
      <c r="T65" s="263">
        <v>0</v>
      </c>
      <c r="U65" s="262">
        <f t="shared" si="33"/>
        <v>0</v>
      </c>
      <c r="V65" s="262">
        <v>0</v>
      </c>
      <c r="W65" s="262">
        <v>0</v>
      </c>
      <c r="X65" s="262">
        <v>0</v>
      </c>
      <c r="Y65" s="263">
        <v>2.36</v>
      </c>
      <c r="Z65" s="262">
        <f t="shared" si="30"/>
        <v>25870</v>
      </c>
      <c r="AA65" s="262">
        <v>0</v>
      </c>
      <c r="AB65" s="262">
        <v>0</v>
      </c>
      <c r="AC65" s="262">
        <v>25870</v>
      </c>
      <c r="AD65" s="264"/>
    </row>
    <row r="66" spans="1:31" s="17" customFormat="1" ht="64.5" customHeight="1" outlineLevel="1" x14ac:dyDescent="0.2">
      <c r="A66" s="258" t="s">
        <v>1345</v>
      </c>
      <c r="B66" s="265" t="s">
        <v>378</v>
      </c>
      <c r="C66" s="237">
        <f t="shared" si="31"/>
        <v>0</v>
      </c>
      <c r="D66" s="261">
        <f t="shared" si="34"/>
        <v>0</v>
      </c>
      <c r="E66" s="237">
        <v>0</v>
      </c>
      <c r="F66" s="238">
        <f t="shared" si="35"/>
        <v>0</v>
      </c>
      <c r="G66" s="238">
        <v>0</v>
      </c>
      <c r="H66" s="238">
        <v>0</v>
      </c>
      <c r="I66" s="238">
        <v>0</v>
      </c>
      <c r="J66" s="260">
        <v>0</v>
      </c>
      <c r="K66" s="261">
        <f>SUM(L66:N66)</f>
        <v>0</v>
      </c>
      <c r="L66" s="261">
        <v>0</v>
      </c>
      <c r="M66" s="262">
        <v>0</v>
      </c>
      <c r="N66" s="261">
        <f>476-476</f>
        <v>0</v>
      </c>
      <c r="O66" s="260">
        <v>0</v>
      </c>
      <c r="P66" s="261">
        <f t="shared" si="36"/>
        <v>0</v>
      </c>
      <c r="Q66" s="261">
        <v>0</v>
      </c>
      <c r="R66" s="262">
        <v>0</v>
      </c>
      <c r="S66" s="261">
        <v>0</v>
      </c>
      <c r="T66" s="263">
        <v>0</v>
      </c>
      <c r="U66" s="262">
        <f t="shared" si="33"/>
        <v>0</v>
      </c>
      <c r="V66" s="262">
        <v>0</v>
      </c>
      <c r="W66" s="262">
        <v>0</v>
      </c>
      <c r="X66" s="262">
        <v>0</v>
      </c>
      <c r="Y66" s="263">
        <v>0</v>
      </c>
      <c r="Z66" s="262">
        <f t="shared" si="30"/>
        <v>0</v>
      </c>
      <c r="AA66" s="262">
        <v>0</v>
      </c>
      <c r="AB66" s="262">
        <v>0</v>
      </c>
      <c r="AC66" s="262">
        <v>0</v>
      </c>
      <c r="AD66" s="264"/>
    </row>
    <row r="67" spans="1:31" s="17" customFormat="1" ht="86.25" customHeight="1" outlineLevel="1" x14ac:dyDescent="0.2">
      <c r="A67" s="258" t="s">
        <v>509</v>
      </c>
      <c r="B67" s="265" t="s">
        <v>613</v>
      </c>
      <c r="C67" s="237">
        <f t="shared" si="31"/>
        <v>0</v>
      </c>
      <c r="D67" s="261">
        <f t="shared" si="34"/>
        <v>0</v>
      </c>
      <c r="E67" s="237">
        <v>0</v>
      </c>
      <c r="F67" s="238">
        <f t="shared" si="35"/>
        <v>0</v>
      </c>
      <c r="G67" s="238">
        <v>0</v>
      </c>
      <c r="H67" s="238">
        <v>0</v>
      </c>
      <c r="I67" s="238">
        <v>0</v>
      </c>
      <c r="J67" s="260">
        <v>0</v>
      </c>
      <c r="K67" s="261">
        <f>SUM(L67:N67)</f>
        <v>0</v>
      </c>
      <c r="L67" s="261">
        <v>0</v>
      </c>
      <c r="M67" s="262">
        <v>0</v>
      </c>
      <c r="N67" s="261">
        <f>476-476</f>
        <v>0</v>
      </c>
      <c r="O67" s="260">
        <v>0</v>
      </c>
      <c r="P67" s="261">
        <f t="shared" si="36"/>
        <v>0</v>
      </c>
      <c r="Q67" s="261">
        <v>0</v>
      </c>
      <c r="R67" s="262">
        <v>0</v>
      </c>
      <c r="S67" s="261">
        <f>1752-836-916</f>
        <v>0</v>
      </c>
      <c r="T67" s="263">
        <v>0</v>
      </c>
      <c r="U67" s="262">
        <f t="shared" si="33"/>
        <v>0</v>
      </c>
      <c r="V67" s="262">
        <v>0</v>
      </c>
      <c r="W67" s="262">
        <v>0</v>
      </c>
      <c r="X67" s="262">
        <v>0</v>
      </c>
      <c r="Y67" s="263">
        <v>0</v>
      </c>
      <c r="Z67" s="262">
        <f t="shared" si="30"/>
        <v>0</v>
      </c>
      <c r="AA67" s="262">
        <v>0</v>
      </c>
      <c r="AB67" s="262">
        <v>0</v>
      </c>
      <c r="AC67" s="262">
        <f>9040-9040</f>
        <v>0</v>
      </c>
      <c r="AD67" s="264"/>
    </row>
    <row r="68" spans="1:31" s="17" customFormat="1" ht="108" customHeight="1" outlineLevel="1" x14ac:dyDescent="0.2">
      <c r="A68" s="258" t="s">
        <v>1347</v>
      </c>
      <c r="B68" s="265" t="s">
        <v>542</v>
      </c>
      <c r="C68" s="237">
        <f>E68+J68+O68++Y68+T68</f>
        <v>0.1</v>
      </c>
      <c r="D68" s="261">
        <f t="shared" si="34"/>
        <v>324</v>
      </c>
      <c r="E68" s="237">
        <v>0</v>
      </c>
      <c r="F68" s="238">
        <f t="shared" si="35"/>
        <v>0</v>
      </c>
      <c r="G68" s="238">
        <f>H68+I68+J68</f>
        <v>0</v>
      </c>
      <c r="H68" s="238">
        <f>I68+J68+K68</f>
        <v>0</v>
      </c>
      <c r="I68" s="238">
        <f>J68+K68+L68</f>
        <v>0</v>
      </c>
      <c r="J68" s="260">
        <v>0</v>
      </c>
      <c r="K68" s="261">
        <f>SUM(L68:N68)</f>
        <v>0</v>
      </c>
      <c r="L68" s="261">
        <f>SUM(M68:O68)</f>
        <v>0</v>
      </c>
      <c r="M68" s="261">
        <f>SUM(N68:P68)</f>
        <v>0</v>
      </c>
      <c r="N68" s="261">
        <f>SUM(O68:Q68)</f>
        <v>0</v>
      </c>
      <c r="O68" s="260">
        <v>0</v>
      </c>
      <c r="P68" s="261">
        <f t="shared" si="36"/>
        <v>0</v>
      </c>
      <c r="Q68" s="261">
        <v>0</v>
      </c>
      <c r="R68" s="262">
        <v>0</v>
      </c>
      <c r="S68" s="261">
        <v>0</v>
      </c>
      <c r="T68" s="263">
        <v>0.1</v>
      </c>
      <c r="U68" s="262">
        <f t="shared" si="33"/>
        <v>324</v>
      </c>
      <c r="V68" s="262">
        <v>0</v>
      </c>
      <c r="W68" s="262">
        <v>0</v>
      </c>
      <c r="X68" s="262">
        <f>295+29</f>
        <v>324</v>
      </c>
      <c r="Y68" s="263">
        <v>0</v>
      </c>
      <c r="Z68" s="262">
        <f t="shared" si="30"/>
        <v>0</v>
      </c>
      <c r="AA68" s="262">
        <v>0</v>
      </c>
      <c r="AB68" s="262">
        <v>0</v>
      </c>
      <c r="AC68" s="262">
        <v>0</v>
      </c>
      <c r="AD68" s="264"/>
    </row>
    <row r="69" spans="1:31" s="17" customFormat="1" ht="94.5" customHeight="1" outlineLevel="1" x14ac:dyDescent="0.2">
      <c r="A69" s="258" t="s">
        <v>1348</v>
      </c>
      <c r="B69" s="265" t="s">
        <v>561</v>
      </c>
      <c r="C69" s="237">
        <f t="shared" si="31"/>
        <v>2.1</v>
      </c>
      <c r="D69" s="261">
        <f t="shared" si="34"/>
        <v>5107</v>
      </c>
      <c r="E69" s="237">
        <v>0</v>
      </c>
      <c r="F69" s="238">
        <f t="shared" si="35"/>
        <v>0</v>
      </c>
      <c r="G69" s="238">
        <v>0</v>
      </c>
      <c r="H69" s="238">
        <v>0</v>
      </c>
      <c r="I69" s="238">
        <v>0</v>
      </c>
      <c r="J69" s="260">
        <v>0</v>
      </c>
      <c r="K69" s="261">
        <v>0</v>
      </c>
      <c r="L69" s="261">
        <v>0</v>
      </c>
      <c r="M69" s="261">
        <v>0</v>
      </c>
      <c r="N69" s="261">
        <v>0</v>
      </c>
      <c r="O69" s="260">
        <v>0</v>
      </c>
      <c r="P69" s="261">
        <f t="shared" si="36"/>
        <v>0</v>
      </c>
      <c r="Q69" s="261">
        <v>0</v>
      </c>
      <c r="R69" s="261">
        <v>0</v>
      </c>
      <c r="S69" s="261">
        <v>0</v>
      </c>
      <c r="T69" s="263">
        <v>2.1</v>
      </c>
      <c r="U69" s="262">
        <f t="shared" si="33"/>
        <v>5107</v>
      </c>
      <c r="V69" s="262">
        <v>0</v>
      </c>
      <c r="W69" s="262">
        <v>0</v>
      </c>
      <c r="X69" s="262">
        <f>3391+1716</f>
        <v>5107</v>
      </c>
      <c r="Y69" s="263">
        <v>0</v>
      </c>
      <c r="Z69" s="262">
        <f t="shared" si="30"/>
        <v>0</v>
      </c>
      <c r="AA69" s="262">
        <v>0</v>
      </c>
      <c r="AB69" s="262">
        <v>0</v>
      </c>
      <c r="AC69" s="262">
        <v>0</v>
      </c>
      <c r="AD69" s="264"/>
    </row>
    <row r="70" spans="1:31" s="17" customFormat="1" ht="96" customHeight="1" outlineLevel="1" x14ac:dyDescent="0.2">
      <c r="A70" s="258" t="s">
        <v>1349</v>
      </c>
      <c r="B70" s="259" t="s">
        <v>559</v>
      </c>
      <c r="C70" s="260">
        <f>E70+J70+O70+T70+Y70</f>
        <v>0</v>
      </c>
      <c r="D70" s="261">
        <f t="shared" si="34"/>
        <v>0</v>
      </c>
      <c r="E70" s="237">
        <v>0</v>
      </c>
      <c r="F70" s="238">
        <v>0</v>
      </c>
      <c r="G70" s="238">
        <v>0</v>
      </c>
      <c r="H70" s="238">
        <v>0</v>
      </c>
      <c r="I70" s="238">
        <v>0</v>
      </c>
      <c r="J70" s="260">
        <v>0</v>
      </c>
      <c r="K70" s="261">
        <f>L70+M70+N70</f>
        <v>0</v>
      </c>
      <c r="L70" s="261">
        <v>0</v>
      </c>
      <c r="M70" s="261">
        <v>0</v>
      </c>
      <c r="N70" s="261">
        <v>0</v>
      </c>
      <c r="O70" s="260">
        <v>0</v>
      </c>
      <c r="P70" s="261">
        <f t="shared" si="36"/>
        <v>0</v>
      </c>
      <c r="Q70" s="261">
        <v>0</v>
      </c>
      <c r="R70" s="261">
        <v>0</v>
      </c>
      <c r="S70" s="261">
        <f>592+235+222-1049</f>
        <v>0</v>
      </c>
      <c r="T70" s="263">
        <v>0</v>
      </c>
      <c r="U70" s="262">
        <v>0</v>
      </c>
      <c r="V70" s="262">
        <v>0</v>
      </c>
      <c r="W70" s="262">
        <v>0</v>
      </c>
      <c r="X70" s="262">
        <v>0</v>
      </c>
      <c r="Y70" s="260">
        <v>0</v>
      </c>
      <c r="Z70" s="261">
        <f>AA70+AC70</f>
        <v>0</v>
      </c>
      <c r="AA70" s="261">
        <v>0</v>
      </c>
      <c r="AB70" s="261">
        <v>0</v>
      </c>
      <c r="AC70" s="261">
        <v>0</v>
      </c>
      <c r="AD70" s="264"/>
    </row>
    <row r="71" spans="1:31" s="17" customFormat="1" ht="96" customHeight="1" outlineLevel="1" x14ac:dyDescent="0.2">
      <c r="A71" s="258" t="s">
        <v>1350</v>
      </c>
      <c r="B71" s="259" t="s">
        <v>604</v>
      </c>
      <c r="C71" s="260">
        <f>E71+J71+O71+T71+Y71</f>
        <v>0.03</v>
      </c>
      <c r="D71" s="261">
        <f t="shared" si="34"/>
        <v>2663</v>
      </c>
      <c r="E71" s="237">
        <v>0</v>
      </c>
      <c r="F71" s="238">
        <v>0</v>
      </c>
      <c r="G71" s="238">
        <v>0</v>
      </c>
      <c r="H71" s="238">
        <v>0</v>
      </c>
      <c r="I71" s="238">
        <v>0</v>
      </c>
      <c r="J71" s="260">
        <v>0</v>
      </c>
      <c r="K71" s="261">
        <v>0</v>
      </c>
      <c r="L71" s="261">
        <v>0</v>
      </c>
      <c r="M71" s="261">
        <v>0</v>
      </c>
      <c r="N71" s="261">
        <v>0</v>
      </c>
      <c r="O71" s="260">
        <v>0</v>
      </c>
      <c r="P71" s="261">
        <v>0</v>
      </c>
      <c r="Q71" s="261">
        <v>0</v>
      </c>
      <c r="R71" s="261">
        <v>0</v>
      </c>
      <c r="S71" s="261">
        <v>0</v>
      </c>
      <c r="T71" s="263">
        <v>0.03</v>
      </c>
      <c r="U71" s="262">
        <f>SUM(V71:X71)</f>
        <v>2663</v>
      </c>
      <c r="V71" s="262">
        <v>0</v>
      </c>
      <c r="W71" s="262">
        <v>0</v>
      </c>
      <c r="X71" s="262">
        <v>2663</v>
      </c>
      <c r="Y71" s="260">
        <v>0</v>
      </c>
      <c r="Z71" s="261">
        <f>AA71+AC71</f>
        <v>0</v>
      </c>
      <c r="AA71" s="261">
        <v>0</v>
      </c>
      <c r="AB71" s="261">
        <v>0</v>
      </c>
      <c r="AC71" s="261">
        <v>0</v>
      </c>
      <c r="AD71" s="264"/>
    </row>
    <row r="72" spans="1:31" s="17" customFormat="1" ht="96" customHeight="1" outlineLevel="1" x14ac:dyDescent="0.2">
      <c r="A72" s="258" t="s">
        <v>1351</v>
      </c>
      <c r="B72" s="259" t="s">
        <v>605</v>
      </c>
      <c r="C72" s="260">
        <f>E72+J72+O72+T72+Y72</f>
        <v>0.74</v>
      </c>
      <c r="D72" s="261">
        <f t="shared" si="34"/>
        <v>7548</v>
      </c>
      <c r="E72" s="237">
        <v>0</v>
      </c>
      <c r="F72" s="238">
        <v>0</v>
      </c>
      <c r="G72" s="238">
        <v>0</v>
      </c>
      <c r="H72" s="238">
        <v>0</v>
      </c>
      <c r="I72" s="238">
        <v>0</v>
      </c>
      <c r="J72" s="260">
        <v>0</v>
      </c>
      <c r="K72" s="261">
        <v>0</v>
      </c>
      <c r="L72" s="261">
        <v>0</v>
      </c>
      <c r="M72" s="261">
        <v>0</v>
      </c>
      <c r="N72" s="261">
        <v>0</v>
      </c>
      <c r="O72" s="260">
        <v>0</v>
      </c>
      <c r="P72" s="261">
        <v>0</v>
      </c>
      <c r="Q72" s="261">
        <v>0</v>
      </c>
      <c r="R72" s="261">
        <v>0</v>
      </c>
      <c r="S72" s="261">
        <v>0</v>
      </c>
      <c r="T72" s="263">
        <v>0</v>
      </c>
      <c r="U72" s="262">
        <f>SUM(V72:X72)</f>
        <v>0</v>
      </c>
      <c r="V72" s="262">
        <v>0</v>
      </c>
      <c r="W72" s="262">
        <v>0</v>
      </c>
      <c r="X72" s="262">
        <v>0</v>
      </c>
      <c r="Y72" s="260">
        <v>0.74</v>
      </c>
      <c r="Z72" s="261">
        <f>AA72+AC72</f>
        <v>7548</v>
      </c>
      <c r="AA72" s="261">
        <v>0</v>
      </c>
      <c r="AB72" s="261">
        <v>0</v>
      </c>
      <c r="AC72" s="261">
        <v>7548</v>
      </c>
      <c r="AD72" s="264"/>
    </row>
    <row r="73" spans="1:31" s="17" customFormat="1" ht="31.5" customHeight="1" outlineLevel="1" x14ac:dyDescent="0.2">
      <c r="A73" s="258" t="s">
        <v>1352</v>
      </c>
      <c r="B73" s="265" t="s">
        <v>544</v>
      </c>
      <c r="C73" s="260">
        <v>0</v>
      </c>
      <c r="D73" s="261">
        <f t="shared" si="34"/>
        <v>2572</v>
      </c>
      <c r="E73" s="237">
        <v>0</v>
      </c>
      <c r="F73" s="238">
        <f>G73+H73+I73</f>
        <v>988</v>
      </c>
      <c r="G73" s="238">
        <v>0</v>
      </c>
      <c r="H73" s="238">
        <v>0</v>
      </c>
      <c r="I73" s="238">
        <v>988</v>
      </c>
      <c r="J73" s="260">
        <v>0</v>
      </c>
      <c r="K73" s="261">
        <f>L73+M73+N73</f>
        <v>1584</v>
      </c>
      <c r="L73" s="261">
        <v>0</v>
      </c>
      <c r="M73" s="262">
        <v>0</v>
      </c>
      <c r="N73" s="261">
        <v>1584</v>
      </c>
      <c r="O73" s="260">
        <v>0</v>
      </c>
      <c r="P73" s="261">
        <f t="shared" si="36"/>
        <v>0</v>
      </c>
      <c r="Q73" s="261">
        <v>0</v>
      </c>
      <c r="R73" s="262">
        <v>0</v>
      </c>
      <c r="S73" s="261">
        <v>0</v>
      </c>
      <c r="T73" s="263">
        <v>0</v>
      </c>
      <c r="U73" s="262">
        <f>V73+W73+X73</f>
        <v>0</v>
      </c>
      <c r="V73" s="262">
        <v>0</v>
      </c>
      <c r="W73" s="262">
        <v>0</v>
      </c>
      <c r="X73" s="262">
        <v>0</v>
      </c>
      <c r="Y73" s="263">
        <v>0</v>
      </c>
      <c r="Z73" s="262">
        <f>AA73+AB73+AC73</f>
        <v>0</v>
      </c>
      <c r="AA73" s="262">
        <v>0</v>
      </c>
      <c r="AB73" s="262">
        <v>0</v>
      </c>
      <c r="AC73" s="262">
        <v>0</v>
      </c>
      <c r="AD73" s="264"/>
    </row>
    <row r="74" spans="1:31" s="17" customFormat="1" ht="21" customHeight="1" outlineLevel="1" x14ac:dyDescent="0.2">
      <c r="A74" s="258"/>
      <c r="B74" s="252" t="s">
        <v>220</v>
      </c>
      <c r="C74" s="260">
        <v>0</v>
      </c>
      <c r="D74" s="261">
        <f t="shared" si="34"/>
        <v>1492</v>
      </c>
      <c r="E74" s="237">
        <v>0</v>
      </c>
      <c r="F74" s="238">
        <v>0</v>
      </c>
      <c r="G74" s="238">
        <v>0</v>
      </c>
      <c r="H74" s="238">
        <v>0</v>
      </c>
      <c r="I74" s="238">
        <v>0</v>
      </c>
      <c r="J74" s="260">
        <v>0</v>
      </c>
      <c r="K74" s="261">
        <v>0</v>
      </c>
      <c r="L74" s="261">
        <v>0</v>
      </c>
      <c r="M74" s="262">
        <v>0</v>
      </c>
      <c r="N74" s="261">
        <v>0</v>
      </c>
      <c r="O74" s="260">
        <v>0</v>
      </c>
      <c r="P74" s="261">
        <v>0</v>
      </c>
      <c r="Q74" s="261">
        <v>0</v>
      </c>
      <c r="R74" s="262">
        <v>0</v>
      </c>
      <c r="S74" s="261">
        <v>0</v>
      </c>
      <c r="T74" s="263">
        <v>0</v>
      </c>
      <c r="U74" s="262">
        <f>V74+W74+X74</f>
        <v>0</v>
      </c>
      <c r="V74" s="262">
        <v>0</v>
      </c>
      <c r="W74" s="262">
        <v>0</v>
      </c>
      <c r="X74" s="262">
        <v>0</v>
      </c>
      <c r="Y74" s="263">
        <v>0</v>
      </c>
      <c r="Z74" s="262">
        <f>AA74+AB74+AC74</f>
        <v>1492</v>
      </c>
      <c r="AA74" s="262">
        <v>0</v>
      </c>
      <c r="AB74" s="262">
        <v>0</v>
      </c>
      <c r="AC74" s="262">
        <v>1492</v>
      </c>
      <c r="AD74" s="264"/>
    </row>
    <row r="75" spans="1:31" s="17" customFormat="1" ht="91.15" customHeight="1" x14ac:dyDescent="0.2">
      <c r="A75" s="266"/>
      <c r="B75" s="267" t="s">
        <v>510</v>
      </c>
      <c r="C75" s="268">
        <f t="shared" ref="C75:T75" si="38">SUM(C45:C70)</f>
        <v>6.2999999999999989</v>
      </c>
      <c r="D75" s="269">
        <f>SUM(D45:D72)+D74</f>
        <v>170934</v>
      </c>
      <c r="E75" s="268">
        <f t="shared" si="38"/>
        <v>0</v>
      </c>
      <c r="F75" s="269">
        <f t="shared" si="38"/>
        <v>44356</v>
      </c>
      <c r="G75" s="269">
        <f t="shared" si="38"/>
        <v>0</v>
      </c>
      <c r="H75" s="269">
        <f t="shared" si="38"/>
        <v>16335</v>
      </c>
      <c r="I75" s="269">
        <f t="shared" si="38"/>
        <v>28021</v>
      </c>
      <c r="J75" s="268">
        <f t="shared" si="38"/>
        <v>0</v>
      </c>
      <c r="K75" s="269">
        <f t="shared" si="38"/>
        <v>16962</v>
      </c>
      <c r="L75" s="269">
        <f t="shared" si="38"/>
        <v>0</v>
      </c>
      <c r="M75" s="269">
        <f t="shared" si="38"/>
        <v>0</v>
      </c>
      <c r="N75" s="269">
        <f t="shared" si="38"/>
        <v>16962</v>
      </c>
      <c r="O75" s="268">
        <f t="shared" si="38"/>
        <v>0</v>
      </c>
      <c r="P75" s="269">
        <f t="shared" si="38"/>
        <v>15511</v>
      </c>
      <c r="Q75" s="269">
        <f t="shared" si="38"/>
        <v>0</v>
      </c>
      <c r="R75" s="269">
        <f t="shared" si="38"/>
        <v>0</v>
      </c>
      <c r="S75" s="269">
        <f t="shared" si="38"/>
        <v>15511</v>
      </c>
      <c r="T75" s="268">
        <f t="shared" si="38"/>
        <v>2.2000000000000002</v>
      </c>
      <c r="U75" s="269">
        <f>SUM(U45:U74)</f>
        <v>31423</v>
      </c>
      <c r="V75" s="269">
        <f>SUM(V45:V70)</f>
        <v>0</v>
      </c>
      <c r="W75" s="269">
        <f>SUM(W45:W70)</f>
        <v>0</v>
      </c>
      <c r="X75" s="269">
        <f>SUM(X45:X74)</f>
        <v>31423</v>
      </c>
      <c r="Y75" s="268">
        <f>SUM(Y45:Y70)</f>
        <v>4.0999999999999996</v>
      </c>
      <c r="Z75" s="269">
        <f>SUM(Z45:Z74)</f>
        <v>62682</v>
      </c>
      <c r="AA75" s="269">
        <f>SUM(AA45:AA70)</f>
        <v>0</v>
      </c>
      <c r="AB75" s="269">
        <f>SUM(AB45:AB70)</f>
        <v>0</v>
      </c>
      <c r="AC75" s="269">
        <f>SUM(AC45:AC74)</f>
        <v>62682</v>
      </c>
      <c r="AD75" s="264"/>
      <c r="AE75" s="18"/>
    </row>
    <row r="76" spans="1:31" s="17" customFormat="1" ht="30" customHeight="1" x14ac:dyDescent="0.2">
      <c r="A76" s="266"/>
      <c r="B76" s="270" t="s">
        <v>395</v>
      </c>
      <c r="C76" s="271">
        <v>0</v>
      </c>
      <c r="D76" s="272">
        <f>F76+K76+P76+U76+Z76</f>
        <v>2572</v>
      </c>
      <c r="E76" s="271">
        <v>0</v>
      </c>
      <c r="F76" s="272">
        <f>G76+H76+I76</f>
        <v>988</v>
      </c>
      <c r="G76" s="272">
        <v>0</v>
      </c>
      <c r="H76" s="272">
        <v>0</v>
      </c>
      <c r="I76" s="272">
        <v>988</v>
      </c>
      <c r="J76" s="271">
        <v>0</v>
      </c>
      <c r="K76" s="272">
        <f>L76+M76+N76</f>
        <v>1584</v>
      </c>
      <c r="L76" s="272">
        <v>0</v>
      </c>
      <c r="M76" s="272">
        <v>0</v>
      </c>
      <c r="N76" s="272">
        <f>N73</f>
        <v>1584</v>
      </c>
      <c r="O76" s="271">
        <v>0</v>
      </c>
      <c r="P76" s="272">
        <f>Q76+R76+S76</f>
        <v>0</v>
      </c>
      <c r="Q76" s="272">
        <v>0</v>
      </c>
      <c r="R76" s="272">
        <v>0</v>
      </c>
      <c r="S76" s="272">
        <v>0</v>
      </c>
      <c r="T76" s="271">
        <v>0</v>
      </c>
      <c r="U76" s="272">
        <f>V76+W76+X76</f>
        <v>0</v>
      </c>
      <c r="V76" s="272">
        <v>0</v>
      </c>
      <c r="W76" s="272">
        <v>0</v>
      </c>
      <c r="X76" s="272">
        <v>0</v>
      </c>
      <c r="Y76" s="271">
        <v>0</v>
      </c>
      <c r="Z76" s="272">
        <f>AA76+AB76+AC76</f>
        <v>0</v>
      </c>
      <c r="AA76" s="272">
        <v>0</v>
      </c>
      <c r="AB76" s="272">
        <v>0</v>
      </c>
      <c r="AC76" s="272">
        <v>0</v>
      </c>
      <c r="AD76" s="264"/>
      <c r="AE76" s="18"/>
    </row>
    <row r="77" spans="1:31" s="17" customFormat="1" ht="45" customHeight="1" x14ac:dyDescent="0.2">
      <c r="A77" s="256" t="s">
        <v>461</v>
      </c>
      <c r="B77" s="437" t="s">
        <v>1149</v>
      </c>
      <c r="C77" s="438"/>
      <c r="D77" s="438"/>
      <c r="E77" s="438"/>
      <c r="F77" s="438"/>
      <c r="G77" s="438"/>
      <c r="H77" s="438"/>
      <c r="I77" s="438"/>
      <c r="J77" s="438"/>
      <c r="K77" s="438"/>
      <c r="L77" s="438"/>
      <c r="M77" s="438"/>
      <c r="N77" s="438"/>
      <c r="O77" s="438"/>
      <c r="P77" s="438"/>
      <c r="Q77" s="438"/>
      <c r="R77" s="438"/>
      <c r="S77" s="438"/>
      <c r="T77" s="438"/>
      <c r="U77" s="438"/>
      <c r="V77" s="438"/>
      <c r="W77" s="438"/>
      <c r="X77" s="438"/>
      <c r="Y77" s="438"/>
      <c r="Z77" s="438"/>
      <c r="AA77" s="438"/>
      <c r="AB77" s="438"/>
      <c r="AC77" s="439"/>
      <c r="AD77" s="264"/>
    </row>
    <row r="78" spans="1:31" s="17" customFormat="1" ht="95.25" customHeight="1" outlineLevel="1" x14ac:dyDescent="0.2">
      <c r="A78" s="235" t="s">
        <v>1353</v>
      </c>
      <c r="B78" s="259" t="s">
        <v>7</v>
      </c>
      <c r="C78" s="260">
        <f>E78+J78+O78+Y78+T78</f>
        <v>0</v>
      </c>
      <c r="D78" s="238">
        <f>F78+K78+P78+Z78+U78</f>
        <v>0</v>
      </c>
      <c r="E78" s="237">
        <v>0</v>
      </c>
      <c r="F78" s="238">
        <v>0</v>
      </c>
      <c r="G78" s="238">
        <v>0</v>
      </c>
      <c r="H78" s="238">
        <v>0</v>
      </c>
      <c r="I78" s="238">
        <v>0</v>
      </c>
      <c r="J78" s="260">
        <v>0</v>
      </c>
      <c r="K78" s="273">
        <f>SUM(L78:N78)</f>
        <v>0</v>
      </c>
      <c r="L78" s="261">
        <v>0</v>
      </c>
      <c r="M78" s="261">
        <v>0</v>
      </c>
      <c r="N78" s="261">
        <v>0</v>
      </c>
      <c r="O78" s="260">
        <v>0</v>
      </c>
      <c r="P78" s="261">
        <f>SUM(Q78:S78)</f>
        <v>0</v>
      </c>
      <c r="Q78" s="261">
        <v>0</v>
      </c>
      <c r="R78" s="261">
        <v>0</v>
      </c>
      <c r="S78" s="261">
        <v>0</v>
      </c>
      <c r="T78" s="260">
        <v>0</v>
      </c>
      <c r="U78" s="261">
        <f>SUM(V78:X78)</f>
        <v>0</v>
      </c>
      <c r="V78" s="261">
        <v>0</v>
      </c>
      <c r="W78" s="261">
        <v>0</v>
      </c>
      <c r="X78" s="261">
        <v>0</v>
      </c>
      <c r="Y78" s="263">
        <v>0</v>
      </c>
      <c r="Z78" s="262">
        <f t="shared" ref="Z78:Z83" si="39">AA78+AB78+AC78</f>
        <v>0</v>
      </c>
      <c r="AA78" s="262">
        <v>0</v>
      </c>
      <c r="AB78" s="262">
        <v>0</v>
      </c>
      <c r="AC78" s="262">
        <v>0</v>
      </c>
      <c r="AD78" s="257"/>
    </row>
    <row r="79" spans="1:31" s="17" customFormat="1" ht="65.45" customHeight="1" outlineLevel="1" x14ac:dyDescent="0.2">
      <c r="A79" s="235" t="s">
        <v>1354</v>
      </c>
      <c r="B79" s="259" t="s">
        <v>39</v>
      </c>
      <c r="C79" s="260">
        <f>E79+J79+O79+Y79+T79</f>
        <v>0</v>
      </c>
      <c r="D79" s="238">
        <f t="shared" ref="D79:D88" si="40">F79+K79+P79+Z79+U79</f>
        <v>0</v>
      </c>
      <c r="E79" s="237">
        <v>0</v>
      </c>
      <c r="F79" s="238">
        <v>0</v>
      </c>
      <c r="G79" s="238">
        <v>0</v>
      </c>
      <c r="H79" s="238">
        <v>0</v>
      </c>
      <c r="I79" s="238">
        <v>0</v>
      </c>
      <c r="J79" s="260">
        <v>0</v>
      </c>
      <c r="K79" s="273">
        <f t="shared" ref="K79:K84" si="41">SUM(L79:N79)</f>
        <v>0</v>
      </c>
      <c r="L79" s="261">
        <v>0</v>
      </c>
      <c r="M79" s="261">
        <v>0</v>
      </c>
      <c r="N79" s="261">
        <v>0</v>
      </c>
      <c r="O79" s="260">
        <v>0</v>
      </c>
      <c r="P79" s="261">
        <v>0</v>
      </c>
      <c r="Q79" s="261">
        <v>0</v>
      </c>
      <c r="R79" s="261">
        <v>0</v>
      </c>
      <c r="S79" s="261">
        <v>0</v>
      </c>
      <c r="T79" s="260">
        <v>0</v>
      </c>
      <c r="U79" s="261">
        <f t="shared" ref="U79:U90" si="42">SUM(V79:X79)</f>
        <v>0</v>
      </c>
      <c r="V79" s="261">
        <v>0</v>
      </c>
      <c r="W79" s="261">
        <v>0</v>
      </c>
      <c r="X79" s="261">
        <v>0</v>
      </c>
      <c r="Y79" s="263">
        <v>0</v>
      </c>
      <c r="Z79" s="262">
        <f t="shared" si="39"/>
        <v>0</v>
      </c>
      <c r="AA79" s="262">
        <v>0</v>
      </c>
      <c r="AB79" s="262">
        <v>0</v>
      </c>
      <c r="AC79" s="262">
        <v>0</v>
      </c>
      <c r="AD79" s="257"/>
    </row>
    <row r="80" spans="1:31" s="17" customFormat="1" ht="90.6" customHeight="1" outlineLevel="1" x14ac:dyDescent="0.2">
      <c r="A80" s="235" t="s">
        <v>1355</v>
      </c>
      <c r="B80" s="259" t="s">
        <v>40</v>
      </c>
      <c r="C80" s="260">
        <f>E80+J80+O80+Y80+T80</f>
        <v>0</v>
      </c>
      <c r="D80" s="238">
        <f t="shared" si="40"/>
        <v>0</v>
      </c>
      <c r="E80" s="237">
        <v>0</v>
      </c>
      <c r="F80" s="238">
        <v>0</v>
      </c>
      <c r="G80" s="238">
        <v>0</v>
      </c>
      <c r="H80" s="238">
        <v>0</v>
      </c>
      <c r="I80" s="238">
        <v>0</v>
      </c>
      <c r="J80" s="260">
        <v>0</v>
      </c>
      <c r="K80" s="273">
        <v>0</v>
      </c>
      <c r="L80" s="261">
        <v>0</v>
      </c>
      <c r="M80" s="261">
        <v>0</v>
      </c>
      <c r="N80" s="261">
        <v>0</v>
      </c>
      <c r="O80" s="260">
        <v>0</v>
      </c>
      <c r="P80" s="261">
        <v>0</v>
      </c>
      <c r="Q80" s="261">
        <v>0</v>
      </c>
      <c r="R80" s="261">
        <v>0</v>
      </c>
      <c r="S80" s="261">
        <v>0</v>
      </c>
      <c r="T80" s="260">
        <v>0</v>
      </c>
      <c r="U80" s="261">
        <f t="shared" si="42"/>
        <v>0</v>
      </c>
      <c r="V80" s="261">
        <v>0</v>
      </c>
      <c r="W80" s="261">
        <v>0</v>
      </c>
      <c r="X80" s="261">
        <v>0</v>
      </c>
      <c r="Y80" s="263">
        <v>0</v>
      </c>
      <c r="Z80" s="262">
        <f t="shared" si="39"/>
        <v>0</v>
      </c>
      <c r="AA80" s="262">
        <v>0</v>
      </c>
      <c r="AB80" s="262">
        <v>0</v>
      </c>
      <c r="AC80" s="262">
        <v>0</v>
      </c>
      <c r="AD80" s="257"/>
    </row>
    <row r="81" spans="1:30" s="17" customFormat="1" ht="60" customHeight="1" outlineLevel="1" x14ac:dyDescent="0.2">
      <c r="A81" s="235" t="s">
        <v>1356</v>
      </c>
      <c r="B81" s="259" t="s">
        <v>176</v>
      </c>
      <c r="C81" s="260">
        <f t="shared" ref="C81:C96" si="43">E81+J81+O81+T81+Y81</f>
        <v>0</v>
      </c>
      <c r="D81" s="238">
        <f t="shared" si="40"/>
        <v>0</v>
      </c>
      <c r="E81" s="237">
        <v>0</v>
      </c>
      <c r="F81" s="238">
        <v>0</v>
      </c>
      <c r="G81" s="238">
        <v>0</v>
      </c>
      <c r="H81" s="238">
        <v>0</v>
      </c>
      <c r="I81" s="238">
        <v>0</v>
      </c>
      <c r="J81" s="260">
        <v>0</v>
      </c>
      <c r="K81" s="273">
        <v>0</v>
      </c>
      <c r="L81" s="261">
        <v>0</v>
      </c>
      <c r="M81" s="261">
        <v>0</v>
      </c>
      <c r="N81" s="261">
        <v>0</v>
      </c>
      <c r="O81" s="260">
        <v>0</v>
      </c>
      <c r="P81" s="261">
        <v>0</v>
      </c>
      <c r="Q81" s="261">
        <v>0</v>
      </c>
      <c r="R81" s="261">
        <v>0</v>
      </c>
      <c r="S81" s="261">
        <v>0</v>
      </c>
      <c r="T81" s="263">
        <v>0</v>
      </c>
      <c r="U81" s="261">
        <f t="shared" si="42"/>
        <v>0</v>
      </c>
      <c r="V81" s="262">
        <v>0</v>
      </c>
      <c r="W81" s="262">
        <v>0</v>
      </c>
      <c r="X81" s="262">
        <v>0</v>
      </c>
      <c r="Y81" s="263">
        <v>0</v>
      </c>
      <c r="Z81" s="262">
        <f t="shared" si="39"/>
        <v>0</v>
      </c>
      <c r="AA81" s="262">
        <v>0</v>
      </c>
      <c r="AB81" s="261">
        <v>0</v>
      </c>
      <c r="AC81" s="262">
        <v>0</v>
      </c>
      <c r="AD81" s="257"/>
    </row>
    <row r="82" spans="1:30" s="17" customFormat="1" ht="98.45" customHeight="1" outlineLevel="1" x14ac:dyDescent="0.2">
      <c r="A82" s="235" t="s">
        <v>1357</v>
      </c>
      <c r="B82" s="259" t="s">
        <v>177</v>
      </c>
      <c r="C82" s="260">
        <f t="shared" si="43"/>
        <v>0</v>
      </c>
      <c r="D82" s="238">
        <f t="shared" si="40"/>
        <v>0</v>
      </c>
      <c r="E82" s="237">
        <v>0</v>
      </c>
      <c r="F82" s="238">
        <v>0</v>
      </c>
      <c r="G82" s="238">
        <v>0</v>
      </c>
      <c r="H82" s="238">
        <v>0</v>
      </c>
      <c r="I82" s="238">
        <v>0</v>
      </c>
      <c r="J82" s="260">
        <v>0</v>
      </c>
      <c r="K82" s="273">
        <f t="shared" si="41"/>
        <v>0</v>
      </c>
      <c r="L82" s="261">
        <v>0</v>
      </c>
      <c r="M82" s="261">
        <v>0</v>
      </c>
      <c r="N82" s="261">
        <v>0</v>
      </c>
      <c r="O82" s="260">
        <v>0</v>
      </c>
      <c r="P82" s="261">
        <v>0</v>
      </c>
      <c r="Q82" s="261">
        <v>0</v>
      </c>
      <c r="R82" s="261">
        <v>0</v>
      </c>
      <c r="S82" s="261">
        <v>0</v>
      </c>
      <c r="T82" s="263">
        <v>0</v>
      </c>
      <c r="U82" s="261">
        <f t="shared" si="42"/>
        <v>0</v>
      </c>
      <c r="V82" s="262">
        <v>0</v>
      </c>
      <c r="W82" s="262">
        <v>0</v>
      </c>
      <c r="X82" s="262">
        <v>0</v>
      </c>
      <c r="Y82" s="263">
        <v>0</v>
      </c>
      <c r="Z82" s="262">
        <f t="shared" si="39"/>
        <v>0</v>
      </c>
      <c r="AA82" s="262">
        <v>0</v>
      </c>
      <c r="AB82" s="261">
        <v>0</v>
      </c>
      <c r="AC82" s="262">
        <v>0</v>
      </c>
      <c r="AD82" s="257"/>
    </row>
    <row r="83" spans="1:30" s="17" customFormat="1" ht="60" customHeight="1" outlineLevel="1" x14ac:dyDescent="0.2">
      <c r="A83" s="235" t="s">
        <v>1358</v>
      </c>
      <c r="B83" s="259" t="s">
        <v>675</v>
      </c>
      <c r="C83" s="260">
        <f t="shared" si="43"/>
        <v>0</v>
      </c>
      <c r="D83" s="238">
        <f t="shared" si="40"/>
        <v>0</v>
      </c>
      <c r="E83" s="237">
        <v>0</v>
      </c>
      <c r="F83" s="238">
        <v>0</v>
      </c>
      <c r="G83" s="238">
        <v>0</v>
      </c>
      <c r="H83" s="238">
        <v>0</v>
      </c>
      <c r="I83" s="238">
        <v>0</v>
      </c>
      <c r="J83" s="260">
        <v>0</v>
      </c>
      <c r="K83" s="273">
        <f t="shared" si="41"/>
        <v>0</v>
      </c>
      <c r="L83" s="261">
        <v>0</v>
      </c>
      <c r="M83" s="261">
        <v>0</v>
      </c>
      <c r="N83" s="261">
        <v>0</v>
      </c>
      <c r="O83" s="260">
        <v>0</v>
      </c>
      <c r="P83" s="261">
        <v>0</v>
      </c>
      <c r="Q83" s="261">
        <v>0</v>
      </c>
      <c r="R83" s="261">
        <v>0</v>
      </c>
      <c r="S83" s="261">
        <v>0</v>
      </c>
      <c r="T83" s="263">
        <v>0</v>
      </c>
      <c r="U83" s="261">
        <f t="shared" si="42"/>
        <v>0</v>
      </c>
      <c r="V83" s="262">
        <v>0</v>
      </c>
      <c r="W83" s="262">
        <v>0</v>
      </c>
      <c r="X83" s="262">
        <v>0</v>
      </c>
      <c r="Y83" s="263">
        <v>0</v>
      </c>
      <c r="Z83" s="262">
        <f t="shared" si="39"/>
        <v>0</v>
      </c>
      <c r="AA83" s="262">
        <v>0</v>
      </c>
      <c r="AB83" s="261">
        <v>0</v>
      </c>
      <c r="AC83" s="262">
        <v>0</v>
      </c>
      <c r="AD83" s="257"/>
    </row>
    <row r="84" spans="1:30" s="17" customFormat="1" ht="82.9" customHeight="1" outlineLevel="1" x14ac:dyDescent="0.2">
      <c r="A84" s="235" t="s">
        <v>1359</v>
      </c>
      <c r="B84" s="259" t="s">
        <v>674</v>
      </c>
      <c r="C84" s="260">
        <f t="shared" si="43"/>
        <v>0</v>
      </c>
      <c r="D84" s="238">
        <f t="shared" si="40"/>
        <v>0</v>
      </c>
      <c r="E84" s="237">
        <v>0</v>
      </c>
      <c r="F84" s="238">
        <v>0</v>
      </c>
      <c r="G84" s="238">
        <v>0</v>
      </c>
      <c r="H84" s="238">
        <v>0</v>
      </c>
      <c r="I84" s="238">
        <v>0</v>
      </c>
      <c r="J84" s="260">
        <v>0</v>
      </c>
      <c r="K84" s="273">
        <f t="shared" si="41"/>
        <v>0</v>
      </c>
      <c r="L84" s="261">
        <v>0</v>
      </c>
      <c r="M84" s="261">
        <v>0</v>
      </c>
      <c r="N84" s="261">
        <v>0</v>
      </c>
      <c r="O84" s="260">
        <v>0</v>
      </c>
      <c r="P84" s="261">
        <v>0</v>
      </c>
      <c r="Q84" s="261">
        <v>0</v>
      </c>
      <c r="R84" s="261">
        <v>0</v>
      </c>
      <c r="S84" s="261">
        <v>0</v>
      </c>
      <c r="T84" s="263">
        <v>0</v>
      </c>
      <c r="U84" s="261">
        <f t="shared" si="42"/>
        <v>0</v>
      </c>
      <c r="V84" s="262">
        <v>0</v>
      </c>
      <c r="W84" s="262">
        <v>0</v>
      </c>
      <c r="X84" s="262">
        <v>0</v>
      </c>
      <c r="Y84" s="263">
        <v>0</v>
      </c>
      <c r="Z84" s="262">
        <v>0</v>
      </c>
      <c r="AA84" s="262">
        <v>0</v>
      </c>
      <c r="AB84" s="261">
        <v>0</v>
      </c>
      <c r="AC84" s="262">
        <v>0</v>
      </c>
      <c r="AD84" s="257"/>
    </row>
    <row r="85" spans="1:30" s="17" customFormat="1" ht="122.25" customHeight="1" outlineLevel="1" x14ac:dyDescent="0.2">
      <c r="A85" s="235" t="s">
        <v>1360</v>
      </c>
      <c r="B85" s="259" t="s">
        <v>226</v>
      </c>
      <c r="C85" s="260">
        <f t="shared" si="43"/>
        <v>11.08</v>
      </c>
      <c r="D85" s="238">
        <f>F85+K85+P85+Z85+U85</f>
        <v>54661</v>
      </c>
      <c r="E85" s="237">
        <v>5.54</v>
      </c>
      <c r="F85" s="238">
        <f>H85+I85</f>
        <v>41382</v>
      </c>
      <c r="G85" s="238">
        <v>0</v>
      </c>
      <c r="H85" s="238">
        <f>39396</f>
        <v>39396</v>
      </c>
      <c r="I85" s="238">
        <f>1986</f>
        <v>1986</v>
      </c>
      <c r="J85" s="260">
        <v>5.54</v>
      </c>
      <c r="K85" s="273">
        <f>SUM(L85:N85)</f>
        <v>13279</v>
      </c>
      <c r="L85" s="261">
        <v>0</v>
      </c>
      <c r="M85" s="261">
        <v>12509</v>
      </c>
      <c r="N85" s="261">
        <v>770</v>
      </c>
      <c r="O85" s="260">
        <v>0</v>
      </c>
      <c r="P85" s="261">
        <v>0</v>
      </c>
      <c r="Q85" s="261">
        <v>0</v>
      </c>
      <c r="R85" s="261">
        <v>0</v>
      </c>
      <c r="S85" s="261">
        <v>0</v>
      </c>
      <c r="T85" s="263">
        <v>0</v>
      </c>
      <c r="U85" s="261">
        <f>SUM(V85:X85)</f>
        <v>0</v>
      </c>
      <c r="V85" s="262">
        <v>0</v>
      </c>
      <c r="W85" s="262">
        <v>0</v>
      </c>
      <c r="X85" s="262">
        <v>0</v>
      </c>
      <c r="Y85" s="263">
        <v>0</v>
      </c>
      <c r="Z85" s="262">
        <v>0</v>
      </c>
      <c r="AA85" s="262">
        <v>0</v>
      </c>
      <c r="AB85" s="261">
        <v>0</v>
      </c>
      <c r="AC85" s="262">
        <v>0</v>
      </c>
      <c r="AD85" s="257"/>
    </row>
    <row r="86" spans="1:30" s="17" customFormat="1" ht="144.6" customHeight="1" outlineLevel="1" x14ac:dyDescent="0.2">
      <c r="A86" s="235" t="s">
        <v>1361</v>
      </c>
      <c r="B86" s="259" t="s">
        <v>326</v>
      </c>
      <c r="C86" s="260">
        <f t="shared" si="43"/>
        <v>0</v>
      </c>
      <c r="D86" s="238">
        <f t="shared" si="40"/>
        <v>90</v>
      </c>
      <c r="E86" s="237">
        <v>0</v>
      </c>
      <c r="F86" s="238">
        <f>G86+H86+I86</f>
        <v>90</v>
      </c>
      <c r="G86" s="238">
        <v>0</v>
      </c>
      <c r="H86" s="238">
        <v>0</v>
      </c>
      <c r="I86" s="238">
        <v>90</v>
      </c>
      <c r="J86" s="260">
        <v>0</v>
      </c>
      <c r="K86" s="261">
        <f>SUM(L86:N86)</f>
        <v>0</v>
      </c>
      <c r="L86" s="261">
        <v>0</v>
      </c>
      <c r="M86" s="261">
        <v>0</v>
      </c>
      <c r="N86" s="261">
        <v>0</v>
      </c>
      <c r="O86" s="260">
        <v>0</v>
      </c>
      <c r="P86" s="261">
        <v>0</v>
      </c>
      <c r="Q86" s="261">
        <v>0</v>
      </c>
      <c r="R86" s="261">
        <v>0</v>
      </c>
      <c r="S86" s="261">
        <v>0</v>
      </c>
      <c r="T86" s="263">
        <v>0</v>
      </c>
      <c r="U86" s="261">
        <f t="shared" si="42"/>
        <v>0</v>
      </c>
      <c r="V86" s="262">
        <v>0</v>
      </c>
      <c r="W86" s="262">
        <v>0</v>
      </c>
      <c r="X86" s="262">
        <v>0</v>
      </c>
      <c r="Y86" s="263">
        <v>0</v>
      </c>
      <c r="Z86" s="262">
        <v>0</v>
      </c>
      <c r="AA86" s="262">
        <v>0</v>
      </c>
      <c r="AB86" s="262">
        <v>0</v>
      </c>
      <c r="AC86" s="262">
        <v>0</v>
      </c>
      <c r="AD86" s="257"/>
    </row>
    <row r="87" spans="1:30" s="17" customFormat="1" ht="174.75" customHeight="1" outlineLevel="1" x14ac:dyDescent="0.2">
      <c r="A87" s="235" t="s">
        <v>1362</v>
      </c>
      <c r="B87" s="259" t="s">
        <v>337</v>
      </c>
      <c r="C87" s="260">
        <f t="shared" si="43"/>
        <v>0</v>
      </c>
      <c r="D87" s="238">
        <f t="shared" si="40"/>
        <v>469</v>
      </c>
      <c r="E87" s="237">
        <v>0</v>
      </c>
      <c r="F87" s="238">
        <f>G87+H87+I87</f>
        <v>426</v>
      </c>
      <c r="G87" s="238">
        <v>0</v>
      </c>
      <c r="H87" s="238">
        <v>0</v>
      </c>
      <c r="I87" s="238">
        <v>426</v>
      </c>
      <c r="J87" s="260">
        <v>0</v>
      </c>
      <c r="K87" s="261">
        <f>SUM(L87:N87)</f>
        <v>43</v>
      </c>
      <c r="L87" s="261">
        <v>0</v>
      </c>
      <c r="M87" s="261">
        <v>0</v>
      </c>
      <c r="N87" s="261">
        <v>43</v>
      </c>
      <c r="O87" s="260">
        <v>0</v>
      </c>
      <c r="P87" s="261">
        <v>0</v>
      </c>
      <c r="Q87" s="261">
        <v>0</v>
      </c>
      <c r="R87" s="261">
        <v>0</v>
      </c>
      <c r="S87" s="261">
        <v>0</v>
      </c>
      <c r="T87" s="263">
        <v>0</v>
      </c>
      <c r="U87" s="261">
        <f t="shared" si="42"/>
        <v>0</v>
      </c>
      <c r="V87" s="262">
        <v>0</v>
      </c>
      <c r="W87" s="262">
        <v>0</v>
      </c>
      <c r="X87" s="262">
        <v>0</v>
      </c>
      <c r="Y87" s="263">
        <v>0</v>
      </c>
      <c r="Z87" s="262">
        <v>0</v>
      </c>
      <c r="AA87" s="262">
        <v>0</v>
      </c>
      <c r="AB87" s="262">
        <v>0</v>
      </c>
      <c r="AC87" s="262">
        <v>0</v>
      </c>
      <c r="AD87" s="257"/>
    </row>
    <row r="88" spans="1:30" s="17" customFormat="1" ht="101.25" customHeight="1" outlineLevel="1" x14ac:dyDescent="0.2">
      <c r="A88" s="235" t="s">
        <v>1363</v>
      </c>
      <c r="B88" s="259" t="s">
        <v>35</v>
      </c>
      <c r="C88" s="260">
        <f t="shared" si="43"/>
        <v>0</v>
      </c>
      <c r="D88" s="238">
        <f t="shared" si="40"/>
        <v>0</v>
      </c>
      <c r="E88" s="237">
        <v>0</v>
      </c>
      <c r="F88" s="238">
        <v>0</v>
      </c>
      <c r="G88" s="238">
        <v>0</v>
      </c>
      <c r="H88" s="238">
        <v>0</v>
      </c>
      <c r="I88" s="238">
        <v>0</v>
      </c>
      <c r="J88" s="260">
        <v>0</v>
      </c>
      <c r="K88" s="273">
        <f>SUM(L88:N88)</f>
        <v>0</v>
      </c>
      <c r="L88" s="261">
        <v>0</v>
      </c>
      <c r="M88" s="261">
        <v>0</v>
      </c>
      <c r="N88" s="261">
        <v>0</v>
      </c>
      <c r="O88" s="260">
        <v>0</v>
      </c>
      <c r="P88" s="261">
        <f>SUM(Q88:S88)</f>
        <v>0</v>
      </c>
      <c r="Q88" s="261">
        <v>0</v>
      </c>
      <c r="R88" s="261">
        <v>0</v>
      </c>
      <c r="S88" s="261">
        <v>0</v>
      </c>
      <c r="T88" s="263">
        <v>0</v>
      </c>
      <c r="U88" s="261">
        <f t="shared" si="42"/>
        <v>0</v>
      </c>
      <c r="V88" s="262">
        <v>0</v>
      </c>
      <c r="W88" s="262">
        <v>0</v>
      </c>
      <c r="X88" s="262">
        <v>0</v>
      </c>
      <c r="Y88" s="263">
        <v>0</v>
      </c>
      <c r="Z88" s="262">
        <f>AA88+AB88+AC88</f>
        <v>0</v>
      </c>
      <c r="AA88" s="262">
        <v>0</v>
      </c>
      <c r="AB88" s="262">
        <v>0</v>
      </c>
      <c r="AC88" s="262">
        <v>0</v>
      </c>
      <c r="AD88" s="257"/>
    </row>
    <row r="89" spans="1:30" s="17" customFormat="1" ht="117.6" customHeight="1" outlineLevel="1" x14ac:dyDescent="0.2">
      <c r="A89" s="235" t="s">
        <v>1364</v>
      </c>
      <c r="B89" s="259" t="s">
        <v>32</v>
      </c>
      <c r="C89" s="260">
        <f>E89+J89+O89+T89+Y89</f>
        <v>0</v>
      </c>
      <c r="D89" s="238">
        <f>F89+K89+P89+U89+Z89</f>
        <v>8447</v>
      </c>
      <c r="E89" s="237">
        <v>0</v>
      </c>
      <c r="F89" s="238">
        <f>G89+H89+I89</f>
        <v>0</v>
      </c>
      <c r="G89" s="238">
        <v>0</v>
      </c>
      <c r="H89" s="238">
        <v>0</v>
      </c>
      <c r="I89" s="238">
        <v>0</v>
      </c>
      <c r="J89" s="260">
        <v>0</v>
      </c>
      <c r="K89" s="273">
        <f>L89+M89+N89</f>
        <v>300</v>
      </c>
      <c r="L89" s="273">
        <v>0</v>
      </c>
      <c r="M89" s="273">
        <v>0</v>
      </c>
      <c r="N89" s="273">
        <f>4993-4129-51-281-232</f>
        <v>300</v>
      </c>
      <c r="O89" s="260">
        <v>0</v>
      </c>
      <c r="P89" s="273">
        <f t="shared" ref="P89:P90" si="44">SUM(Q89:S89)</f>
        <v>4051</v>
      </c>
      <c r="Q89" s="273">
        <v>0</v>
      </c>
      <c r="R89" s="273">
        <v>0</v>
      </c>
      <c r="S89" s="273">
        <v>4051</v>
      </c>
      <c r="T89" s="263">
        <v>0</v>
      </c>
      <c r="U89" s="273">
        <f t="shared" si="42"/>
        <v>4096</v>
      </c>
      <c r="V89" s="273">
        <v>0</v>
      </c>
      <c r="W89" s="273">
        <v>0</v>
      </c>
      <c r="X89" s="273">
        <v>4096</v>
      </c>
      <c r="Y89" s="273">
        <f t="shared" ref="Y89:AC89" si="45">SUM(Z89:AB89)</f>
        <v>0</v>
      </c>
      <c r="Z89" s="273">
        <f t="shared" si="45"/>
        <v>0</v>
      </c>
      <c r="AA89" s="273">
        <f t="shared" si="45"/>
        <v>0</v>
      </c>
      <c r="AB89" s="273">
        <f t="shared" si="45"/>
        <v>0</v>
      </c>
      <c r="AC89" s="273">
        <f t="shared" si="45"/>
        <v>0</v>
      </c>
      <c r="AD89" s="257"/>
    </row>
    <row r="90" spans="1:30" s="17" customFormat="1" ht="117.6" customHeight="1" outlineLevel="1" x14ac:dyDescent="0.2">
      <c r="A90" s="235" t="s">
        <v>1365</v>
      </c>
      <c r="B90" s="259" t="s">
        <v>31</v>
      </c>
      <c r="C90" s="260">
        <f t="shared" si="43"/>
        <v>0</v>
      </c>
      <c r="D90" s="238">
        <f>F90+Z90+P90+K90+U90</f>
        <v>0</v>
      </c>
      <c r="E90" s="260">
        <f>G90+L90+Q90+V90+AA90</f>
        <v>0</v>
      </c>
      <c r="F90" s="238">
        <f>G90+H90+I90</f>
        <v>0</v>
      </c>
      <c r="G90" s="238">
        <v>0</v>
      </c>
      <c r="H90" s="238">
        <v>0</v>
      </c>
      <c r="I90" s="238">
        <v>0</v>
      </c>
      <c r="J90" s="260">
        <v>0</v>
      </c>
      <c r="K90" s="273">
        <f>SUM(L90:N90)</f>
        <v>0</v>
      </c>
      <c r="L90" s="261">
        <v>0</v>
      </c>
      <c r="M90" s="261">
        <v>0</v>
      </c>
      <c r="N90" s="261">
        <v>0</v>
      </c>
      <c r="O90" s="260">
        <v>0</v>
      </c>
      <c r="P90" s="273">
        <f t="shared" si="44"/>
        <v>0</v>
      </c>
      <c r="Q90" s="261">
        <v>0</v>
      </c>
      <c r="R90" s="261">
        <v>0</v>
      </c>
      <c r="S90" s="261">
        <v>0</v>
      </c>
      <c r="T90" s="263">
        <v>0</v>
      </c>
      <c r="U90" s="273">
        <f t="shared" si="42"/>
        <v>0</v>
      </c>
      <c r="V90" s="262">
        <v>0</v>
      </c>
      <c r="W90" s="262">
        <v>0</v>
      </c>
      <c r="X90" s="262">
        <v>0</v>
      </c>
      <c r="Y90" s="260">
        <v>0</v>
      </c>
      <c r="Z90" s="262">
        <f>AA90+AB90+AC90</f>
        <v>0</v>
      </c>
      <c r="AA90" s="262">
        <v>0</v>
      </c>
      <c r="AB90" s="261">
        <v>0</v>
      </c>
      <c r="AC90" s="274">
        <v>0</v>
      </c>
      <c r="AD90" s="257"/>
    </row>
    <row r="91" spans="1:30" s="18" customFormat="1" ht="114.75" customHeight="1" outlineLevel="1" x14ac:dyDescent="0.2">
      <c r="A91" s="258" t="s">
        <v>1366</v>
      </c>
      <c r="B91" s="275" t="s">
        <v>291</v>
      </c>
      <c r="C91" s="223">
        <f t="shared" si="43"/>
        <v>0</v>
      </c>
      <c r="D91" s="276">
        <f t="shared" ref="D91:D95" si="46">F91+K91+P91+U91+Z91</f>
        <v>34322</v>
      </c>
      <c r="E91" s="237">
        <v>0</v>
      </c>
      <c r="F91" s="273">
        <f>G91+H91+I91</f>
        <v>21761</v>
      </c>
      <c r="G91" s="273">
        <v>0</v>
      </c>
      <c r="H91" s="238">
        <v>20716</v>
      </c>
      <c r="I91" s="238">
        <v>1045</v>
      </c>
      <c r="J91" s="223">
        <v>0</v>
      </c>
      <c r="K91" s="261">
        <f t="shared" ref="K91:K95" si="47">L91+M91+N91</f>
        <v>12561</v>
      </c>
      <c r="L91" s="261">
        <v>0</v>
      </c>
      <c r="M91" s="261">
        <v>0</v>
      </c>
      <c r="N91" s="261">
        <v>12561</v>
      </c>
      <c r="O91" s="260">
        <v>0</v>
      </c>
      <c r="P91" s="261">
        <f>S91</f>
        <v>0</v>
      </c>
      <c r="Q91" s="261">
        <v>0</v>
      </c>
      <c r="R91" s="261">
        <v>0</v>
      </c>
      <c r="S91" s="261">
        <v>0</v>
      </c>
      <c r="T91" s="260">
        <v>0</v>
      </c>
      <c r="U91" s="261">
        <v>0</v>
      </c>
      <c r="V91" s="261">
        <v>0</v>
      </c>
      <c r="W91" s="261">
        <v>0</v>
      </c>
      <c r="X91" s="261">
        <v>0</v>
      </c>
      <c r="Y91" s="260">
        <v>0</v>
      </c>
      <c r="Z91" s="261">
        <v>0</v>
      </c>
      <c r="AA91" s="261">
        <v>0</v>
      </c>
      <c r="AB91" s="261">
        <v>0</v>
      </c>
      <c r="AC91" s="261">
        <v>0</v>
      </c>
      <c r="AD91" s="264"/>
    </row>
    <row r="92" spans="1:30" s="18" customFormat="1" ht="114.75" customHeight="1" outlineLevel="1" x14ac:dyDescent="0.2">
      <c r="A92" s="258" t="s">
        <v>1367</v>
      </c>
      <c r="B92" s="275" t="s">
        <v>335</v>
      </c>
      <c r="C92" s="223">
        <f t="shared" si="43"/>
        <v>0</v>
      </c>
      <c r="D92" s="276">
        <f t="shared" si="46"/>
        <v>932</v>
      </c>
      <c r="E92" s="237">
        <v>0</v>
      </c>
      <c r="F92" s="273">
        <f>G92+H92+I92</f>
        <v>466</v>
      </c>
      <c r="G92" s="273">
        <v>0</v>
      </c>
      <c r="H92" s="238">
        <v>0</v>
      </c>
      <c r="I92" s="238">
        <v>466</v>
      </c>
      <c r="J92" s="223">
        <v>0</v>
      </c>
      <c r="K92" s="261">
        <f t="shared" si="47"/>
        <v>466</v>
      </c>
      <c r="L92" s="261">
        <v>0</v>
      </c>
      <c r="M92" s="261">
        <v>0</v>
      </c>
      <c r="N92" s="261">
        <v>466</v>
      </c>
      <c r="O92" s="260">
        <v>0</v>
      </c>
      <c r="P92" s="261">
        <f>S92</f>
        <v>0</v>
      </c>
      <c r="Q92" s="261">
        <v>0</v>
      </c>
      <c r="R92" s="261">
        <v>0</v>
      </c>
      <c r="S92" s="261">
        <v>0</v>
      </c>
      <c r="T92" s="260">
        <v>0</v>
      </c>
      <c r="U92" s="261">
        <v>0</v>
      </c>
      <c r="V92" s="261">
        <v>0</v>
      </c>
      <c r="W92" s="261">
        <v>0</v>
      </c>
      <c r="X92" s="261">
        <v>0</v>
      </c>
      <c r="Y92" s="260">
        <v>0</v>
      </c>
      <c r="Z92" s="261">
        <v>0</v>
      </c>
      <c r="AA92" s="261">
        <v>0</v>
      </c>
      <c r="AB92" s="261">
        <v>0</v>
      </c>
      <c r="AC92" s="261">
        <v>0</v>
      </c>
      <c r="AD92" s="264"/>
    </row>
    <row r="93" spans="1:30" s="17" customFormat="1" ht="71.45" customHeight="1" outlineLevel="1" x14ac:dyDescent="0.2">
      <c r="A93" s="235" t="s">
        <v>1368</v>
      </c>
      <c r="B93" s="259" t="s">
        <v>33</v>
      </c>
      <c r="C93" s="260">
        <v>40.97</v>
      </c>
      <c r="D93" s="238">
        <f>F93+K93+P93+U93+Z93</f>
        <v>432960</v>
      </c>
      <c r="E93" s="237">
        <v>0</v>
      </c>
      <c r="F93" s="238">
        <v>0</v>
      </c>
      <c r="G93" s="238">
        <v>0</v>
      </c>
      <c r="H93" s="238">
        <v>0</v>
      </c>
      <c r="I93" s="238">
        <v>0</v>
      </c>
      <c r="J93" s="260">
        <v>40.94</v>
      </c>
      <c r="K93" s="261">
        <f t="shared" si="47"/>
        <v>214595</v>
      </c>
      <c r="L93" s="261">
        <v>0</v>
      </c>
      <c r="M93" s="261">
        <v>202149</v>
      </c>
      <c r="N93" s="261">
        <v>12446</v>
      </c>
      <c r="O93" s="260">
        <v>40.94</v>
      </c>
      <c r="P93" s="261">
        <f>Q93+R93+S93</f>
        <v>109342</v>
      </c>
      <c r="Q93" s="261">
        <v>0</v>
      </c>
      <c r="R93" s="261">
        <v>103000</v>
      </c>
      <c r="S93" s="261">
        <v>6342</v>
      </c>
      <c r="T93" s="263">
        <v>40.97</v>
      </c>
      <c r="U93" s="262">
        <f>V93+W93+X93</f>
        <v>109023</v>
      </c>
      <c r="V93" s="262">
        <v>0</v>
      </c>
      <c r="W93" s="262">
        <v>103000</v>
      </c>
      <c r="X93" s="262">
        <v>6023</v>
      </c>
      <c r="Y93" s="260">
        <v>0</v>
      </c>
      <c r="Z93" s="261">
        <f>AA93+AC93</f>
        <v>0</v>
      </c>
      <c r="AA93" s="261">
        <v>0</v>
      </c>
      <c r="AB93" s="261">
        <v>0</v>
      </c>
      <c r="AC93" s="261">
        <v>0</v>
      </c>
      <c r="AD93" s="257"/>
    </row>
    <row r="94" spans="1:30" s="17" customFormat="1" ht="71.45" customHeight="1" outlineLevel="1" x14ac:dyDescent="0.2">
      <c r="A94" s="235" t="s">
        <v>1369</v>
      </c>
      <c r="B94" s="259" t="s">
        <v>529</v>
      </c>
      <c r="C94" s="260">
        <f t="shared" si="43"/>
        <v>0</v>
      </c>
      <c r="D94" s="238">
        <f t="shared" si="46"/>
        <v>76305</v>
      </c>
      <c r="E94" s="237">
        <f>G94+L94+Q94+V94+AA94</f>
        <v>0</v>
      </c>
      <c r="F94" s="238">
        <f>G94+H94+I94</f>
        <v>0</v>
      </c>
      <c r="G94" s="238">
        <v>0</v>
      </c>
      <c r="H94" s="238">
        <v>0</v>
      </c>
      <c r="I94" s="238">
        <v>0</v>
      </c>
      <c r="J94" s="260">
        <v>0</v>
      </c>
      <c r="K94" s="261">
        <f t="shared" si="47"/>
        <v>0</v>
      </c>
      <c r="L94" s="261">
        <v>0</v>
      </c>
      <c r="M94" s="261">
        <v>0</v>
      </c>
      <c r="N94" s="261">
        <v>0</v>
      </c>
      <c r="O94" s="260">
        <v>0</v>
      </c>
      <c r="P94" s="261">
        <f>Q94+R94+S94</f>
        <v>76305</v>
      </c>
      <c r="Q94" s="261">
        <v>0</v>
      </c>
      <c r="R94" s="261">
        <f>70000+1879</f>
        <v>71879</v>
      </c>
      <c r="S94" s="261">
        <f>4310+116</f>
        <v>4426</v>
      </c>
      <c r="T94" s="263">
        <v>0</v>
      </c>
      <c r="U94" s="262">
        <v>0</v>
      </c>
      <c r="V94" s="262">
        <v>0</v>
      </c>
      <c r="W94" s="262">
        <v>0</v>
      </c>
      <c r="X94" s="262">
        <v>0</v>
      </c>
      <c r="Y94" s="260">
        <v>0</v>
      </c>
      <c r="Z94" s="261">
        <f>AA94+AB94+AC94</f>
        <v>0</v>
      </c>
      <c r="AA94" s="261">
        <v>0</v>
      </c>
      <c r="AB94" s="261">
        <v>0</v>
      </c>
      <c r="AC94" s="261">
        <v>0</v>
      </c>
      <c r="AD94" s="257"/>
    </row>
    <row r="95" spans="1:30" s="17" customFormat="1" ht="71.45" customHeight="1" outlineLevel="1" x14ac:dyDescent="0.2">
      <c r="A95" s="235" t="s">
        <v>1370</v>
      </c>
      <c r="B95" s="259" t="s">
        <v>594</v>
      </c>
      <c r="C95" s="260">
        <f t="shared" si="43"/>
        <v>0</v>
      </c>
      <c r="D95" s="238">
        <f t="shared" si="46"/>
        <v>528</v>
      </c>
      <c r="E95" s="237">
        <f>G95+L95+Q95+V95+AA95</f>
        <v>0</v>
      </c>
      <c r="F95" s="238">
        <f>G95+H95+I95</f>
        <v>0</v>
      </c>
      <c r="G95" s="238">
        <v>0</v>
      </c>
      <c r="H95" s="238">
        <v>0</v>
      </c>
      <c r="I95" s="238">
        <v>0</v>
      </c>
      <c r="J95" s="260">
        <v>0</v>
      </c>
      <c r="K95" s="261">
        <f t="shared" si="47"/>
        <v>0</v>
      </c>
      <c r="L95" s="261">
        <v>0</v>
      </c>
      <c r="M95" s="261">
        <v>0</v>
      </c>
      <c r="N95" s="261">
        <v>0</v>
      </c>
      <c r="O95" s="260">
        <v>0</v>
      </c>
      <c r="P95" s="261">
        <f>Q95+R95+S95</f>
        <v>528</v>
      </c>
      <c r="Q95" s="261">
        <v>0</v>
      </c>
      <c r="R95" s="261">
        <v>0</v>
      </c>
      <c r="S95" s="261">
        <f>1650-169+30-514-469</f>
        <v>528</v>
      </c>
      <c r="T95" s="263">
        <v>0</v>
      </c>
      <c r="U95" s="262">
        <v>0</v>
      </c>
      <c r="V95" s="262">
        <v>0</v>
      </c>
      <c r="W95" s="262">
        <v>0</v>
      </c>
      <c r="X95" s="262">
        <v>0</v>
      </c>
      <c r="Y95" s="260">
        <v>0</v>
      </c>
      <c r="Z95" s="261">
        <f>AA95+AB95+AC95</f>
        <v>0</v>
      </c>
      <c r="AA95" s="261">
        <v>0</v>
      </c>
      <c r="AB95" s="261">
        <v>0</v>
      </c>
      <c r="AC95" s="261">
        <v>0</v>
      </c>
      <c r="AD95" s="257"/>
    </row>
    <row r="96" spans="1:30" s="17" customFormat="1" ht="25.15" customHeight="1" outlineLevel="1" x14ac:dyDescent="0.2">
      <c r="A96" s="235"/>
      <c r="B96" s="259" t="s">
        <v>220</v>
      </c>
      <c r="C96" s="260">
        <f t="shared" si="43"/>
        <v>0</v>
      </c>
      <c r="D96" s="238">
        <f>F96+K96+P96+U96+Z96</f>
        <v>730</v>
      </c>
      <c r="E96" s="237">
        <v>0</v>
      </c>
      <c r="F96" s="238">
        <v>0</v>
      </c>
      <c r="G96" s="238">
        <v>0</v>
      </c>
      <c r="H96" s="238">
        <v>0</v>
      </c>
      <c r="I96" s="238">
        <v>0</v>
      </c>
      <c r="J96" s="260">
        <v>0</v>
      </c>
      <c r="K96" s="261">
        <f>L96+M96+N96</f>
        <v>730</v>
      </c>
      <c r="L96" s="261">
        <v>0</v>
      </c>
      <c r="M96" s="261">
        <f>11835-11834</f>
        <v>1</v>
      </c>
      <c r="N96" s="261">
        <v>729</v>
      </c>
      <c r="O96" s="260">
        <v>0</v>
      </c>
      <c r="P96" s="261">
        <f>Q96+R96+S96</f>
        <v>0</v>
      </c>
      <c r="Q96" s="261">
        <v>0</v>
      </c>
      <c r="R96" s="261">
        <v>0</v>
      </c>
      <c r="S96" s="261">
        <v>0</v>
      </c>
      <c r="T96" s="263">
        <v>0</v>
      </c>
      <c r="U96" s="262">
        <f>X96+W96+V96</f>
        <v>0</v>
      </c>
      <c r="V96" s="262">
        <v>0</v>
      </c>
      <c r="W96" s="262">
        <v>0</v>
      </c>
      <c r="X96" s="262">
        <f>8256-5164-3092</f>
        <v>0</v>
      </c>
      <c r="Y96" s="263">
        <v>0</v>
      </c>
      <c r="Z96" s="262">
        <f>AA96+AB96+AC96+AD96</f>
        <v>0</v>
      </c>
      <c r="AA96" s="262">
        <v>0</v>
      </c>
      <c r="AB96" s="262">
        <v>0</v>
      </c>
      <c r="AC96" s="262">
        <f>8256-8256</f>
        <v>0</v>
      </c>
      <c r="AD96" s="257"/>
    </row>
    <row r="97" spans="1:30" s="17" customFormat="1" ht="15.75" outlineLevel="1" x14ac:dyDescent="0.2">
      <c r="A97" s="443" t="s">
        <v>371</v>
      </c>
      <c r="B97" s="443"/>
      <c r="C97" s="443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443"/>
      <c r="X97" s="443"/>
      <c r="Y97" s="443"/>
      <c r="Z97" s="443"/>
      <c r="AA97" s="443"/>
      <c r="AB97" s="443"/>
      <c r="AC97" s="443"/>
      <c r="AD97" s="257"/>
    </row>
    <row r="98" spans="1:30" s="17" customFormat="1" ht="85.9" customHeight="1" outlineLevel="1" x14ac:dyDescent="0.2">
      <c r="A98" s="235" t="s">
        <v>1371</v>
      </c>
      <c r="B98" s="259" t="s">
        <v>30</v>
      </c>
      <c r="C98" s="260">
        <f>E98+T98+O98+J98+Y98</f>
        <v>0</v>
      </c>
      <c r="D98" s="238">
        <f>F98+Z98+P98+K98+U98</f>
        <v>0</v>
      </c>
      <c r="E98" s="237">
        <v>0</v>
      </c>
      <c r="F98" s="238">
        <v>0</v>
      </c>
      <c r="G98" s="238">
        <v>0</v>
      </c>
      <c r="H98" s="238">
        <v>0</v>
      </c>
      <c r="I98" s="238">
        <v>0</v>
      </c>
      <c r="J98" s="277">
        <v>0</v>
      </c>
      <c r="K98" s="273">
        <f>SUM(L98:N98)</f>
        <v>0</v>
      </c>
      <c r="L98" s="273">
        <v>0</v>
      </c>
      <c r="M98" s="273">
        <v>0</v>
      </c>
      <c r="N98" s="273">
        <f>4021-4021</f>
        <v>0</v>
      </c>
      <c r="O98" s="260">
        <v>0</v>
      </c>
      <c r="P98" s="261">
        <f>Q98+R98+S98</f>
        <v>0</v>
      </c>
      <c r="Q98" s="261">
        <v>0</v>
      </c>
      <c r="R98" s="261">
        <v>0</v>
      </c>
      <c r="S98" s="261">
        <v>0</v>
      </c>
      <c r="T98" s="263">
        <v>0</v>
      </c>
      <c r="U98" s="262">
        <v>0</v>
      </c>
      <c r="V98" s="262">
        <v>0</v>
      </c>
      <c r="W98" s="262">
        <v>0</v>
      </c>
      <c r="X98" s="262">
        <v>0</v>
      </c>
      <c r="Y98" s="260">
        <v>0</v>
      </c>
      <c r="Z98" s="273">
        <f>SUM(AA98:AC98)</f>
        <v>0</v>
      </c>
      <c r="AA98" s="261">
        <v>0</v>
      </c>
      <c r="AB98" s="261">
        <v>0</v>
      </c>
      <c r="AC98" s="261">
        <v>0</v>
      </c>
      <c r="AD98" s="257"/>
    </row>
    <row r="99" spans="1:30" s="17" customFormat="1" ht="66" customHeight="1" outlineLevel="1" x14ac:dyDescent="0.2">
      <c r="A99" s="235" t="s">
        <v>1372</v>
      </c>
      <c r="B99" s="259" t="s">
        <v>34</v>
      </c>
      <c r="C99" s="260">
        <f>E99+J99+O99+T99+Y99</f>
        <v>0</v>
      </c>
      <c r="D99" s="238">
        <f>F99+Z99+P99+K99+U99</f>
        <v>0</v>
      </c>
      <c r="E99" s="237">
        <v>0</v>
      </c>
      <c r="F99" s="238">
        <v>0</v>
      </c>
      <c r="G99" s="238">
        <v>0</v>
      </c>
      <c r="H99" s="238">
        <v>0</v>
      </c>
      <c r="I99" s="238">
        <v>0</v>
      </c>
      <c r="J99" s="260">
        <v>0</v>
      </c>
      <c r="K99" s="273">
        <f>SUM(L99:N99)</f>
        <v>0</v>
      </c>
      <c r="L99" s="261">
        <v>0</v>
      </c>
      <c r="M99" s="261">
        <v>0</v>
      </c>
      <c r="N99" s="261">
        <v>0</v>
      </c>
      <c r="O99" s="260">
        <v>0</v>
      </c>
      <c r="P99" s="261">
        <f>Q99+R99+S99</f>
        <v>0</v>
      </c>
      <c r="Q99" s="261">
        <v>0</v>
      </c>
      <c r="R99" s="261">
        <v>0</v>
      </c>
      <c r="S99" s="261">
        <v>0</v>
      </c>
      <c r="T99" s="263">
        <v>0</v>
      </c>
      <c r="U99" s="262">
        <v>0</v>
      </c>
      <c r="V99" s="262">
        <v>0</v>
      </c>
      <c r="W99" s="262">
        <v>0</v>
      </c>
      <c r="X99" s="262">
        <v>0</v>
      </c>
      <c r="Y99" s="263">
        <v>0</v>
      </c>
      <c r="Z99" s="262">
        <f>AA99+AB99+AC99</f>
        <v>0</v>
      </c>
      <c r="AA99" s="262">
        <v>0</v>
      </c>
      <c r="AB99" s="262">
        <v>0</v>
      </c>
      <c r="AC99" s="262">
        <v>0</v>
      </c>
      <c r="AD99" s="257"/>
    </row>
    <row r="100" spans="1:30" s="17" customFormat="1" ht="63" customHeight="1" outlineLevel="1" x14ac:dyDescent="0.2">
      <c r="A100" s="235" t="s">
        <v>1373</v>
      </c>
      <c r="B100" s="259" t="s">
        <v>4</v>
      </c>
      <c r="C100" s="260">
        <f>E100+J100+O100+T100+Y100</f>
        <v>0</v>
      </c>
      <c r="D100" s="238">
        <f>F100+Z100+P100+K100+U100</f>
        <v>0</v>
      </c>
      <c r="E100" s="237">
        <v>0</v>
      </c>
      <c r="F100" s="238">
        <v>0</v>
      </c>
      <c r="G100" s="238">
        <v>0</v>
      </c>
      <c r="H100" s="238">
        <v>0</v>
      </c>
      <c r="I100" s="238">
        <v>0</v>
      </c>
      <c r="J100" s="260">
        <v>0</v>
      </c>
      <c r="K100" s="273">
        <f>SUM(L100:N100)</f>
        <v>0</v>
      </c>
      <c r="L100" s="261">
        <v>0</v>
      </c>
      <c r="M100" s="261">
        <v>0</v>
      </c>
      <c r="N100" s="261">
        <v>0</v>
      </c>
      <c r="O100" s="260">
        <v>0</v>
      </c>
      <c r="P100" s="261">
        <v>0</v>
      </c>
      <c r="Q100" s="261">
        <v>0</v>
      </c>
      <c r="R100" s="261">
        <v>0</v>
      </c>
      <c r="S100" s="261">
        <v>0</v>
      </c>
      <c r="T100" s="263">
        <v>0</v>
      </c>
      <c r="U100" s="262">
        <v>0</v>
      </c>
      <c r="V100" s="262">
        <v>0</v>
      </c>
      <c r="W100" s="262">
        <v>0</v>
      </c>
      <c r="X100" s="262">
        <v>0</v>
      </c>
      <c r="Y100" s="263">
        <v>0</v>
      </c>
      <c r="Z100" s="262">
        <f>AA100+AB100+AC100</f>
        <v>0</v>
      </c>
      <c r="AA100" s="262">
        <v>0</v>
      </c>
      <c r="AB100" s="262">
        <v>0</v>
      </c>
      <c r="AC100" s="262">
        <v>0</v>
      </c>
      <c r="AD100" s="257"/>
    </row>
    <row r="101" spans="1:30" s="19" customFormat="1" ht="46.9" customHeight="1" x14ac:dyDescent="0.2">
      <c r="A101" s="278"/>
      <c r="B101" s="270" t="s">
        <v>511</v>
      </c>
      <c r="C101" s="271">
        <f>SUM(C78:C100)</f>
        <v>52.05</v>
      </c>
      <c r="D101" s="272">
        <f>SUM(D78:D100)</f>
        <v>609444</v>
      </c>
      <c r="E101" s="271">
        <f t="shared" ref="E101:AC101" si="48">SUM(E78:E100)</f>
        <v>5.54</v>
      </c>
      <c r="F101" s="272">
        <f t="shared" si="48"/>
        <v>64125</v>
      </c>
      <c r="G101" s="272">
        <f t="shared" si="48"/>
        <v>0</v>
      </c>
      <c r="H101" s="272">
        <f t="shared" si="48"/>
        <v>60112</v>
      </c>
      <c r="I101" s="272">
        <f t="shared" si="48"/>
        <v>4013</v>
      </c>
      <c r="J101" s="271">
        <f t="shared" si="48"/>
        <v>46.48</v>
      </c>
      <c r="K101" s="272">
        <f t="shared" si="48"/>
        <v>241974</v>
      </c>
      <c r="L101" s="272">
        <f t="shared" si="48"/>
        <v>0</v>
      </c>
      <c r="M101" s="272">
        <f t="shared" si="48"/>
        <v>214659</v>
      </c>
      <c r="N101" s="272">
        <f t="shared" si="48"/>
        <v>27315</v>
      </c>
      <c r="O101" s="271">
        <f t="shared" si="48"/>
        <v>40.94</v>
      </c>
      <c r="P101" s="272">
        <f t="shared" si="48"/>
        <v>190226</v>
      </c>
      <c r="Q101" s="272">
        <f t="shared" si="48"/>
        <v>0</v>
      </c>
      <c r="R101" s="272">
        <f t="shared" si="48"/>
        <v>174879</v>
      </c>
      <c r="S101" s="272">
        <f t="shared" si="48"/>
        <v>15347</v>
      </c>
      <c r="T101" s="271">
        <f t="shared" si="48"/>
        <v>40.97</v>
      </c>
      <c r="U101" s="272">
        <f t="shared" si="48"/>
        <v>113119</v>
      </c>
      <c r="V101" s="272">
        <f t="shared" si="48"/>
        <v>0</v>
      </c>
      <c r="W101" s="272">
        <f t="shared" si="48"/>
        <v>103000</v>
      </c>
      <c r="X101" s="272">
        <f t="shared" si="48"/>
        <v>10119</v>
      </c>
      <c r="Y101" s="271">
        <f t="shared" si="48"/>
        <v>0</v>
      </c>
      <c r="Z101" s="272">
        <f t="shared" si="48"/>
        <v>0</v>
      </c>
      <c r="AA101" s="272">
        <f t="shared" si="48"/>
        <v>0</v>
      </c>
      <c r="AB101" s="272">
        <f t="shared" si="48"/>
        <v>0</v>
      </c>
      <c r="AC101" s="272">
        <f t="shared" si="48"/>
        <v>0</v>
      </c>
      <c r="AD101" s="279"/>
    </row>
    <row r="102" spans="1:30" s="17" customFormat="1" ht="48.75" customHeight="1" x14ac:dyDescent="0.2">
      <c r="A102" s="256" t="s">
        <v>462</v>
      </c>
      <c r="B102" s="437" t="s">
        <v>1150</v>
      </c>
      <c r="C102" s="438"/>
      <c r="D102" s="438"/>
      <c r="E102" s="438"/>
      <c r="F102" s="438"/>
      <c r="G102" s="438"/>
      <c r="H102" s="438"/>
      <c r="I102" s="438"/>
      <c r="J102" s="438"/>
      <c r="K102" s="438"/>
      <c r="L102" s="438"/>
      <c r="M102" s="438"/>
      <c r="N102" s="438"/>
      <c r="O102" s="438"/>
      <c r="P102" s="438"/>
      <c r="Q102" s="438"/>
      <c r="R102" s="438"/>
      <c r="S102" s="438"/>
      <c r="T102" s="438"/>
      <c r="U102" s="438"/>
      <c r="V102" s="438"/>
      <c r="W102" s="438"/>
      <c r="X102" s="438"/>
      <c r="Y102" s="438"/>
      <c r="Z102" s="438"/>
      <c r="AA102" s="438"/>
      <c r="AB102" s="438"/>
      <c r="AC102" s="439"/>
      <c r="AD102" s="257"/>
    </row>
    <row r="103" spans="1:30" s="17" customFormat="1" ht="52.9" customHeight="1" outlineLevel="1" x14ac:dyDescent="0.2">
      <c r="A103" s="276" t="s">
        <v>1172</v>
      </c>
      <c r="B103" s="280" t="s">
        <v>661</v>
      </c>
      <c r="C103" s="223">
        <f t="shared" ref="C103" si="49">E103+J103+O103+Y103+T103</f>
        <v>1</v>
      </c>
      <c r="D103" s="276">
        <f>F103+K103+P103+Z103+U103</f>
        <v>4806</v>
      </c>
      <c r="E103" s="281">
        <v>0</v>
      </c>
      <c r="F103" s="273">
        <f t="shared" ref="F103:F107" si="50">G103+H103+I103</f>
        <v>0</v>
      </c>
      <c r="G103" s="273">
        <v>0</v>
      </c>
      <c r="H103" s="273">
        <v>0</v>
      </c>
      <c r="I103" s="273">
        <v>0</v>
      </c>
      <c r="J103" s="223">
        <v>0</v>
      </c>
      <c r="K103" s="261">
        <v>0</v>
      </c>
      <c r="L103" s="261">
        <v>0</v>
      </c>
      <c r="M103" s="261">
        <v>0</v>
      </c>
      <c r="N103" s="261">
        <v>0</v>
      </c>
      <c r="O103" s="260">
        <v>0</v>
      </c>
      <c r="P103" s="261">
        <f t="shared" ref="P103" si="51">Q103+R103+S103</f>
        <v>0</v>
      </c>
      <c r="Q103" s="261">
        <v>0</v>
      </c>
      <c r="R103" s="261">
        <v>0</v>
      </c>
      <c r="S103" s="261">
        <v>0</v>
      </c>
      <c r="T103" s="260">
        <v>1</v>
      </c>
      <c r="U103" s="261">
        <f t="shared" ref="U103:U106" si="52">V103+W103+X103</f>
        <v>4806</v>
      </c>
      <c r="V103" s="261">
        <v>0</v>
      </c>
      <c r="W103" s="261">
        <v>0</v>
      </c>
      <c r="X103" s="261">
        <v>4806</v>
      </c>
      <c r="Y103" s="260">
        <v>0</v>
      </c>
      <c r="Z103" s="261">
        <v>0</v>
      </c>
      <c r="AA103" s="261">
        <v>0</v>
      </c>
      <c r="AB103" s="261">
        <v>0</v>
      </c>
      <c r="AC103" s="261">
        <v>0</v>
      </c>
      <c r="AD103" s="257"/>
    </row>
    <row r="104" spans="1:30" s="18" customFormat="1" ht="60" outlineLevel="1" x14ac:dyDescent="0.2">
      <c r="A104" s="276" t="s">
        <v>1173</v>
      </c>
      <c r="B104" s="275" t="s">
        <v>351</v>
      </c>
      <c r="C104" s="223">
        <f t="shared" ref="C104:D108" si="53">E104+J104+O104+T104+Y104</f>
        <v>1.2</v>
      </c>
      <c r="D104" s="276">
        <f t="shared" si="53"/>
        <v>8874</v>
      </c>
      <c r="E104" s="237">
        <v>1.2</v>
      </c>
      <c r="F104" s="273">
        <f>G104+H104+I104</f>
        <v>8874</v>
      </c>
      <c r="G104" s="273">
        <v>0</v>
      </c>
      <c r="H104" s="238">
        <v>8448</v>
      </c>
      <c r="I104" s="273">
        <v>426</v>
      </c>
      <c r="J104" s="223">
        <v>0</v>
      </c>
      <c r="K104" s="261">
        <f t="shared" ref="K104:K109" si="54">SUM(L104:N104)</f>
        <v>0</v>
      </c>
      <c r="L104" s="261">
        <v>0</v>
      </c>
      <c r="M104" s="261">
        <v>0</v>
      </c>
      <c r="N104" s="261">
        <v>0</v>
      </c>
      <c r="O104" s="260">
        <v>0</v>
      </c>
      <c r="P104" s="261">
        <f t="shared" ref="P104:P109" si="55">Q104+R104+S104</f>
        <v>0</v>
      </c>
      <c r="Q104" s="261">
        <v>0</v>
      </c>
      <c r="R104" s="261">
        <v>0</v>
      </c>
      <c r="S104" s="261">
        <v>0</v>
      </c>
      <c r="T104" s="260">
        <v>0</v>
      </c>
      <c r="U104" s="261">
        <f t="shared" si="52"/>
        <v>0</v>
      </c>
      <c r="V104" s="261">
        <v>0</v>
      </c>
      <c r="W104" s="261">
        <v>0</v>
      </c>
      <c r="X104" s="261">
        <v>0</v>
      </c>
      <c r="Y104" s="260">
        <v>0</v>
      </c>
      <c r="Z104" s="261">
        <f t="shared" ref="Z104:Z106" si="56">AA104+AB104+AC104</f>
        <v>0</v>
      </c>
      <c r="AA104" s="261">
        <v>0</v>
      </c>
      <c r="AB104" s="261">
        <v>0</v>
      </c>
      <c r="AC104" s="261">
        <v>0</v>
      </c>
      <c r="AD104" s="264"/>
    </row>
    <row r="105" spans="1:30" s="18" customFormat="1" ht="46.5" customHeight="1" outlineLevel="1" x14ac:dyDescent="0.2">
      <c r="A105" s="276" t="s">
        <v>1174</v>
      </c>
      <c r="B105" s="275" t="s">
        <v>352</v>
      </c>
      <c r="C105" s="223">
        <f t="shared" si="53"/>
        <v>0.85</v>
      </c>
      <c r="D105" s="276">
        <f t="shared" si="53"/>
        <v>18436</v>
      </c>
      <c r="E105" s="237">
        <v>0.85</v>
      </c>
      <c r="F105" s="273">
        <f>G105+H105+I105</f>
        <v>18436</v>
      </c>
      <c r="G105" s="273">
        <v>0</v>
      </c>
      <c r="H105" s="238">
        <v>17551</v>
      </c>
      <c r="I105" s="273">
        <v>885</v>
      </c>
      <c r="J105" s="223">
        <v>0</v>
      </c>
      <c r="K105" s="261">
        <f t="shared" si="54"/>
        <v>0</v>
      </c>
      <c r="L105" s="261">
        <v>0</v>
      </c>
      <c r="M105" s="261">
        <v>0</v>
      </c>
      <c r="N105" s="261">
        <v>0</v>
      </c>
      <c r="O105" s="260">
        <v>0</v>
      </c>
      <c r="P105" s="261">
        <f t="shared" si="55"/>
        <v>0</v>
      </c>
      <c r="Q105" s="261">
        <v>0</v>
      </c>
      <c r="R105" s="261">
        <v>0</v>
      </c>
      <c r="S105" s="261">
        <v>0</v>
      </c>
      <c r="T105" s="260">
        <v>0</v>
      </c>
      <c r="U105" s="261">
        <f t="shared" si="52"/>
        <v>0</v>
      </c>
      <c r="V105" s="261">
        <v>0</v>
      </c>
      <c r="W105" s="261">
        <v>0</v>
      </c>
      <c r="X105" s="261">
        <v>0</v>
      </c>
      <c r="Y105" s="260">
        <v>0</v>
      </c>
      <c r="Z105" s="261">
        <f t="shared" si="56"/>
        <v>0</v>
      </c>
      <c r="AA105" s="261">
        <v>0</v>
      </c>
      <c r="AB105" s="261">
        <v>0</v>
      </c>
      <c r="AC105" s="261">
        <v>0</v>
      </c>
      <c r="AD105" s="264"/>
    </row>
    <row r="106" spans="1:30" s="18" customFormat="1" ht="46.5" customHeight="1" outlineLevel="1" x14ac:dyDescent="0.2">
      <c r="A106" s="276" t="s">
        <v>1175</v>
      </c>
      <c r="B106" s="275" t="s">
        <v>375</v>
      </c>
      <c r="C106" s="223">
        <f t="shared" si="53"/>
        <v>4.71</v>
      </c>
      <c r="D106" s="276">
        <f t="shared" si="53"/>
        <v>323</v>
      </c>
      <c r="E106" s="237">
        <v>0</v>
      </c>
      <c r="F106" s="273">
        <f>G106+H106+I106</f>
        <v>0</v>
      </c>
      <c r="G106" s="273">
        <v>0</v>
      </c>
      <c r="H106" s="238">
        <v>0</v>
      </c>
      <c r="I106" s="273">
        <v>0</v>
      </c>
      <c r="J106" s="223">
        <v>4.71</v>
      </c>
      <c r="K106" s="261">
        <f>SUM(L106:N106)</f>
        <v>323</v>
      </c>
      <c r="L106" s="261">
        <v>0</v>
      </c>
      <c r="M106" s="261">
        <v>0</v>
      </c>
      <c r="N106" s="261">
        <v>323</v>
      </c>
      <c r="O106" s="260">
        <v>0</v>
      </c>
      <c r="P106" s="261">
        <f t="shared" si="55"/>
        <v>0</v>
      </c>
      <c r="Q106" s="261">
        <v>0</v>
      </c>
      <c r="R106" s="261">
        <v>0</v>
      </c>
      <c r="S106" s="261">
        <v>0</v>
      </c>
      <c r="T106" s="260">
        <v>0</v>
      </c>
      <c r="U106" s="261">
        <f t="shared" si="52"/>
        <v>0</v>
      </c>
      <c r="V106" s="261">
        <v>0</v>
      </c>
      <c r="W106" s="261">
        <v>0</v>
      </c>
      <c r="X106" s="261">
        <v>0</v>
      </c>
      <c r="Y106" s="260">
        <v>0</v>
      </c>
      <c r="Z106" s="261">
        <f t="shared" si="56"/>
        <v>0</v>
      </c>
      <c r="AA106" s="261">
        <v>0</v>
      </c>
      <c r="AB106" s="261">
        <v>0</v>
      </c>
      <c r="AC106" s="261">
        <v>0</v>
      </c>
      <c r="AD106" s="264"/>
    </row>
    <row r="107" spans="1:30" s="18" customFormat="1" ht="108.75" customHeight="1" outlineLevel="1" x14ac:dyDescent="0.2">
      <c r="A107" s="276" t="s">
        <v>1176</v>
      </c>
      <c r="B107" s="275" t="s">
        <v>573</v>
      </c>
      <c r="C107" s="223">
        <f t="shared" si="53"/>
        <v>0</v>
      </c>
      <c r="D107" s="276">
        <f t="shared" si="53"/>
        <v>6239</v>
      </c>
      <c r="E107" s="237">
        <v>0</v>
      </c>
      <c r="F107" s="273">
        <f t="shared" si="50"/>
        <v>595</v>
      </c>
      <c r="G107" s="273">
        <v>0</v>
      </c>
      <c r="H107" s="238">
        <v>0</v>
      </c>
      <c r="I107" s="238">
        <v>595</v>
      </c>
      <c r="J107" s="223">
        <v>0</v>
      </c>
      <c r="K107" s="261">
        <f t="shared" si="54"/>
        <v>1086</v>
      </c>
      <c r="L107" s="261">
        <v>0</v>
      </c>
      <c r="M107" s="261">
        <v>0</v>
      </c>
      <c r="N107" s="261">
        <f>2100+51+920-1151+23-857</f>
        <v>1086</v>
      </c>
      <c r="O107" s="260">
        <v>0</v>
      </c>
      <c r="P107" s="261">
        <f t="shared" si="55"/>
        <v>690</v>
      </c>
      <c r="Q107" s="261">
        <v>0</v>
      </c>
      <c r="R107" s="261">
        <v>0</v>
      </c>
      <c r="S107" s="261">
        <f>3000-1156+524+101+285-30-699-1335</f>
        <v>690</v>
      </c>
      <c r="T107" s="260">
        <v>0</v>
      </c>
      <c r="U107" s="261">
        <f>V107+W107+X107</f>
        <v>1806</v>
      </c>
      <c r="V107" s="261">
        <v>0</v>
      </c>
      <c r="W107" s="261">
        <v>0</v>
      </c>
      <c r="X107" s="261">
        <f>3000+494-1432-3-253</f>
        <v>1806</v>
      </c>
      <c r="Y107" s="260">
        <v>0</v>
      </c>
      <c r="Z107" s="261">
        <f t="shared" ref="Z107" si="57">AA107+AB107+AC107</f>
        <v>2062</v>
      </c>
      <c r="AA107" s="261">
        <v>0</v>
      </c>
      <c r="AB107" s="261">
        <v>0</v>
      </c>
      <c r="AC107" s="261">
        <f>4896-1402-1432</f>
        <v>2062</v>
      </c>
      <c r="AD107" s="264"/>
    </row>
    <row r="108" spans="1:30" s="18" customFormat="1" ht="37.5" customHeight="1" outlineLevel="1" x14ac:dyDescent="0.2">
      <c r="A108" s="276" t="s">
        <v>1177</v>
      </c>
      <c r="B108" s="275" t="s">
        <v>218</v>
      </c>
      <c r="C108" s="223">
        <f t="shared" si="53"/>
        <v>0</v>
      </c>
      <c r="D108" s="276">
        <f t="shared" si="53"/>
        <v>2748</v>
      </c>
      <c r="E108" s="237">
        <v>0</v>
      </c>
      <c r="F108" s="273">
        <f>G108+H108+I108</f>
        <v>2748</v>
      </c>
      <c r="G108" s="273">
        <v>0</v>
      </c>
      <c r="H108" s="238">
        <v>0</v>
      </c>
      <c r="I108" s="238">
        <v>2748</v>
      </c>
      <c r="J108" s="223">
        <v>0</v>
      </c>
      <c r="K108" s="261">
        <f t="shared" si="54"/>
        <v>0</v>
      </c>
      <c r="L108" s="261">
        <v>0</v>
      </c>
      <c r="M108" s="261">
        <v>0</v>
      </c>
      <c r="N108" s="261">
        <v>0</v>
      </c>
      <c r="O108" s="260">
        <v>0</v>
      </c>
      <c r="P108" s="261">
        <f t="shared" si="55"/>
        <v>0</v>
      </c>
      <c r="Q108" s="261">
        <v>0</v>
      </c>
      <c r="R108" s="261">
        <v>0</v>
      </c>
      <c r="S108" s="261">
        <v>0</v>
      </c>
      <c r="T108" s="260">
        <v>0</v>
      </c>
      <c r="U108" s="261">
        <f>V108+W108+X108</f>
        <v>0</v>
      </c>
      <c r="V108" s="261">
        <v>0</v>
      </c>
      <c r="W108" s="261">
        <v>0</v>
      </c>
      <c r="X108" s="261">
        <v>0</v>
      </c>
      <c r="Y108" s="260">
        <v>0</v>
      </c>
      <c r="Z108" s="261">
        <f>AA108+AB108+AC108</f>
        <v>0</v>
      </c>
      <c r="AA108" s="261">
        <v>0</v>
      </c>
      <c r="AB108" s="261">
        <v>0</v>
      </c>
      <c r="AC108" s="261">
        <v>0</v>
      </c>
      <c r="AD108" s="264"/>
    </row>
    <row r="109" spans="1:30" s="18" customFormat="1" ht="70.900000000000006" customHeight="1" outlineLevel="1" x14ac:dyDescent="0.2">
      <c r="A109" s="276" t="s">
        <v>1178</v>
      </c>
      <c r="B109" s="275" t="s">
        <v>219</v>
      </c>
      <c r="C109" s="223">
        <f t="shared" ref="C109:C169" si="58">E109+J109+O109+T109+Y109</f>
        <v>0</v>
      </c>
      <c r="D109" s="276">
        <f>F109+K109+P109+U109+Z109</f>
        <v>4757</v>
      </c>
      <c r="E109" s="237">
        <v>0</v>
      </c>
      <c r="F109" s="273">
        <f t="shared" ref="F109:F168" si="59">G109+H109+I109</f>
        <v>709</v>
      </c>
      <c r="G109" s="273">
        <v>0</v>
      </c>
      <c r="H109" s="238">
        <v>0</v>
      </c>
      <c r="I109" s="238">
        <v>709</v>
      </c>
      <c r="J109" s="223">
        <v>0</v>
      </c>
      <c r="K109" s="261">
        <f t="shared" si="54"/>
        <v>837</v>
      </c>
      <c r="L109" s="261">
        <v>0</v>
      </c>
      <c r="M109" s="261">
        <v>0</v>
      </c>
      <c r="N109" s="261">
        <v>837</v>
      </c>
      <c r="O109" s="260">
        <v>0</v>
      </c>
      <c r="P109" s="261">
        <f t="shared" si="55"/>
        <v>952</v>
      </c>
      <c r="Q109" s="261">
        <v>0</v>
      </c>
      <c r="R109" s="261">
        <v>0</v>
      </c>
      <c r="S109" s="261">
        <f>837+423-150-158</f>
        <v>952</v>
      </c>
      <c r="T109" s="260">
        <v>0</v>
      </c>
      <c r="U109" s="261">
        <f>V109+W109+X109</f>
        <v>999</v>
      </c>
      <c r="V109" s="261">
        <v>0</v>
      </c>
      <c r="W109" s="261">
        <v>0</v>
      </c>
      <c r="X109" s="261">
        <f>837+423-261</f>
        <v>999</v>
      </c>
      <c r="Y109" s="260">
        <v>0</v>
      </c>
      <c r="Z109" s="261">
        <f>AA109+AB109+AC109</f>
        <v>1260</v>
      </c>
      <c r="AA109" s="261">
        <v>0</v>
      </c>
      <c r="AB109" s="261">
        <v>0</v>
      </c>
      <c r="AC109" s="261">
        <f>837+423</f>
        <v>1260</v>
      </c>
      <c r="AD109" s="264"/>
    </row>
    <row r="110" spans="1:30" s="18" customFormat="1" ht="46.9" customHeight="1" outlineLevel="1" x14ac:dyDescent="0.2">
      <c r="A110" s="276" t="s">
        <v>1179</v>
      </c>
      <c r="B110" s="275" t="s">
        <v>245</v>
      </c>
      <c r="C110" s="223">
        <f t="shared" si="58"/>
        <v>0</v>
      </c>
      <c r="D110" s="276">
        <f t="shared" ref="D110:D172" si="60">F110+K110+P110+U110+Z110</f>
        <v>202</v>
      </c>
      <c r="E110" s="237">
        <v>0</v>
      </c>
      <c r="F110" s="273">
        <f t="shared" si="59"/>
        <v>202</v>
      </c>
      <c r="G110" s="273">
        <v>0</v>
      </c>
      <c r="H110" s="238">
        <v>192</v>
      </c>
      <c r="I110" s="238">
        <v>10</v>
      </c>
      <c r="J110" s="223">
        <v>0</v>
      </c>
      <c r="K110" s="261">
        <v>0</v>
      </c>
      <c r="L110" s="261">
        <v>0</v>
      </c>
      <c r="M110" s="261">
        <v>0</v>
      </c>
      <c r="N110" s="261">
        <v>0</v>
      </c>
      <c r="O110" s="260">
        <v>0</v>
      </c>
      <c r="P110" s="261">
        <f>S110</f>
        <v>0</v>
      </c>
      <c r="Q110" s="261">
        <v>0</v>
      </c>
      <c r="R110" s="261">
        <v>0</v>
      </c>
      <c r="S110" s="261">
        <v>0</v>
      </c>
      <c r="T110" s="260">
        <v>0</v>
      </c>
      <c r="U110" s="261">
        <v>0</v>
      </c>
      <c r="V110" s="261">
        <v>0</v>
      </c>
      <c r="W110" s="261">
        <v>0</v>
      </c>
      <c r="X110" s="261">
        <v>0</v>
      </c>
      <c r="Y110" s="260">
        <v>0</v>
      </c>
      <c r="Z110" s="261">
        <v>0</v>
      </c>
      <c r="AA110" s="261">
        <v>0</v>
      </c>
      <c r="AB110" s="261">
        <v>0</v>
      </c>
      <c r="AC110" s="261">
        <v>0</v>
      </c>
      <c r="AD110" s="264"/>
    </row>
    <row r="111" spans="1:30" s="18" customFormat="1" ht="66.599999999999994" customHeight="1" outlineLevel="1" x14ac:dyDescent="0.2">
      <c r="A111" s="276" t="s">
        <v>1180</v>
      </c>
      <c r="B111" s="275" t="s">
        <v>246</v>
      </c>
      <c r="C111" s="223">
        <f t="shared" si="58"/>
        <v>0</v>
      </c>
      <c r="D111" s="276">
        <f t="shared" si="60"/>
        <v>106</v>
      </c>
      <c r="E111" s="237">
        <v>0</v>
      </c>
      <c r="F111" s="273">
        <f t="shared" si="59"/>
        <v>106</v>
      </c>
      <c r="G111" s="273">
        <v>0</v>
      </c>
      <c r="H111" s="238">
        <v>101</v>
      </c>
      <c r="I111" s="238">
        <v>5</v>
      </c>
      <c r="J111" s="223">
        <v>0</v>
      </c>
      <c r="K111" s="261">
        <v>0</v>
      </c>
      <c r="L111" s="261">
        <v>0</v>
      </c>
      <c r="M111" s="261">
        <v>0</v>
      </c>
      <c r="N111" s="261">
        <v>0</v>
      </c>
      <c r="O111" s="260">
        <v>0</v>
      </c>
      <c r="P111" s="261">
        <f t="shared" ref="P111:P172" si="61">S111</f>
        <v>0</v>
      </c>
      <c r="Q111" s="261">
        <v>0</v>
      </c>
      <c r="R111" s="261">
        <v>0</v>
      </c>
      <c r="S111" s="261">
        <v>0</v>
      </c>
      <c r="T111" s="260">
        <v>0</v>
      </c>
      <c r="U111" s="261">
        <v>0</v>
      </c>
      <c r="V111" s="261">
        <v>0</v>
      </c>
      <c r="W111" s="261">
        <v>0</v>
      </c>
      <c r="X111" s="261">
        <v>0</v>
      </c>
      <c r="Y111" s="260">
        <v>0</v>
      </c>
      <c r="Z111" s="261">
        <v>0</v>
      </c>
      <c r="AA111" s="261">
        <v>0</v>
      </c>
      <c r="AB111" s="261">
        <v>0</v>
      </c>
      <c r="AC111" s="261">
        <v>0</v>
      </c>
      <c r="AD111" s="264"/>
    </row>
    <row r="112" spans="1:30" s="18" customFormat="1" ht="73.900000000000006" customHeight="1" outlineLevel="1" x14ac:dyDescent="0.2">
      <c r="A112" s="276" t="s">
        <v>1181</v>
      </c>
      <c r="B112" s="275" t="s">
        <v>247</v>
      </c>
      <c r="C112" s="223">
        <f t="shared" si="58"/>
        <v>0</v>
      </c>
      <c r="D112" s="276">
        <f t="shared" si="60"/>
        <v>1288</v>
      </c>
      <c r="E112" s="237">
        <v>0</v>
      </c>
      <c r="F112" s="273">
        <f t="shared" si="59"/>
        <v>1288</v>
      </c>
      <c r="G112" s="273">
        <v>0</v>
      </c>
      <c r="H112" s="238">
        <v>1226</v>
      </c>
      <c r="I112" s="238">
        <v>62</v>
      </c>
      <c r="J112" s="223">
        <v>0</v>
      </c>
      <c r="K112" s="261">
        <v>0</v>
      </c>
      <c r="L112" s="261">
        <v>0</v>
      </c>
      <c r="M112" s="261">
        <v>0</v>
      </c>
      <c r="N112" s="261">
        <v>0</v>
      </c>
      <c r="O112" s="260">
        <v>0</v>
      </c>
      <c r="P112" s="261">
        <f t="shared" si="61"/>
        <v>0</v>
      </c>
      <c r="Q112" s="261">
        <v>0</v>
      </c>
      <c r="R112" s="261">
        <v>0</v>
      </c>
      <c r="S112" s="261">
        <v>0</v>
      </c>
      <c r="T112" s="260">
        <v>0</v>
      </c>
      <c r="U112" s="261">
        <v>0</v>
      </c>
      <c r="V112" s="261">
        <v>0</v>
      </c>
      <c r="W112" s="261">
        <v>0</v>
      </c>
      <c r="X112" s="261">
        <v>0</v>
      </c>
      <c r="Y112" s="260">
        <v>0</v>
      </c>
      <c r="Z112" s="261">
        <v>0</v>
      </c>
      <c r="AA112" s="261">
        <v>0</v>
      </c>
      <c r="AB112" s="261">
        <v>0</v>
      </c>
      <c r="AC112" s="261">
        <v>0</v>
      </c>
      <c r="AD112" s="264"/>
    </row>
    <row r="113" spans="1:30" s="18" customFormat="1" ht="123" customHeight="1" outlineLevel="1" x14ac:dyDescent="0.2">
      <c r="A113" s="276" t="s">
        <v>1182</v>
      </c>
      <c r="B113" s="275" t="s">
        <v>248</v>
      </c>
      <c r="C113" s="223">
        <f t="shared" si="58"/>
        <v>0</v>
      </c>
      <c r="D113" s="276">
        <f t="shared" si="60"/>
        <v>628</v>
      </c>
      <c r="E113" s="237">
        <v>0</v>
      </c>
      <c r="F113" s="273">
        <f t="shared" si="59"/>
        <v>628</v>
      </c>
      <c r="G113" s="273">
        <v>0</v>
      </c>
      <c r="H113" s="238">
        <v>598</v>
      </c>
      <c r="I113" s="238">
        <v>30</v>
      </c>
      <c r="J113" s="223">
        <v>0</v>
      </c>
      <c r="K113" s="261">
        <v>0</v>
      </c>
      <c r="L113" s="261">
        <v>0</v>
      </c>
      <c r="M113" s="261">
        <v>0</v>
      </c>
      <c r="N113" s="261">
        <v>0</v>
      </c>
      <c r="O113" s="260">
        <v>0</v>
      </c>
      <c r="P113" s="261">
        <f t="shared" si="61"/>
        <v>0</v>
      </c>
      <c r="Q113" s="261">
        <v>0</v>
      </c>
      <c r="R113" s="261">
        <v>0</v>
      </c>
      <c r="S113" s="261">
        <v>0</v>
      </c>
      <c r="T113" s="260">
        <v>0</v>
      </c>
      <c r="U113" s="261">
        <v>0</v>
      </c>
      <c r="V113" s="261">
        <v>0</v>
      </c>
      <c r="W113" s="261">
        <v>0</v>
      </c>
      <c r="X113" s="261">
        <v>0</v>
      </c>
      <c r="Y113" s="260">
        <v>0</v>
      </c>
      <c r="Z113" s="261">
        <v>0</v>
      </c>
      <c r="AA113" s="261">
        <v>0</v>
      </c>
      <c r="AB113" s="261">
        <v>0</v>
      </c>
      <c r="AC113" s="261">
        <v>0</v>
      </c>
      <c r="AD113" s="264"/>
    </row>
    <row r="114" spans="1:30" s="18" customFormat="1" ht="75" customHeight="1" outlineLevel="1" x14ac:dyDescent="0.2">
      <c r="A114" s="276" t="s">
        <v>1183</v>
      </c>
      <c r="B114" s="275" t="s">
        <v>249</v>
      </c>
      <c r="C114" s="223">
        <f t="shared" si="58"/>
        <v>0</v>
      </c>
      <c r="D114" s="276">
        <f t="shared" si="60"/>
        <v>243</v>
      </c>
      <c r="E114" s="237">
        <v>0</v>
      </c>
      <c r="F114" s="273">
        <f t="shared" si="59"/>
        <v>243</v>
      </c>
      <c r="G114" s="273">
        <v>0</v>
      </c>
      <c r="H114" s="238">
        <v>231</v>
      </c>
      <c r="I114" s="238">
        <v>12</v>
      </c>
      <c r="J114" s="223">
        <v>0</v>
      </c>
      <c r="K114" s="261">
        <v>0</v>
      </c>
      <c r="L114" s="261">
        <v>0</v>
      </c>
      <c r="M114" s="261">
        <v>0</v>
      </c>
      <c r="N114" s="261">
        <v>0</v>
      </c>
      <c r="O114" s="260">
        <v>0</v>
      </c>
      <c r="P114" s="261">
        <f t="shared" si="61"/>
        <v>0</v>
      </c>
      <c r="Q114" s="261">
        <v>0</v>
      </c>
      <c r="R114" s="261">
        <v>0</v>
      </c>
      <c r="S114" s="261">
        <v>0</v>
      </c>
      <c r="T114" s="260">
        <v>0</v>
      </c>
      <c r="U114" s="261">
        <v>0</v>
      </c>
      <c r="V114" s="261">
        <v>0</v>
      </c>
      <c r="W114" s="261">
        <v>0</v>
      </c>
      <c r="X114" s="261">
        <v>0</v>
      </c>
      <c r="Y114" s="260">
        <v>0</v>
      </c>
      <c r="Z114" s="261">
        <v>0</v>
      </c>
      <c r="AA114" s="261">
        <v>0</v>
      </c>
      <c r="AB114" s="261">
        <v>0</v>
      </c>
      <c r="AC114" s="261">
        <v>0</v>
      </c>
      <c r="AD114" s="264"/>
    </row>
    <row r="115" spans="1:30" s="18" customFormat="1" ht="76.5" customHeight="1" outlineLevel="1" x14ac:dyDescent="0.2">
      <c r="A115" s="276" t="s">
        <v>1184</v>
      </c>
      <c r="B115" s="275" t="s">
        <v>676</v>
      </c>
      <c r="C115" s="223">
        <f t="shared" si="58"/>
        <v>0</v>
      </c>
      <c r="D115" s="276">
        <f t="shared" si="60"/>
        <v>428</v>
      </c>
      <c r="E115" s="237">
        <v>0</v>
      </c>
      <c r="F115" s="273">
        <f t="shared" si="59"/>
        <v>428</v>
      </c>
      <c r="G115" s="273">
        <v>0</v>
      </c>
      <c r="H115" s="238">
        <v>407</v>
      </c>
      <c r="I115" s="238">
        <v>21</v>
      </c>
      <c r="J115" s="223">
        <v>0</v>
      </c>
      <c r="K115" s="261">
        <v>0</v>
      </c>
      <c r="L115" s="261">
        <v>0</v>
      </c>
      <c r="M115" s="261">
        <v>0</v>
      </c>
      <c r="N115" s="261">
        <v>0</v>
      </c>
      <c r="O115" s="260">
        <v>0</v>
      </c>
      <c r="P115" s="261">
        <f t="shared" si="61"/>
        <v>0</v>
      </c>
      <c r="Q115" s="261">
        <v>0</v>
      </c>
      <c r="R115" s="261">
        <v>0</v>
      </c>
      <c r="S115" s="261">
        <v>0</v>
      </c>
      <c r="T115" s="260">
        <v>0</v>
      </c>
      <c r="U115" s="261">
        <v>0</v>
      </c>
      <c r="V115" s="261">
        <v>0</v>
      </c>
      <c r="W115" s="261">
        <v>0</v>
      </c>
      <c r="X115" s="261">
        <v>0</v>
      </c>
      <c r="Y115" s="260">
        <v>0</v>
      </c>
      <c r="Z115" s="261">
        <v>0</v>
      </c>
      <c r="AA115" s="261">
        <v>0</v>
      </c>
      <c r="AB115" s="261">
        <v>0</v>
      </c>
      <c r="AC115" s="261">
        <v>0</v>
      </c>
      <c r="AD115" s="264"/>
    </row>
    <row r="116" spans="1:30" s="18" customFormat="1" ht="59.45" customHeight="1" outlineLevel="1" x14ac:dyDescent="0.2">
      <c r="A116" s="276" t="s">
        <v>1185</v>
      </c>
      <c r="B116" s="275" t="s">
        <v>250</v>
      </c>
      <c r="C116" s="223">
        <f t="shared" si="58"/>
        <v>0</v>
      </c>
      <c r="D116" s="276">
        <f t="shared" si="60"/>
        <v>20</v>
      </c>
      <c r="E116" s="237">
        <v>0</v>
      </c>
      <c r="F116" s="273">
        <f t="shared" si="59"/>
        <v>20</v>
      </c>
      <c r="G116" s="273">
        <v>0</v>
      </c>
      <c r="H116" s="238">
        <v>19</v>
      </c>
      <c r="I116" s="238">
        <v>1</v>
      </c>
      <c r="J116" s="223">
        <v>0</v>
      </c>
      <c r="K116" s="261">
        <v>0</v>
      </c>
      <c r="L116" s="261">
        <v>0</v>
      </c>
      <c r="M116" s="261">
        <v>0</v>
      </c>
      <c r="N116" s="261">
        <v>0</v>
      </c>
      <c r="O116" s="260">
        <v>0</v>
      </c>
      <c r="P116" s="261">
        <f t="shared" si="61"/>
        <v>0</v>
      </c>
      <c r="Q116" s="261">
        <v>0</v>
      </c>
      <c r="R116" s="261">
        <v>0</v>
      </c>
      <c r="S116" s="261">
        <v>0</v>
      </c>
      <c r="T116" s="260">
        <v>0</v>
      </c>
      <c r="U116" s="261">
        <v>0</v>
      </c>
      <c r="V116" s="261">
        <v>0</v>
      </c>
      <c r="W116" s="261">
        <v>0</v>
      </c>
      <c r="X116" s="261">
        <v>0</v>
      </c>
      <c r="Y116" s="260">
        <v>0</v>
      </c>
      <c r="Z116" s="261">
        <v>0</v>
      </c>
      <c r="AA116" s="261">
        <v>0</v>
      </c>
      <c r="AB116" s="261">
        <v>0</v>
      </c>
      <c r="AC116" s="261">
        <v>0</v>
      </c>
      <c r="AD116" s="264"/>
    </row>
    <row r="117" spans="1:30" s="18" customFormat="1" ht="100.9" customHeight="1" outlineLevel="1" x14ac:dyDescent="0.2">
      <c r="A117" s="276" t="s">
        <v>1186</v>
      </c>
      <c r="B117" s="275" t="s">
        <v>251</v>
      </c>
      <c r="C117" s="223">
        <f t="shared" si="58"/>
        <v>0</v>
      </c>
      <c r="D117" s="276">
        <f t="shared" si="60"/>
        <v>57</v>
      </c>
      <c r="E117" s="237">
        <v>0</v>
      </c>
      <c r="F117" s="273">
        <f t="shared" si="59"/>
        <v>57</v>
      </c>
      <c r="G117" s="273">
        <v>0</v>
      </c>
      <c r="H117" s="238">
        <v>54</v>
      </c>
      <c r="I117" s="238">
        <v>3</v>
      </c>
      <c r="J117" s="223">
        <v>0</v>
      </c>
      <c r="K117" s="261">
        <v>0</v>
      </c>
      <c r="L117" s="261">
        <v>0</v>
      </c>
      <c r="M117" s="261">
        <v>0</v>
      </c>
      <c r="N117" s="261">
        <v>0</v>
      </c>
      <c r="O117" s="260">
        <v>0</v>
      </c>
      <c r="P117" s="261">
        <f t="shared" si="61"/>
        <v>0</v>
      </c>
      <c r="Q117" s="261">
        <v>0</v>
      </c>
      <c r="R117" s="261">
        <v>0</v>
      </c>
      <c r="S117" s="261">
        <v>0</v>
      </c>
      <c r="T117" s="260">
        <v>0</v>
      </c>
      <c r="U117" s="261">
        <v>0</v>
      </c>
      <c r="V117" s="261">
        <v>0</v>
      </c>
      <c r="W117" s="261">
        <v>0</v>
      </c>
      <c r="X117" s="261">
        <v>0</v>
      </c>
      <c r="Y117" s="260">
        <v>0</v>
      </c>
      <c r="Z117" s="261">
        <v>0</v>
      </c>
      <c r="AA117" s="261">
        <v>0</v>
      </c>
      <c r="AB117" s="261">
        <v>0</v>
      </c>
      <c r="AC117" s="261">
        <v>0</v>
      </c>
      <c r="AD117" s="264"/>
    </row>
    <row r="118" spans="1:30" s="18" customFormat="1" ht="51" customHeight="1" outlineLevel="1" x14ac:dyDescent="0.2">
      <c r="A118" s="276" t="s">
        <v>1187</v>
      </c>
      <c r="B118" s="275" t="s">
        <v>252</v>
      </c>
      <c r="C118" s="223">
        <f t="shared" si="58"/>
        <v>0</v>
      </c>
      <c r="D118" s="276">
        <f t="shared" si="60"/>
        <v>33</v>
      </c>
      <c r="E118" s="237">
        <v>0</v>
      </c>
      <c r="F118" s="273">
        <f t="shared" si="59"/>
        <v>33</v>
      </c>
      <c r="G118" s="273">
        <v>0</v>
      </c>
      <c r="H118" s="238">
        <v>31</v>
      </c>
      <c r="I118" s="238">
        <v>2</v>
      </c>
      <c r="J118" s="223">
        <v>0</v>
      </c>
      <c r="K118" s="261">
        <v>0</v>
      </c>
      <c r="L118" s="261">
        <v>0</v>
      </c>
      <c r="M118" s="261">
        <v>0</v>
      </c>
      <c r="N118" s="261">
        <v>0</v>
      </c>
      <c r="O118" s="260">
        <v>0</v>
      </c>
      <c r="P118" s="261">
        <f t="shared" si="61"/>
        <v>0</v>
      </c>
      <c r="Q118" s="261">
        <v>0</v>
      </c>
      <c r="R118" s="261">
        <v>0</v>
      </c>
      <c r="S118" s="261">
        <v>0</v>
      </c>
      <c r="T118" s="260">
        <v>0</v>
      </c>
      <c r="U118" s="261">
        <v>0</v>
      </c>
      <c r="V118" s="261">
        <v>0</v>
      </c>
      <c r="W118" s="261">
        <v>0</v>
      </c>
      <c r="X118" s="261">
        <v>0</v>
      </c>
      <c r="Y118" s="260">
        <v>0</v>
      </c>
      <c r="Z118" s="261">
        <v>0</v>
      </c>
      <c r="AA118" s="261">
        <v>0</v>
      </c>
      <c r="AB118" s="261">
        <v>0</v>
      </c>
      <c r="AC118" s="261">
        <v>0</v>
      </c>
      <c r="AD118" s="264"/>
    </row>
    <row r="119" spans="1:30" s="18" customFormat="1" ht="78" customHeight="1" outlineLevel="1" x14ac:dyDescent="0.2">
      <c r="A119" s="276" t="s">
        <v>1188</v>
      </c>
      <c r="B119" s="275" t="s">
        <v>253</v>
      </c>
      <c r="C119" s="223">
        <f t="shared" si="58"/>
        <v>0</v>
      </c>
      <c r="D119" s="276">
        <f t="shared" si="60"/>
        <v>630</v>
      </c>
      <c r="E119" s="237">
        <v>0</v>
      </c>
      <c r="F119" s="273">
        <f t="shared" si="59"/>
        <v>630</v>
      </c>
      <c r="G119" s="273">
        <v>0</v>
      </c>
      <c r="H119" s="238">
        <v>600</v>
      </c>
      <c r="I119" s="238">
        <v>30</v>
      </c>
      <c r="J119" s="223">
        <v>0</v>
      </c>
      <c r="K119" s="261">
        <v>0</v>
      </c>
      <c r="L119" s="261">
        <v>0</v>
      </c>
      <c r="M119" s="261">
        <v>0</v>
      </c>
      <c r="N119" s="261">
        <v>0</v>
      </c>
      <c r="O119" s="260">
        <v>0</v>
      </c>
      <c r="P119" s="261">
        <f t="shared" si="61"/>
        <v>0</v>
      </c>
      <c r="Q119" s="261">
        <v>0</v>
      </c>
      <c r="R119" s="261">
        <v>0</v>
      </c>
      <c r="S119" s="261">
        <v>0</v>
      </c>
      <c r="T119" s="260">
        <v>0</v>
      </c>
      <c r="U119" s="261">
        <v>0</v>
      </c>
      <c r="V119" s="261">
        <v>0</v>
      </c>
      <c r="W119" s="261">
        <v>0</v>
      </c>
      <c r="X119" s="261">
        <v>0</v>
      </c>
      <c r="Y119" s="260">
        <v>0</v>
      </c>
      <c r="Z119" s="261">
        <v>0</v>
      </c>
      <c r="AA119" s="261">
        <v>0</v>
      </c>
      <c r="AB119" s="261">
        <v>0</v>
      </c>
      <c r="AC119" s="261">
        <v>0</v>
      </c>
      <c r="AD119" s="264"/>
    </row>
    <row r="120" spans="1:30" s="18" customFormat="1" ht="46.9" customHeight="1" outlineLevel="1" x14ac:dyDescent="0.2">
      <c r="A120" s="276" t="s">
        <v>1189</v>
      </c>
      <c r="B120" s="275" t="s">
        <v>254</v>
      </c>
      <c r="C120" s="223">
        <f t="shared" si="58"/>
        <v>0</v>
      </c>
      <c r="D120" s="276">
        <f t="shared" si="60"/>
        <v>139</v>
      </c>
      <c r="E120" s="237">
        <v>0</v>
      </c>
      <c r="F120" s="273">
        <f t="shared" si="59"/>
        <v>139</v>
      </c>
      <c r="G120" s="273">
        <v>0</v>
      </c>
      <c r="H120" s="238">
        <v>132</v>
      </c>
      <c r="I120" s="238">
        <v>7</v>
      </c>
      <c r="J120" s="223">
        <v>0</v>
      </c>
      <c r="K120" s="261">
        <v>0</v>
      </c>
      <c r="L120" s="261">
        <v>0</v>
      </c>
      <c r="M120" s="261">
        <v>0</v>
      </c>
      <c r="N120" s="261">
        <v>0</v>
      </c>
      <c r="O120" s="260">
        <v>0</v>
      </c>
      <c r="P120" s="261">
        <f t="shared" si="61"/>
        <v>0</v>
      </c>
      <c r="Q120" s="261">
        <v>0</v>
      </c>
      <c r="R120" s="261">
        <v>0</v>
      </c>
      <c r="S120" s="261">
        <v>0</v>
      </c>
      <c r="T120" s="260">
        <v>0</v>
      </c>
      <c r="U120" s="261">
        <v>0</v>
      </c>
      <c r="V120" s="261">
        <v>0</v>
      </c>
      <c r="W120" s="261">
        <v>0</v>
      </c>
      <c r="X120" s="261">
        <v>0</v>
      </c>
      <c r="Y120" s="260">
        <v>0</v>
      </c>
      <c r="Z120" s="261">
        <v>0</v>
      </c>
      <c r="AA120" s="261">
        <v>0</v>
      </c>
      <c r="AB120" s="261">
        <v>0</v>
      </c>
      <c r="AC120" s="261">
        <v>0</v>
      </c>
      <c r="AD120" s="264"/>
    </row>
    <row r="121" spans="1:30" s="18" customFormat="1" ht="58.9" customHeight="1" outlineLevel="1" x14ac:dyDescent="0.2">
      <c r="A121" s="276" t="s">
        <v>1190</v>
      </c>
      <c r="B121" s="275" t="s">
        <v>255</v>
      </c>
      <c r="C121" s="223">
        <f t="shared" si="58"/>
        <v>0</v>
      </c>
      <c r="D121" s="276">
        <f t="shared" si="60"/>
        <v>188</v>
      </c>
      <c r="E121" s="237">
        <v>0</v>
      </c>
      <c r="F121" s="273">
        <f t="shared" si="59"/>
        <v>188</v>
      </c>
      <c r="G121" s="273">
        <v>0</v>
      </c>
      <c r="H121" s="238">
        <v>179</v>
      </c>
      <c r="I121" s="238">
        <v>9</v>
      </c>
      <c r="J121" s="223">
        <v>0</v>
      </c>
      <c r="K121" s="261">
        <v>0</v>
      </c>
      <c r="L121" s="261">
        <v>0</v>
      </c>
      <c r="M121" s="261">
        <v>0</v>
      </c>
      <c r="N121" s="261">
        <v>0</v>
      </c>
      <c r="O121" s="260">
        <v>0</v>
      </c>
      <c r="P121" s="261">
        <f t="shared" si="61"/>
        <v>0</v>
      </c>
      <c r="Q121" s="261">
        <v>0</v>
      </c>
      <c r="R121" s="261">
        <v>0</v>
      </c>
      <c r="S121" s="261">
        <v>0</v>
      </c>
      <c r="T121" s="260">
        <v>0</v>
      </c>
      <c r="U121" s="261">
        <v>0</v>
      </c>
      <c r="V121" s="261">
        <v>0</v>
      </c>
      <c r="W121" s="261">
        <v>0</v>
      </c>
      <c r="X121" s="261">
        <v>0</v>
      </c>
      <c r="Y121" s="260">
        <v>0</v>
      </c>
      <c r="Z121" s="261">
        <v>0</v>
      </c>
      <c r="AA121" s="261">
        <v>0</v>
      </c>
      <c r="AB121" s="261">
        <v>0</v>
      </c>
      <c r="AC121" s="261">
        <v>0</v>
      </c>
      <c r="AD121" s="264"/>
    </row>
    <row r="122" spans="1:30" s="18" customFormat="1" ht="63.6" customHeight="1" outlineLevel="1" x14ac:dyDescent="0.2">
      <c r="A122" s="276" t="s">
        <v>1191</v>
      </c>
      <c r="B122" s="275" t="s">
        <v>256</v>
      </c>
      <c r="C122" s="223">
        <f t="shared" si="58"/>
        <v>0</v>
      </c>
      <c r="D122" s="276">
        <f t="shared" si="60"/>
        <v>415</v>
      </c>
      <c r="E122" s="237">
        <v>0</v>
      </c>
      <c r="F122" s="273">
        <f t="shared" si="59"/>
        <v>415</v>
      </c>
      <c r="G122" s="273">
        <v>0</v>
      </c>
      <c r="H122" s="238">
        <v>395</v>
      </c>
      <c r="I122" s="238">
        <v>20</v>
      </c>
      <c r="J122" s="223">
        <v>0</v>
      </c>
      <c r="K122" s="261">
        <v>0</v>
      </c>
      <c r="L122" s="261">
        <v>0</v>
      </c>
      <c r="M122" s="261">
        <v>0</v>
      </c>
      <c r="N122" s="261">
        <v>0</v>
      </c>
      <c r="O122" s="260">
        <v>0</v>
      </c>
      <c r="P122" s="261">
        <f t="shared" si="61"/>
        <v>0</v>
      </c>
      <c r="Q122" s="261">
        <v>0</v>
      </c>
      <c r="R122" s="261">
        <v>0</v>
      </c>
      <c r="S122" s="261">
        <v>0</v>
      </c>
      <c r="T122" s="260">
        <v>0</v>
      </c>
      <c r="U122" s="261">
        <v>0</v>
      </c>
      <c r="V122" s="261">
        <v>0</v>
      </c>
      <c r="W122" s="261">
        <v>0</v>
      </c>
      <c r="X122" s="261">
        <v>0</v>
      </c>
      <c r="Y122" s="260">
        <v>0</v>
      </c>
      <c r="Z122" s="261">
        <v>0</v>
      </c>
      <c r="AA122" s="261">
        <v>0</v>
      </c>
      <c r="AB122" s="261">
        <v>0</v>
      </c>
      <c r="AC122" s="261">
        <v>0</v>
      </c>
      <c r="AD122" s="264"/>
    </row>
    <row r="123" spans="1:30" s="18" customFormat="1" ht="75" customHeight="1" outlineLevel="1" x14ac:dyDescent="0.2">
      <c r="A123" s="276" t="s">
        <v>1192</v>
      </c>
      <c r="B123" s="275" t="s">
        <v>257</v>
      </c>
      <c r="C123" s="223">
        <f t="shared" si="58"/>
        <v>0</v>
      </c>
      <c r="D123" s="276">
        <f t="shared" si="60"/>
        <v>125</v>
      </c>
      <c r="E123" s="237">
        <v>0</v>
      </c>
      <c r="F123" s="273">
        <f t="shared" si="59"/>
        <v>125</v>
      </c>
      <c r="G123" s="273">
        <v>0</v>
      </c>
      <c r="H123" s="238">
        <v>119</v>
      </c>
      <c r="I123" s="238">
        <v>6</v>
      </c>
      <c r="J123" s="223">
        <v>0</v>
      </c>
      <c r="K123" s="261">
        <v>0</v>
      </c>
      <c r="L123" s="261">
        <v>0</v>
      </c>
      <c r="M123" s="261">
        <v>0</v>
      </c>
      <c r="N123" s="261">
        <v>0</v>
      </c>
      <c r="O123" s="260">
        <v>0</v>
      </c>
      <c r="P123" s="261">
        <f t="shared" si="61"/>
        <v>0</v>
      </c>
      <c r="Q123" s="261">
        <v>0</v>
      </c>
      <c r="R123" s="261">
        <v>0</v>
      </c>
      <c r="S123" s="261">
        <v>0</v>
      </c>
      <c r="T123" s="260">
        <v>0</v>
      </c>
      <c r="U123" s="261">
        <v>0</v>
      </c>
      <c r="V123" s="261">
        <v>0</v>
      </c>
      <c r="W123" s="261">
        <v>0</v>
      </c>
      <c r="X123" s="261">
        <v>0</v>
      </c>
      <c r="Y123" s="260">
        <v>0</v>
      </c>
      <c r="Z123" s="261">
        <v>0</v>
      </c>
      <c r="AA123" s="261">
        <v>0</v>
      </c>
      <c r="AB123" s="261">
        <v>0</v>
      </c>
      <c r="AC123" s="261">
        <v>0</v>
      </c>
      <c r="AD123" s="264"/>
    </row>
    <row r="124" spans="1:30" s="18" customFormat="1" ht="78.75" customHeight="1" outlineLevel="1" x14ac:dyDescent="0.2">
      <c r="A124" s="276" t="s">
        <v>1193</v>
      </c>
      <c r="B124" s="275" t="s">
        <v>258</v>
      </c>
      <c r="C124" s="223">
        <f t="shared" si="58"/>
        <v>0</v>
      </c>
      <c r="D124" s="276">
        <f t="shared" si="60"/>
        <v>230</v>
      </c>
      <c r="E124" s="237">
        <v>0</v>
      </c>
      <c r="F124" s="273">
        <f t="shared" si="59"/>
        <v>230</v>
      </c>
      <c r="G124" s="273">
        <v>0</v>
      </c>
      <c r="H124" s="238">
        <v>219</v>
      </c>
      <c r="I124" s="238">
        <v>11</v>
      </c>
      <c r="J124" s="223">
        <v>0</v>
      </c>
      <c r="K124" s="261">
        <v>0</v>
      </c>
      <c r="L124" s="261">
        <v>0</v>
      </c>
      <c r="M124" s="261">
        <v>0</v>
      </c>
      <c r="N124" s="261">
        <v>0</v>
      </c>
      <c r="O124" s="260">
        <v>0</v>
      </c>
      <c r="P124" s="261">
        <f t="shared" si="61"/>
        <v>0</v>
      </c>
      <c r="Q124" s="261">
        <v>0</v>
      </c>
      <c r="R124" s="261">
        <v>0</v>
      </c>
      <c r="S124" s="261">
        <v>0</v>
      </c>
      <c r="T124" s="260">
        <v>0</v>
      </c>
      <c r="U124" s="261">
        <v>0</v>
      </c>
      <c r="V124" s="261">
        <v>0</v>
      </c>
      <c r="W124" s="261">
        <v>0</v>
      </c>
      <c r="X124" s="261">
        <v>0</v>
      </c>
      <c r="Y124" s="260">
        <v>0</v>
      </c>
      <c r="Z124" s="261">
        <v>0</v>
      </c>
      <c r="AA124" s="261">
        <v>0</v>
      </c>
      <c r="AB124" s="261">
        <v>0</v>
      </c>
      <c r="AC124" s="261">
        <v>0</v>
      </c>
      <c r="AD124" s="264"/>
    </row>
    <row r="125" spans="1:30" s="18" customFormat="1" ht="73.900000000000006" customHeight="1" outlineLevel="1" x14ac:dyDescent="0.2">
      <c r="A125" s="276" t="s">
        <v>1194</v>
      </c>
      <c r="B125" s="275" t="s">
        <v>259</v>
      </c>
      <c r="C125" s="223">
        <f t="shared" si="58"/>
        <v>0</v>
      </c>
      <c r="D125" s="276">
        <f t="shared" si="60"/>
        <v>532</v>
      </c>
      <c r="E125" s="237">
        <v>0</v>
      </c>
      <c r="F125" s="273">
        <f t="shared" si="59"/>
        <v>532</v>
      </c>
      <c r="G125" s="273">
        <v>0</v>
      </c>
      <c r="H125" s="238">
        <v>507</v>
      </c>
      <c r="I125" s="238">
        <v>25</v>
      </c>
      <c r="J125" s="223">
        <v>0</v>
      </c>
      <c r="K125" s="261">
        <v>0</v>
      </c>
      <c r="L125" s="261">
        <v>0</v>
      </c>
      <c r="M125" s="261">
        <v>0</v>
      </c>
      <c r="N125" s="261">
        <v>0</v>
      </c>
      <c r="O125" s="260">
        <v>0</v>
      </c>
      <c r="P125" s="261">
        <f t="shared" si="61"/>
        <v>0</v>
      </c>
      <c r="Q125" s="261">
        <v>0</v>
      </c>
      <c r="R125" s="261">
        <v>0</v>
      </c>
      <c r="S125" s="261">
        <v>0</v>
      </c>
      <c r="T125" s="260">
        <v>0</v>
      </c>
      <c r="U125" s="261">
        <v>0</v>
      </c>
      <c r="V125" s="261">
        <v>0</v>
      </c>
      <c r="W125" s="261">
        <v>0</v>
      </c>
      <c r="X125" s="261">
        <v>0</v>
      </c>
      <c r="Y125" s="260">
        <v>0</v>
      </c>
      <c r="Z125" s="261">
        <v>0</v>
      </c>
      <c r="AA125" s="261">
        <v>0</v>
      </c>
      <c r="AB125" s="261">
        <v>0</v>
      </c>
      <c r="AC125" s="261">
        <v>0</v>
      </c>
      <c r="AD125" s="264"/>
    </row>
    <row r="126" spans="1:30" s="18" customFormat="1" ht="75" customHeight="1" outlineLevel="1" x14ac:dyDescent="0.2">
      <c r="A126" s="276" t="s">
        <v>1195</v>
      </c>
      <c r="B126" s="275" t="s">
        <v>260</v>
      </c>
      <c r="C126" s="223">
        <f t="shared" si="58"/>
        <v>0</v>
      </c>
      <c r="D126" s="276">
        <f t="shared" si="60"/>
        <v>1055</v>
      </c>
      <c r="E126" s="237">
        <v>0</v>
      </c>
      <c r="F126" s="273">
        <f t="shared" si="59"/>
        <v>1055</v>
      </c>
      <c r="G126" s="273">
        <v>0</v>
      </c>
      <c r="H126" s="238">
        <v>1005</v>
      </c>
      <c r="I126" s="238">
        <v>50</v>
      </c>
      <c r="J126" s="223">
        <v>0</v>
      </c>
      <c r="K126" s="261">
        <v>0</v>
      </c>
      <c r="L126" s="261">
        <v>0</v>
      </c>
      <c r="M126" s="261">
        <v>0</v>
      </c>
      <c r="N126" s="261">
        <v>0</v>
      </c>
      <c r="O126" s="260">
        <v>0</v>
      </c>
      <c r="P126" s="261">
        <f t="shared" si="61"/>
        <v>0</v>
      </c>
      <c r="Q126" s="261">
        <v>0</v>
      </c>
      <c r="R126" s="261">
        <v>0</v>
      </c>
      <c r="S126" s="261">
        <v>0</v>
      </c>
      <c r="T126" s="260">
        <v>0</v>
      </c>
      <c r="U126" s="261">
        <v>0</v>
      </c>
      <c r="V126" s="261">
        <v>0</v>
      </c>
      <c r="W126" s="261">
        <v>0</v>
      </c>
      <c r="X126" s="261">
        <v>0</v>
      </c>
      <c r="Y126" s="260">
        <v>0</v>
      </c>
      <c r="Z126" s="261">
        <v>0</v>
      </c>
      <c r="AA126" s="261">
        <v>0</v>
      </c>
      <c r="AB126" s="261">
        <v>0</v>
      </c>
      <c r="AC126" s="261">
        <v>0</v>
      </c>
      <c r="AD126" s="264"/>
    </row>
    <row r="127" spans="1:30" s="18" customFormat="1" ht="75" customHeight="1" outlineLevel="1" x14ac:dyDescent="0.2">
      <c r="A127" s="276" t="s">
        <v>1196</v>
      </c>
      <c r="B127" s="275" t="s">
        <v>261</v>
      </c>
      <c r="C127" s="223">
        <f t="shared" si="58"/>
        <v>0</v>
      </c>
      <c r="D127" s="276">
        <f t="shared" si="60"/>
        <v>386</v>
      </c>
      <c r="E127" s="237">
        <v>0</v>
      </c>
      <c r="F127" s="273">
        <f t="shared" si="59"/>
        <v>386</v>
      </c>
      <c r="G127" s="273">
        <v>0</v>
      </c>
      <c r="H127" s="238">
        <v>367</v>
      </c>
      <c r="I127" s="238">
        <v>19</v>
      </c>
      <c r="J127" s="223">
        <v>0</v>
      </c>
      <c r="K127" s="261">
        <v>0</v>
      </c>
      <c r="L127" s="261">
        <v>0</v>
      </c>
      <c r="M127" s="261">
        <v>0</v>
      </c>
      <c r="N127" s="261">
        <v>0</v>
      </c>
      <c r="O127" s="260">
        <v>0</v>
      </c>
      <c r="P127" s="261">
        <f t="shared" si="61"/>
        <v>0</v>
      </c>
      <c r="Q127" s="261">
        <v>0</v>
      </c>
      <c r="R127" s="261">
        <v>0</v>
      </c>
      <c r="S127" s="261">
        <v>0</v>
      </c>
      <c r="T127" s="260">
        <v>0</v>
      </c>
      <c r="U127" s="261">
        <v>0</v>
      </c>
      <c r="V127" s="261">
        <v>0</v>
      </c>
      <c r="W127" s="261">
        <v>0</v>
      </c>
      <c r="X127" s="261">
        <v>0</v>
      </c>
      <c r="Y127" s="260">
        <v>0</v>
      </c>
      <c r="Z127" s="261">
        <v>0</v>
      </c>
      <c r="AA127" s="261">
        <v>0</v>
      </c>
      <c r="AB127" s="261">
        <v>0</v>
      </c>
      <c r="AC127" s="261">
        <v>0</v>
      </c>
      <c r="AD127" s="264"/>
    </row>
    <row r="128" spans="1:30" s="18" customFormat="1" ht="73.900000000000006" customHeight="1" outlineLevel="1" x14ac:dyDescent="0.2">
      <c r="A128" s="276" t="s">
        <v>1197</v>
      </c>
      <c r="B128" s="275" t="s">
        <v>262</v>
      </c>
      <c r="C128" s="223">
        <f t="shared" si="58"/>
        <v>0</v>
      </c>
      <c r="D128" s="276">
        <f t="shared" si="60"/>
        <v>94</v>
      </c>
      <c r="E128" s="237">
        <v>0</v>
      </c>
      <c r="F128" s="273">
        <f t="shared" si="59"/>
        <v>94</v>
      </c>
      <c r="G128" s="273">
        <v>0</v>
      </c>
      <c r="H128" s="238">
        <v>90</v>
      </c>
      <c r="I128" s="238">
        <v>4</v>
      </c>
      <c r="J128" s="223">
        <v>0</v>
      </c>
      <c r="K128" s="261">
        <v>0</v>
      </c>
      <c r="L128" s="261">
        <v>0</v>
      </c>
      <c r="M128" s="261">
        <v>0</v>
      </c>
      <c r="N128" s="261">
        <v>0</v>
      </c>
      <c r="O128" s="260">
        <v>0</v>
      </c>
      <c r="P128" s="261">
        <f t="shared" si="61"/>
        <v>0</v>
      </c>
      <c r="Q128" s="261">
        <v>0</v>
      </c>
      <c r="R128" s="261">
        <v>0</v>
      </c>
      <c r="S128" s="261">
        <v>0</v>
      </c>
      <c r="T128" s="260">
        <v>0</v>
      </c>
      <c r="U128" s="261">
        <v>0</v>
      </c>
      <c r="V128" s="261">
        <v>0</v>
      </c>
      <c r="W128" s="261">
        <v>0</v>
      </c>
      <c r="X128" s="261">
        <v>0</v>
      </c>
      <c r="Y128" s="260">
        <v>0</v>
      </c>
      <c r="Z128" s="261">
        <v>0</v>
      </c>
      <c r="AA128" s="261">
        <v>0</v>
      </c>
      <c r="AB128" s="261">
        <v>0</v>
      </c>
      <c r="AC128" s="261">
        <v>0</v>
      </c>
      <c r="AD128" s="264"/>
    </row>
    <row r="129" spans="1:30" s="18" customFormat="1" ht="68.45" customHeight="1" outlineLevel="1" x14ac:dyDescent="0.2">
      <c r="A129" s="276" t="s">
        <v>1198</v>
      </c>
      <c r="B129" s="275" t="s">
        <v>677</v>
      </c>
      <c r="C129" s="223">
        <f t="shared" si="58"/>
        <v>0</v>
      </c>
      <c r="D129" s="276">
        <f t="shared" si="60"/>
        <v>41</v>
      </c>
      <c r="E129" s="237">
        <v>0</v>
      </c>
      <c r="F129" s="273">
        <f t="shared" si="59"/>
        <v>41</v>
      </c>
      <c r="G129" s="273">
        <v>0</v>
      </c>
      <c r="H129" s="238">
        <v>39</v>
      </c>
      <c r="I129" s="238">
        <v>2</v>
      </c>
      <c r="J129" s="223">
        <v>0</v>
      </c>
      <c r="K129" s="261">
        <v>0</v>
      </c>
      <c r="L129" s="261">
        <v>0</v>
      </c>
      <c r="M129" s="261">
        <v>0</v>
      </c>
      <c r="N129" s="261">
        <v>0</v>
      </c>
      <c r="O129" s="260">
        <v>0</v>
      </c>
      <c r="P129" s="261">
        <f t="shared" si="61"/>
        <v>0</v>
      </c>
      <c r="Q129" s="261">
        <v>0</v>
      </c>
      <c r="R129" s="261">
        <v>0</v>
      </c>
      <c r="S129" s="261">
        <v>0</v>
      </c>
      <c r="T129" s="260">
        <v>0</v>
      </c>
      <c r="U129" s="261">
        <v>0</v>
      </c>
      <c r="V129" s="261">
        <v>0</v>
      </c>
      <c r="W129" s="261">
        <v>0</v>
      </c>
      <c r="X129" s="261">
        <v>0</v>
      </c>
      <c r="Y129" s="260">
        <v>0</v>
      </c>
      <c r="Z129" s="261">
        <v>0</v>
      </c>
      <c r="AA129" s="261">
        <v>0</v>
      </c>
      <c r="AB129" s="261">
        <v>0</v>
      </c>
      <c r="AC129" s="261">
        <v>0</v>
      </c>
      <c r="AD129" s="264"/>
    </row>
    <row r="130" spans="1:30" s="18" customFormat="1" ht="66" customHeight="1" outlineLevel="1" x14ac:dyDescent="0.2">
      <c r="A130" s="276" t="s">
        <v>1199</v>
      </c>
      <c r="B130" s="275" t="s">
        <v>678</v>
      </c>
      <c r="C130" s="223">
        <f t="shared" si="58"/>
        <v>0</v>
      </c>
      <c r="D130" s="276">
        <f t="shared" si="60"/>
        <v>95</v>
      </c>
      <c r="E130" s="237">
        <v>0</v>
      </c>
      <c r="F130" s="273">
        <f t="shared" si="59"/>
        <v>95</v>
      </c>
      <c r="G130" s="273">
        <v>0</v>
      </c>
      <c r="H130" s="238">
        <v>90</v>
      </c>
      <c r="I130" s="238">
        <v>5</v>
      </c>
      <c r="J130" s="223">
        <v>0</v>
      </c>
      <c r="K130" s="261">
        <v>0</v>
      </c>
      <c r="L130" s="261">
        <v>0</v>
      </c>
      <c r="M130" s="261">
        <v>0</v>
      </c>
      <c r="N130" s="261">
        <v>0</v>
      </c>
      <c r="O130" s="260">
        <v>0</v>
      </c>
      <c r="P130" s="261">
        <f t="shared" si="61"/>
        <v>0</v>
      </c>
      <c r="Q130" s="261">
        <v>0</v>
      </c>
      <c r="R130" s="261">
        <v>0</v>
      </c>
      <c r="S130" s="261">
        <v>0</v>
      </c>
      <c r="T130" s="260">
        <v>0</v>
      </c>
      <c r="U130" s="261">
        <v>0</v>
      </c>
      <c r="V130" s="261">
        <v>0</v>
      </c>
      <c r="W130" s="261">
        <v>0</v>
      </c>
      <c r="X130" s="261">
        <v>0</v>
      </c>
      <c r="Y130" s="260">
        <v>0</v>
      </c>
      <c r="Z130" s="261">
        <v>0</v>
      </c>
      <c r="AA130" s="261">
        <v>0</v>
      </c>
      <c r="AB130" s="261">
        <v>0</v>
      </c>
      <c r="AC130" s="261">
        <v>0</v>
      </c>
      <c r="AD130" s="264"/>
    </row>
    <row r="131" spans="1:30" s="18" customFormat="1" ht="75" customHeight="1" outlineLevel="1" x14ac:dyDescent="0.2">
      <c r="A131" s="276" t="s">
        <v>1200</v>
      </c>
      <c r="B131" s="275" t="s">
        <v>263</v>
      </c>
      <c r="C131" s="223">
        <f t="shared" si="58"/>
        <v>0</v>
      </c>
      <c r="D131" s="276">
        <f t="shared" si="60"/>
        <v>1766</v>
      </c>
      <c r="E131" s="237">
        <v>0</v>
      </c>
      <c r="F131" s="273">
        <f t="shared" si="59"/>
        <v>1766</v>
      </c>
      <c r="G131" s="273">
        <v>0</v>
      </c>
      <c r="H131" s="238">
        <v>1681</v>
      </c>
      <c r="I131" s="238">
        <v>85</v>
      </c>
      <c r="J131" s="223">
        <v>0</v>
      </c>
      <c r="K131" s="261">
        <v>0</v>
      </c>
      <c r="L131" s="261">
        <v>0</v>
      </c>
      <c r="M131" s="261">
        <v>0</v>
      </c>
      <c r="N131" s="261">
        <v>0</v>
      </c>
      <c r="O131" s="260">
        <v>0</v>
      </c>
      <c r="P131" s="261">
        <f t="shared" si="61"/>
        <v>0</v>
      </c>
      <c r="Q131" s="261">
        <v>0</v>
      </c>
      <c r="R131" s="261">
        <v>0</v>
      </c>
      <c r="S131" s="261">
        <v>0</v>
      </c>
      <c r="T131" s="260">
        <v>0</v>
      </c>
      <c r="U131" s="261">
        <v>0</v>
      </c>
      <c r="V131" s="261">
        <v>0</v>
      </c>
      <c r="W131" s="261">
        <v>0</v>
      </c>
      <c r="X131" s="261">
        <v>0</v>
      </c>
      <c r="Y131" s="260">
        <v>0</v>
      </c>
      <c r="Z131" s="261">
        <v>0</v>
      </c>
      <c r="AA131" s="261">
        <v>0</v>
      </c>
      <c r="AB131" s="261">
        <v>0</v>
      </c>
      <c r="AC131" s="261">
        <v>0</v>
      </c>
      <c r="AD131" s="264"/>
    </row>
    <row r="132" spans="1:30" s="18" customFormat="1" ht="70.900000000000006" customHeight="1" outlineLevel="1" x14ac:dyDescent="0.2">
      <c r="A132" s="276" t="s">
        <v>1201</v>
      </c>
      <c r="B132" s="275" t="s">
        <v>264</v>
      </c>
      <c r="C132" s="223">
        <f t="shared" si="58"/>
        <v>0</v>
      </c>
      <c r="D132" s="276">
        <f t="shared" si="60"/>
        <v>342</v>
      </c>
      <c r="E132" s="237">
        <v>0</v>
      </c>
      <c r="F132" s="273">
        <f t="shared" si="59"/>
        <v>342</v>
      </c>
      <c r="G132" s="273">
        <v>0</v>
      </c>
      <c r="H132" s="238">
        <v>326</v>
      </c>
      <c r="I132" s="238">
        <v>16</v>
      </c>
      <c r="J132" s="223">
        <v>0</v>
      </c>
      <c r="K132" s="261">
        <v>0</v>
      </c>
      <c r="L132" s="261">
        <v>0</v>
      </c>
      <c r="M132" s="261">
        <v>0</v>
      </c>
      <c r="N132" s="261">
        <v>0</v>
      </c>
      <c r="O132" s="260">
        <v>0</v>
      </c>
      <c r="P132" s="261">
        <f t="shared" si="61"/>
        <v>0</v>
      </c>
      <c r="Q132" s="261">
        <v>0</v>
      </c>
      <c r="R132" s="261">
        <v>0</v>
      </c>
      <c r="S132" s="261">
        <v>0</v>
      </c>
      <c r="T132" s="260">
        <v>0</v>
      </c>
      <c r="U132" s="261">
        <v>0</v>
      </c>
      <c r="V132" s="261">
        <v>0</v>
      </c>
      <c r="W132" s="261">
        <v>0</v>
      </c>
      <c r="X132" s="261">
        <v>0</v>
      </c>
      <c r="Y132" s="260">
        <v>0</v>
      </c>
      <c r="Z132" s="261">
        <v>0</v>
      </c>
      <c r="AA132" s="261">
        <v>0</v>
      </c>
      <c r="AB132" s="261">
        <v>0</v>
      </c>
      <c r="AC132" s="261">
        <v>0</v>
      </c>
      <c r="AD132" s="264"/>
    </row>
    <row r="133" spans="1:30" s="18" customFormat="1" ht="51" customHeight="1" outlineLevel="1" x14ac:dyDescent="0.2">
      <c r="A133" s="276" t="s">
        <v>1202</v>
      </c>
      <c r="B133" s="275" t="s">
        <v>265</v>
      </c>
      <c r="C133" s="223">
        <f t="shared" si="58"/>
        <v>0</v>
      </c>
      <c r="D133" s="276">
        <f t="shared" si="60"/>
        <v>289</v>
      </c>
      <c r="E133" s="237">
        <v>0</v>
      </c>
      <c r="F133" s="273">
        <f t="shared" si="59"/>
        <v>289</v>
      </c>
      <c r="G133" s="273">
        <v>0</v>
      </c>
      <c r="H133" s="238">
        <v>276</v>
      </c>
      <c r="I133" s="238">
        <v>13</v>
      </c>
      <c r="J133" s="223">
        <v>0</v>
      </c>
      <c r="K133" s="261">
        <v>0</v>
      </c>
      <c r="L133" s="261">
        <v>0</v>
      </c>
      <c r="M133" s="261">
        <v>0</v>
      </c>
      <c r="N133" s="261">
        <v>0</v>
      </c>
      <c r="O133" s="260">
        <v>0</v>
      </c>
      <c r="P133" s="261">
        <f t="shared" si="61"/>
        <v>0</v>
      </c>
      <c r="Q133" s="261">
        <v>0</v>
      </c>
      <c r="R133" s="261">
        <v>0</v>
      </c>
      <c r="S133" s="261">
        <v>0</v>
      </c>
      <c r="T133" s="260">
        <v>0</v>
      </c>
      <c r="U133" s="261">
        <v>0</v>
      </c>
      <c r="V133" s="261">
        <v>0</v>
      </c>
      <c r="W133" s="261">
        <v>0</v>
      </c>
      <c r="X133" s="261">
        <v>0</v>
      </c>
      <c r="Y133" s="260">
        <v>0</v>
      </c>
      <c r="Z133" s="261">
        <v>0</v>
      </c>
      <c r="AA133" s="261">
        <v>0</v>
      </c>
      <c r="AB133" s="261">
        <v>0</v>
      </c>
      <c r="AC133" s="261">
        <v>0</v>
      </c>
      <c r="AD133" s="264"/>
    </row>
    <row r="134" spans="1:30" s="18" customFormat="1" ht="51" customHeight="1" outlineLevel="1" x14ac:dyDescent="0.2">
      <c r="A134" s="276" t="s">
        <v>1203</v>
      </c>
      <c r="B134" s="275" t="s">
        <v>266</v>
      </c>
      <c r="C134" s="223">
        <f t="shared" si="58"/>
        <v>0</v>
      </c>
      <c r="D134" s="276">
        <f t="shared" si="60"/>
        <v>1150</v>
      </c>
      <c r="E134" s="237">
        <v>0</v>
      </c>
      <c r="F134" s="273">
        <f t="shared" si="59"/>
        <v>1150</v>
      </c>
      <c r="G134" s="273">
        <v>0</v>
      </c>
      <c r="H134" s="238">
        <v>1095</v>
      </c>
      <c r="I134" s="238">
        <v>55</v>
      </c>
      <c r="J134" s="223">
        <v>0</v>
      </c>
      <c r="K134" s="261">
        <v>0</v>
      </c>
      <c r="L134" s="261">
        <v>0</v>
      </c>
      <c r="M134" s="261">
        <v>0</v>
      </c>
      <c r="N134" s="261">
        <v>0</v>
      </c>
      <c r="O134" s="260">
        <v>0</v>
      </c>
      <c r="P134" s="261">
        <f t="shared" si="61"/>
        <v>0</v>
      </c>
      <c r="Q134" s="261">
        <v>0</v>
      </c>
      <c r="R134" s="261">
        <v>0</v>
      </c>
      <c r="S134" s="261">
        <v>0</v>
      </c>
      <c r="T134" s="260">
        <v>0</v>
      </c>
      <c r="U134" s="261">
        <v>0</v>
      </c>
      <c r="V134" s="261">
        <v>0</v>
      </c>
      <c r="W134" s="261">
        <v>0</v>
      </c>
      <c r="X134" s="261">
        <v>0</v>
      </c>
      <c r="Y134" s="260">
        <v>0</v>
      </c>
      <c r="Z134" s="261">
        <v>0</v>
      </c>
      <c r="AA134" s="261">
        <v>0</v>
      </c>
      <c r="AB134" s="261">
        <v>0</v>
      </c>
      <c r="AC134" s="261">
        <v>0</v>
      </c>
      <c r="AD134" s="264"/>
    </row>
    <row r="135" spans="1:30" s="18" customFormat="1" ht="51" customHeight="1" outlineLevel="1" x14ac:dyDescent="0.2">
      <c r="A135" s="276" t="s">
        <v>1204</v>
      </c>
      <c r="B135" s="275" t="s">
        <v>267</v>
      </c>
      <c r="C135" s="223">
        <f t="shared" si="58"/>
        <v>0</v>
      </c>
      <c r="D135" s="276">
        <f t="shared" si="60"/>
        <v>286</v>
      </c>
      <c r="E135" s="237">
        <v>0</v>
      </c>
      <c r="F135" s="273">
        <f t="shared" si="59"/>
        <v>286</v>
      </c>
      <c r="G135" s="273">
        <v>0</v>
      </c>
      <c r="H135" s="238">
        <v>272</v>
      </c>
      <c r="I135" s="238">
        <v>14</v>
      </c>
      <c r="J135" s="223">
        <v>0</v>
      </c>
      <c r="K135" s="261">
        <v>0</v>
      </c>
      <c r="L135" s="261">
        <v>0</v>
      </c>
      <c r="M135" s="261">
        <v>0</v>
      </c>
      <c r="N135" s="261">
        <v>0</v>
      </c>
      <c r="O135" s="260">
        <v>0</v>
      </c>
      <c r="P135" s="261">
        <f t="shared" si="61"/>
        <v>0</v>
      </c>
      <c r="Q135" s="261">
        <v>0</v>
      </c>
      <c r="R135" s="261">
        <v>0</v>
      </c>
      <c r="S135" s="261">
        <v>0</v>
      </c>
      <c r="T135" s="260">
        <v>0</v>
      </c>
      <c r="U135" s="261">
        <v>0</v>
      </c>
      <c r="V135" s="261">
        <v>0</v>
      </c>
      <c r="W135" s="261">
        <v>0</v>
      </c>
      <c r="X135" s="261">
        <v>0</v>
      </c>
      <c r="Y135" s="260">
        <v>0</v>
      </c>
      <c r="Z135" s="261">
        <v>0</v>
      </c>
      <c r="AA135" s="261">
        <v>0</v>
      </c>
      <c r="AB135" s="261">
        <v>0</v>
      </c>
      <c r="AC135" s="261">
        <v>0</v>
      </c>
      <c r="AD135" s="264"/>
    </row>
    <row r="136" spans="1:30" s="18" customFormat="1" ht="64.900000000000006" customHeight="1" outlineLevel="1" x14ac:dyDescent="0.2">
      <c r="A136" s="276" t="s">
        <v>1205</v>
      </c>
      <c r="B136" s="275" t="s">
        <v>268</v>
      </c>
      <c r="C136" s="223">
        <f t="shared" si="58"/>
        <v>0</v>
      </c>
      <c r="D136" s="276">
        <f t="shared" si="60"/>
        <v>238</v>
      </c>
      <c r="E136" s="237">
        <v>0</v>
      </c>
      <c r="F136" s="273">
        <f t="shared" si="59"/>
        <v>238</v>
      </c>
      <c r="G136" s="273">
        <v>0</v>
      </c>
      <c r="H136" s="238">
        <v>227</v>
      </c>
      <c r="I136" s="238">
        <v>11</v>
      </c>
      <c r="J136" s="223">
        <v>0</v>
      </c>
      <c r="K136" s="261">
        <v>0</v>
      </c>
      <c r="L136" s="261">
        <v>0</v>
      </c>
      <c r="M136" s="261">
        <v>0</v>
      </c>
      <c r="N136" s="261">
        <v>0</v>
      </c>
      <c r="O136" s="260">
        <v>0</v>
      </c>
      <c r="P136" s="261">
        <f t="shared" si="61"/>
        <v>0</v>
      </c>
      <c r="Q136" s="261">
        <v>0</v>
      </c>
      <c r="R136" s="261">
        <v>0</v>
      </c>
      <c r="S136" s="261">
        <v>0</v>
      </c>
      <c r="T136" s="260">
        <v>0</v>
      </c>
      <c r="U136" s="261">
        <v>0</v>
      </c>
      <c r="V136" s="261">
        <v>0</v>
      </c>
      <c r="W136" s="261">
        <v>0</v>
      </c>
      <c r="X136" s="261">
        <v>0</v>
      </c>
      <c r="Y136" s="260">
        <v>0</v>
      </c>
      <c r="Z136" s="261">
        <v>0</v>
      </c>
      <c r="AA136" s="261">
        <v>0</v>
      </c>
      <c r="AB136" s="261">
        <v>0</v>
      </c>
      <c r="AC136" s="261">
        <v>0</v>
      </c>
      <c r="AD136" s="264"/>
    </row>
    <row r="137" spans="1:30" s="18" customFormat="1" ht="75" customHeight="1" outlineLevel="1" x14ac:dyDescent="0.2">
      <c r="A137" s="276" t="s">
        <v>1206</v>
      </c>
      <c r="B137" s="275" t="s">
        <v>269</v>
      </c>
      <c r="C137" s="223">
        <f t="shared" si="58"/>
        <v>0</v>
      </c>
      <c r="D137" s="276">
        <f t="shared" si="60"/>
        <v>1846</v>
      </c>
      <c r="E137" s="237">
        <v>0</v>
      </c>
      <c r="F137" s="273">
        <f>G137+H137+I137</f>
        <v>1846</v>
      </c>
      <c r="G137" s="273">
        <v>0</v>
      </c>
      <c r="H137" s="238">
        <v>1757</v>
      </c>
      <c r="I137" s="238">
        <v>89</v>
      </c>
      <c r="J137" s="223">
        <v>0</v>
      </c>
      <c r="K137" s="261">
        <v>0</v>
      </c>
      <c r="L137" s="261">
        <v>0</v>
      </c>
      <c r="M137" s="261">
        <v>0</v>
      </c>
      <c r="N137" s="261">
        <v>0</v>
      </c>
      <c r="O137" s="260">
        <v>0</v>
      </c>
      <c r="P137" s="261">
        <f t="shared" si="61"/>
        <v>0</v>
      </c>
      <c r="Q137" s="261">
        <v>0</v>
      </c>
      <c r="R137" s="261">
        <v>0</v>
      </c>
      <c r="S137" s="261">
        <v>0</v>
      </c>
      <c r="T137" s="260">
        <v>0</v>
      </c>
      <c r="U137" s="261">
        <v>0</v>
      </c>
      <c r="V137" s="261">
        <v>0</v>
      </c>
      <c r="W137" s="261">
        <v>0</v>
      </c>
      <c r="X137" s="261">
        <v>0</v>
      </c>
      <c r="Y137" s="260">
        <v>0</v>
      </c>
      <c r="Z137" s="261">
        <v>0</v>
      </c>
      <c r="AA137" s="261">
        <v>0</v>
      </c>
      <c r="AB137" s="261">
        <v>0</v>
      </c>
      <c r="AC137" s="261">
        <v>0</v>
      </c>
      <c r="AD137" s="264"/>
    </row>
    <row r="138" spans="1:30" s="18" customFormat="1" ht="57" customHeight="1" outlineLevel="1" x14ac:dyDescent="0.2">
      <c r="A138" s="276" t="s">
        <v>1207</v>
      </c>
      <c r="B138" s="275" t="s">
        <v>270</v>
      </c>
      <c r="C138" s="223">
        <f t="shared" si="58"/>
        <v>0</v>
      </c>
      <c r="D138" s="276">
        <f t="shared" si="60"/>
        <v>1668</v>
      </c>
      <c r="E138" s="237">
        <v>0</v>
      </c>
      <c r="F138" s="273">
        <f t="shared" si="59"/>
        <v>1668</v>
      </c>
      <c r="G138" s="273">
        <v>0</v>
      </c>
      <c r="H138" s="238">
        <v>1588</v>
      </c>
      <c r="I138" s="238">
        <v>80</v>
      </c>
      <c r="J138" s="223">
        <v>0</v>
      </c>
      <c r="K138" s="261">
        <v>0</v>
      </c>
      <c r="L138" s="261">
        <v>0</v>
      </c>
      <c r="M138" s="261">
        <v>0</v>
      </c>
      <c r="N138" s="261">
        <v>0</v>
      </c>
      <c r="O138" s="260">
        <v>0</v>
      </c>
      <c r="P138" s="261">
        <f t="shared" si="61"/>
        <v>0</v>
      </c>
      <c r="Q138" s="261">
        <v>0</v>
      </c>
      <c r="R138" s="261">
        <v>0</v>
      </c>
      <c r="S138" s="261">
        <v>0</v>
      </c>
      <c r="T138" s="260">
        <v>0</v>
      </c>
      <c r="U138" s="261">
        <v>0</v>
      </c>
      <c r="V138" s="261">
        <v>0</v>
      </c>
      <c r="W138" s="261">
        <v>0</v>
      </c>
      <c r="X138" s="261">
        <v>0</v>
      </c>
      <c r="Y138" s="260">
        <v>0</v>
      </c>
      <c r="Z138" s="261">
        <v>0</v>
      </c>
      <c r="AA138" s="261">
        <v>0</v>
      </c>
      <c r="AB138" s="261">
        <v>0</v>
      </c>
      <c r="AC138" s="261">
        <v>0</v>
      </c>
      <c r="AD138" s="264"/>
    </row>
    <row r="139" spans="1:30" s="18" customFormat="1" ht="64.900000000000006" customHeight="1" outlineLevel="1" x14ac:dyDescent="0.2">
      <c r="A139" s="276" t="s">
        <v>1208</v>
      </c>
      <c r="B139" s="275" t="s">
        <v>271</v>
      </c>
      <c r="C139" s="223">
        <f t="shared" si="58"/>
        <v>0</v>
      </c>
      <c r="D139" s="276">
        <f t="shared" si="60"/>
        <v>3481</v>
      </c>
      <c r="E139" s="237">
        <v>0</v>
      </c>
      <c r="F139" s="273">
        <f t="shared" si="59"/>
        <v>3481</v>
      </c>
      <c r="G139" s="273">
        <v>0</v>
      </c>
      <c r="H139" s="238">
        <v>3314</v>
      </c>
      <c r="I139" s="238">
        <v>167</v>
      </c>
      <c r="J139" s="223">
        <v>0</v>
      </c>
      <c r="K139" s="261">
        <v>0</v>
      </c>
      <c r="L139" s="261">
        <v>0</v>
      </c>
      <c r="M139" s="261">
        <v>0</v>
      </c>
      <c r="N139" s="261">
        <v>0</v>
      </c>
      <c r="O139" s="260">
        <v>0</v>
      </c>
      <c r="P139" s="261">
        <f t="shared" si="61"/>
        <v>0</v>
      </c>
      <c r="Q139" s="261">
        <v>0</v>
      </c>
      <c r="R139" s="261">
        <v>0</v>
      </c>
      <c r="S139" s="261">
        <v>0</v>
      </c>
      <c r="T139" s="260">
        <v>0</v>
      </c>
      <c r="U139" s="261">
        <v>0</v>
      </c>
      <c r="V139" s="261">
        <v>0</v>
      </c>
      <c r="W139" s="261">
        <v>0</v>
      </c>
      <c r="X139" s="261">
        <v>0</v>
      </c>
      <c r="Y139" s="260">
        <v>0</v>
      </c>
      <c r="Z139" s="261">
        <v>0</v>
      </c>
      <c r="AA139" s="261">
        <v>0</v>
      </c>
      <c r="AB139" s="261">
        <v>0</v>
      </c>
      <c r="AC139" s="261">
        <v>0</v>
      </c>
      <c r="AD139" s="264"/>
    </row>
    <row r="140" spans="1:30" s="18" customFormat="1" ht="37.9" customHeight="1" outlineLevel="1" x14ac:dyDescent="0.2">
      <c r="A140" s="276" t="s">
        <v>1209</v>
      </c>
      <c r="B140" s="275" t="s">
        <v>292</v>
      </c>
      <c r="C140" s="223">
        <f t="shared" si="58"/>
        <v>0</v>
      </c>
      <c r="D140" s="276">
        <f t="shared" si="60"/>
        <v>136</v>
      </c>
      <c r="E140" s="237">
        <v>0</v>
      </c>
      <c r="F140" s="273">
        <f t="shared" si="59"/>
        <v>136</v>
      </c>
      <c r="G140" s="273">
        <v>0</v>
      </c>
      <c r="H140" s="238">
        <v>130</v>
      </c>
      <c r="I140" s="238">
        <v>6</v>
      </c>
      <c r="J140" s="223">
        <v>0</v>
      </c>
      <c r="K140" s="261">
        <v>0</v>
      </c>
      <c r="L140" s="261">
        <v>0</v>
      </c>
      <c r="M140" s="261">
        <v>0</v>
      </c>
      <c r="N140" s="261">
        <v>0</v>
      </c>
      <c r="O140" s="260">
        <v>0</v>
      </c>
      <c r="P140" s="261">
        <f t="shared" si="61"/>
        <v>0</v>
      </c>
      <c r="Q140" s="261">
        <v>0</v>
      </c>
      <c r="R140" s="261">
        <v>0</v>
      </c>
      <c r="S140" s="261">
        <v>0</v>
      </c>
      <c r="T140" s="260">
        <v>0</v>
      </c>
      <c r="U140" s="261">
        <v>0</v>
      </c>
      <c r="V140" s="261">
        <v>0</v>
      </c>
      <c r="W140" s="261">
        <v>0</v>
      </c>
      <c r="X140" s="261">
        <v>0</v>
      </c>
      <c r="Y140" s="260">
        <v>0</v>
      </c>
      <c r="Z140" s="261">
        <v>0</v>
      </c>
      <c r="AA140" s="261">
        <v>0</v>
      </c>
      <c r="AB140" s="261">
        <v>0</v>
      </c>
      <c r="AC140" s="261">
        <v>0</v>
      </c>
      <c r="AD140" s="264"/>
    </row>
    <row r="141" spans="1:30" s="18" customFormat="1" ht="85.9" customHeight="1" outlineLevel="1" x14ac:dyDescent="0.2">
      <c r="A141" s="276" t="s">
        <v>1210</v>
      </c>
      <c r="B141" s="275" t="s">
        <v>272</v>
      </c>
      <c r="C141" s="223">
        <f t="shared" si="58"/>
        <v>0</v>
      </c>
      <c r="D141" s="276">
        <f t="shared" si="60"/>
        <v>310</v>
      </c>
      <c r="E141" s="237">
        <v>0</v>
      </c>
      <c r="F141" s="273">
        <f t="shared" si="59"/>
        <v>310</v>
      </c>
      <c r="G141" s="273">
        <v>0</v>
      </c>
      <c r="H141" s="238">
        <v>295</v>
      </c>
      <c r="I141" s="238">
        <v>15</v>
      </c>
      <c r="J141" s="223">
        <v>0</v>
      </c>
      <c r="K141" s="261">
        <v>0</v>
      </c>
      <c r="L141" s="261">
        <v>0</v>
      </c>
      <c r="M141" s="261">
        <v>0</v>
      </c>
      <c r="N141" s="261">
        <v>0</v>
      </c>
      <c r="O141" s="260">
        <v>0</v>
      </c>
      <c r="P141" s="261">
        <f t="shared" si="61"/>
        <v>0</v>
      </c>
      <c r="Q141" s="261">
        <v>0</v>
      </c>
      <c r="R141" s="261">
        <v>0</v>
      </c>
      <c r="S141" s="261">
        <v>0</v>
      </c>
      <c r="T141" s="260">
        <v>0</v>
      </c>
      <c r="U141" s="261">
        <v>0</v>
      </c>
      <c r="V141" s="261">
        <v>0</v>
      </c>
      <c r="W141" s="261">
        <v>0</v>
      </c>
      <c r="X141" s="261">
        <v>0</v>
      </c>
      <c r="Y141" s="260">
        <v>0</v>
      </c>
      <c r="Z141" s="261">
        <v>0</v>
      </c>
      <c r="AA141" s="261">
        <v>0</v>
      </c>
      <c r="AB141" s="261">
        <v>0</v>
      </c>
      <c r="AC141" s="261">
        <v>0</v>
      </c>
      <c r="AD141" s="264"/>
    </row>
    <row r="142" spans="1:30" s="18" customFormat="1" ht="87" customHeight="1" outlineLevel="1" x14ac:dyDescent="0.2">
      <c r="A142" s="276" t="s">
        <v>1211</v>
      </c>
      <c r="B142" s="275" t="s">
        <v>273</v>
      </c>
      <c r="C142" s="223">
        <f t="shared" si="58"/>
        <v>0</v>
      </c>
      <c r="D142" s="276">
        <f t="shared" si="60"/>
        <v>1492</v>
      </c>
      <c r="E142" s="237">
        <v>0</v>
      </c>
      <c r="F142" s="273">
        <f t="shared" si="59"/>
        <v>1492</v>
      </c>
      <c r="G142" s="273">
        <v>0</v>
      </c>
      <c r="H142" s="238">
        <v>1420</v>
      </c>
      <c r="I142" s="238">
        <v>72</v>
      </c>
      <c r="J142" s="223">
        <v>0</v>
      </c>
      <c r="K142" s="261">
        <v>0</v>
      </c>
      <c r="L142" s="261">
        <v>0</v>
      </c>
      <c r="M142" s="261">
        <v>0</v>
      </c>
      <c r="N142" s="261">
        <v>0</v>
      </c>
      <c r="O142" s="260">
        <v>0</v>
      </c>
      <c r="P142" s="261">
        <f t="shared" si="61"/>
        <v>0</v>
      </c>
      <c r="Q142" s="261">
        <v>0</v>
      </c>
      <c r="R142" s="261">
        <v>0</v>
      </c>
      <c r="S142" s="261">
        <v>0</v>
      </c>
      <c r="T142" s="260">
        <v>0</v>
      </c>
      <c r="U142" s="261">
        <v>0</v>
      </c>
      <c r="V142" s="261">
        <v>0</v>
      </c>
      <c r="W142" s="261">
        <v>0</v>
      </c>
      <c r="X142" s="261">
        <v>0</v>
      </c>
      <c r="Y142" s="260">
        <v>0</v>
      </c>
      <c r="Z142" s="261">
        <v>0</v>
      </c>
      <c r="AA142" s="261">
        <v>0</v>
      </c>
      <c r="AB142" s="261">
        <v>0</v>
      </c>
      <c r="AC142" s="261">
        <v>0</v>
      </c>
      <c r="AD142" s="264"/>
    </row>
    <row r="143" spans="1:30" s="18" customFormat="1" ht="67.900000000000006" customHeight="1" outlineLevel="1" x14ac:dyDescent="0.2">
      <c r="A143" s="276" t="s">
        <v>1212</v>
      </c>
      <c r="B143" s="275" t="s">
        <v>274</v>
      </c>
      <c r="C143" s="223">
        <f t="shared" si="58"/>
        <v>0</v>
      </c>
      <c r="D143" s="276">
        <f t="shared" si="60"/>
        <v>143</v>
      </c>
      <c r="E143" s="237">
        <v>0</v>
      </c>
      <c r="F143" s="273">
        <f t="shared" si="59"/>
        <v>143</v>
      </c>
      <c r="G143" s="273">
        <v>0</v>
      </c>
      <c r="H143" s="238">
        <v>136</v>
      </c>
      <c r="I143" s="238">
        <v>7</v>
      </c>
      <c r="J143" s="223">
        <v>0</v>
      </c>
      <c r="K143" s="261">
        <v>0</v>
      </c>
      <c r="L143" s="261">
        <v>0</v>
      </c>
      <c r="M143" s="261">
        <v>0</v>
      </c>
      <c r="N143" s="261">
        <v>0</v>
      </c>
      <c r="O143" s="260">
        <v>0</v>
      </c>
      <c r="P143" s="261">
        <f t="shared" si="61"/>
        <v>0</v>
      </c>
      <c r="Q143" s="261">
        <v>0</v>
      </c>
      <c r="R143" s="261">
        <v>0</v>
      </c>
      <c r="S143" s="261">
        <v>0</v>
      </c>
      <c r="T143" s="260">
        <v>0</v>
      </c>
      <c r="U143" s="261">
        <v>0</v>
      </c>
      <c r="V143" s="261">
        <v>0</v>
      </c>
      <c r="W143" s="261">
        <v>0</v>
      </c>
      <c r="X143" s="261">
        <v>0</v>
      </c>
      <c r="Y143" s="260">
        <v>0</v>
      </c>
      <c r="Z143" s="261">
        <v>0</v>
      </c>
      <c r="AA143" s="261">
        <v>0</v>
      </c>
      <c r="AB143" s="261">
        <v>0</v>
      </c>
      <c r="AC143" s="261">
        <v>0</v>
      </c>
      <c r="AD143" s="264"/>
    </row>
    <row r="144" spans="1:30" s="18" customFormat="1" ht="69" customHeight="1" outlineLevel="1" x14ac:dyDescent="0.2">
      <c r="A144" s="276" t="s">
        <v>1213</v>
      </c>
      <c r="B144" s="275" t="s">
        <v>275</v>
      </c>
      <c r="C144" s="223">
        <f t="shared" si="58"/>
        <v>0</v>
      </c>
      <c r="D144" s="276">
        <f t="shared" si="60"/>
        <v>442</v>
      </c>
      <c r="E144" s="237">
        <v>0</v>
      </c>
      <c r="F144" s="273">
        <f t="shared" si="59"/>
        <v>442</v>
      </c>
      <c r="G144" s="273">
        <v>0</v>
      </c>
      <c r="H144" s="238">
        <v>421</v>
      </c>
      <c r="I144" s="238">
        <v>21</v>
      </c>
      <c r="J144" s="223">
        <v>0</v>
      </c>
      <c r="K144" s="261">
        <v>0</v>
      </c>
      <c r="L144" s="261">
        <v>0</v>
      </c>
      <c r="M144" s="261">
        <v>0</v>
      </c>
      <c r="N144" s="261">
        <v>0</v>
      </c>
      <c r="O144" s="260">
        <v>0</v>
      </c>
      <c r="P144" s="261">
        <f t="shared" si="61"/>
        <v>0</v>
      </c>
      <c r="Q144" s="261">
        <v>0</v>
      </c>
      <c r="R144" s="261">
        <v>0</v>
      </c>
      <c r="S144" s="261">
        <v>0</v>
      </c>
      <c r="T144" s="260">
        <v>0</v>
      </c>
      <c r="U144" s="261">
        <v>0</v>
      </c>
      <c r="V144" s="261">
        <v>0</v>
      </c>
      <c r="W144" s="261">
        <v>0</v>
      </c>
      <c r="X144" s="261">
        <v>0</v>
      </c>
      <c r="Y144" s="260">
        <v>0</v>
      </c>
      <c r="Z144" s="261">
        <v>0</v>
      </c>
      <c r="AA144" s="261">
        <v>0</v>
      </c>
      <c r="AB144" s="261">
        <v>0</v>
      </c>
      <c r="AC144" s="261">
        <v>0</v>
      </c>
      <c r="AD144" s="264"/>
    </row>
    <row r="145" spans="1:30" s="18" customFormat="1" ht="88.15" customHeight="1" outlineLevel="1" x14ac:dyDescent="0.2">
      <c r="A145" s="276" t="s">
        <v>1214</v>
      </c>
      <c r="B145" s="275" t="s">
        <v>1151</v>
      </c>
      <c r="C145" s="223">
        <f t="shared" si="58"/>
        <v>0</v>
      </c>
      <c r="D145" s="276">
        <f t="shared" si="60"/>
        <v>435</v>
      </c>
      <c r="E145" s="237">
        <v>0</v>
      </c>
      <c r="F145" s="273">
        <f t="shared" si="59"/>
        <v>435</v>
      </c>
      <c r="G145" s="273">
        <v>0</v>
      </c>
      <c r="H145" s="238">
        <v>414</v>
      </c>
      <c r="I145" s="238">
        <v>21</v>
      </c>
      <c r="J145" s="223">
        <v>0</v>
      </c>
      <c r="K145" s="261">
        <v>0</v>
      </c>
      <c r="L145" s="261">
        <v>0</v>
      </c>
      <c r="M145" s="261">
        <v>0</v>
      </c>
      <c r="N145" s="261">
        <v>0</v>
      </c>
      <c r="O145" s="260">
        <v>0</v>
      </c>
      <c r="P145" s="261">
        <f t="shared" si="61"/>
        <v>0</v>
      </c>
      <c r="Q145" s="261">
        <v>0</v>
      </c>
      <c r="R145" s="261">
        <v>0</v>
      </c>
      <c r="S145" s="261">
        <v>0</v>
      </c>
      <c r="T145" s="260">
        <v>0</v>
      </c>
      <c r="U145" s="261">
        <v>0</v>
      </c>
      <c r="V145" s="261">
        <v>0</v>
      </c>
      <c r="W145" s="261">
        <v>0</v>
      </c>
      <c r="X145" s="261">
        <v>0</v>
      </c>
      <c r="Y145" s="260">
        <v>0</v>
      </c>
      <c r="Z145" s="261">
        <v>0</v>
      </c>
      <c r="AA145" s="261">
        <v>0</v>
      </c>
      <c r="AB145" s="261">
        <v>0</v>
      </c>
      <c r="AC145" s="261">
        <v>0</v>
      </c>
      <c r="AD145" s="264"/>
    </row>
    <row r="146" spans="1:30" s="18" customFormat="1" ht="90" customHeight="1" outlineLevel="1" x14ac:dyDescent="0.2">
      <c r="A146" s="276" t="s">
        <v>1215</v>
      </c>
      <c r="B146" s="275" t="s">
        <v>276</v>
      </c>
      <c r="C146" s="223">
        <f t="shared" si="58"/>
        <v>0</v>
      </c>
      <c r="D146" s="276">
        <f t="shared" si="60"/>
        <v>269</v>
      </c>
      <c r="E146" s="237">
        <v>0</v>
      </c>
      <c r="F146" s="273">
        <f t="shared" si="59"/>
        <v>269</v>
      </c>
      <c r="G146" s="273">
        <v>0</v>
      </c>
      <c r="H146" s="238">
        <v>256</v>
      </c>
      <c r="I146" s="238">
        <v>13</v>
      </c>
      <c r="J146" s="223">
        <v>0</v>
      </c>
      <c r="K146" s="261">
        <v>0</v>
      </c>
      <c r="L146" s="261">
        <v>0</v>
      </c>
      <c r="M146" s="261">
        <v>0</v>
      </c>
      <c r="N146" s="261">
        <v>0</v>
      </c>
      <c r="O146" s="260">
        <v>0</v>
      </c>
      <c r="P146" s="261">
        <f t="shared" si="61"/>
        <v>0</v>
      </c>
      <c r="Q146" s="261">
        <v>0</v>
      </c>
      <c r="R146" s="261">
        <v>0</v>
      </c>
      <c r="S146" s="261">
        <v>0</v>
      </c>
      <c r="T146" s="260">
        <v>0</v>
      </c>
      <c r="U146" s="261">
        <v>0</v>
      </c>
      <c r="V146" s="261">
        <v>0</v>
      </c>
      <c r="W146" s="261">
        <v>0</v>
      </c>
      <c r="X146" s="261">
        <v>0</v>
      </c>
      <c r="Y146" s="260">
        <v>0</v>
      </c>
      <c r="Z146" s="261">
        <v>0</v>
      </c>
      <c r="AA146" s="261">
        <v>0</v>
      </c>
      <c r="AB146" s="261">
        <v>0</v>
      </c>
      <c r="AC146" s="261">
        <v>0</v>
      </c>
      <c r="AD146" s="264"/>
    </row>
    <row r="147" spans="1:30" s="18" customFormat="1" ht="49.9" customHeight="1" outlineLevel="1" x14ac:dyDescent="0.2">
      <c r="A147" s="276" t="s">
        <v>1216</v>
      </c>
      <c r="B147" s="275" t="s">
        <v>277</v>
      </c>
      <c r="C147" s="223">
        <f t="shared" si="58"/>
        <v>0</v>
      </c>
      <c r="D147" s="276">
        <f t="shared" si="60"/>
        <v>207</v>
      </c>
      <c r="E147" s="237">
        <v>0</v>
      </c>
      <c r="F147" s="273">
        <f t="shared" si="59"/>
        <v>207</v>
      </c>
      <c r="G147" s="273">
        <v>0</v>
      </c>
      <c r="H147" s="238">
        <v>197</v>
      </c>
      <c r="I147" s="238">
        <v>10</v>
      </c>
      <c r="J147" s="223">
        <v>0</v>
      </c>
      <c r="K147" s="261">
        <v>0</v>
      </c>
      <c r="L147" s="261">
        <v>0</v>
      </c>
      <c r="M147" s="261">
        <v>0</v>
      </c>
      <c r="N147" s="261">
        <v>0</v>
      </c>
      <c r="O147" s="260">
        <v>0</v>
      </c>
      <c r="P147" s="261">
        <f t="shared" si="61"/>
        <v>0</v>
      </c>
      <c r="Q147" s="261">
        <v>0</v>
      </c>
      <c r="R147" s="261">
        <v>0</v>
      </c>
      <c r="S147" s="261">
        <v>0</v>
      </c>
      <c r="T147" s="260">
        <v>0</v>
      </c>
      <c r="U147" s="261">
        <v>0</v>
      </c>
      <c r="V147" s="261">
        <v>0</v>
      </c>
      <c r="W147" s="261">
        <v>0</v>
      </c>
      <c r="X147" s="261">
        <v>0</v>
      </c>
      <c r="Y147" s="260">
        <v>0</v>
      </c>
      <c r="Z147" s="261">
        <v>0</v>
      </c>
      <c r="AA147" s="261">
        <v>0</v>
      </c>
      <c r="AB147" s="261">
        <v>0</v>
      </c>
      <c r="AC147" s="261">
        <v>0</v>
      </c>
      <c r="AD147" s="264"/>
    </row>
    <row r="148" spans="1:30" s="18" customFormat="1" ht="69" customHeight="1" outlineLevel="1" x14ac:dyDescent="0.2">
      <c r="A148" s="276" t="s">
        <v>1217</v>
      </c>
      <c r="B148" s="275" t="s">
        <v>278</v>
      </c>
      <c r="C148" s="223">
        <f t="shared" si="58"/>
        <v>0</v>
      </c>
      <c r="D148" s="276">
        <f t="shared" si="60"/>
        <v>276</v>
      </c>
      <c r="E148" s="237">
        <v>0</v>
      </c>
      <c r="F148" s="273">
        <f t="shared" si="59"/>
        <v>276</v>
      </c>
      <c r="G148" s="273">
        <v>0</v>
      </c>
      <c r="H148" s="238">
        <v>263</v>
      </c>
      <c r="I148" s="238">
        <v>13</v>
      </c>
      <c r="J148" s="223">
        <v>0</v>
      </c>
      <c r="K148" s="261">
        <v>0</v>
      </c>
      <c r="L148" s="261">
        <v>0</v>
      </c>
      <c r="M148" s="261">
        <v>0</v>
      </c>
      <c r="N148" s="261">
        <v>0</v>
      </c>
      <c r="O148" s="260">
        <v>0</v>
      </c>
      <c r="P148" s="261">
        <f t="shared" si="61"/>
        <v>0</v>
      </c>
      <c r="Q148" s="261">
        <v>0</v>
      </c>
      <c r="R148" s="261">
        <v>0</v>
      </c>
      <c r="S148" s="261">
        <v>0</v>
      </c>
      <c r="T148" s="260">
        <v>0</v>
      </c>
      <c r="U148" s="261">
        <v>0</v>
      </c>
      <c r="V148" s="261">
        <v>0</v>
      </c>
      <c r="W148" s="261">
        <v>0</v>
      </c>
      <c r="X148" s="261">
        <v>0</v>
      </c>
      <c r="Y148" s="260">
        <v>0</v>
      </c>
      <c r="Z148" s="261">
        <v>0</v>
      </c>
      <c r="AA148" s="261">
        <v>0</v>
      </c>
      <c r="AB148" s="261">
        <v>0</v>
      </c>
      <c r="AC148" s="261">
        <v>0</v>
      </c>
      <c r="AD148" s="264"/>
    </row>
    <row r="149" spans="1:30" s="18" customFormat="1" ht="55.9" customHeight="1" outlineLevel="1" x14ac:dyDescent="0.2">
      <c r="A149" s="276" t="s">
        <v>1218</v>
      </c>
      <c r="B149" s="275" t="s">
        <v>279</v>
      </c>
      <c r="C149" s="223">
        <f t="shared" si="58"/>
        <v>0</v>
      </c>
      <c r="D149" s="276">
        <f t="shared" si="60"/>
        <v>1603</v>
      </c>
      <c r="E149" s="237">
        <v>0</v>
      </c>
      <c r="F149" s="273">
        <f t="shared" si="59"/>
        <v>1603</v>
      </c>
      <c r="G149" s="273">
        <v>0</v>
      </c>
      <c r="H149" s="238">
        <v>1526</v>
      </c>
      <c r="I149" s="238">
        <v>77</v>
      </c>
      <c r="J149" s="223">
        <v>0</v>
      </c>
      <c r="K149" s="261">
        <v>0</v>
      </c>
      <c r="L149" s="261">
        <v>0</v>
      </c>
      <c r="M149" s="261">
        <v>0</v>
      </c>
      <c r="N149" s="261">
        <v>0</v>
      </c>
      <c r="O149" s="260">
        <v>0</v>
      </c>
      <c r="P149" s="261">
        <f t="shared" si="61"/>
        <v>0</v>
      </c>
      <c r="Q149" s="261">
        <v>0</v>
      </c>
      <c r="R149" s="261">
        <v>0</v>
      </c>
      <c r="S149" s="261">
        <v>0</v>
      </c>
      <c r="T149" s="260">
        <v>0</v>
      </c>
      <c r="U149" s="261">
        <v>0</v>
      </c>
      <c r="V149" s="261">
        <v>0</v>
      </c>
      <c r="W149" s="261">
        <v>0</v>
      </c>
      <c r="X149" s="261">
        <v>0</v>
      </c>
      <c r="Y149" s="260">
        <v>0</v>
      </c>
      <c r="Z149" s="261">
        <v>0</v>
      </c>
      <c r="AA149" s="261">
        <v>0</v>
      </c>
      <c r="AB149" s="261">
        <v>0</v>
      </c>
      <c r="AC149" s="261">
        <v>0</v>
      </c>
      <c r="AD149" s="264"/>
    </row>
    <row r="150" spans="1:30" s="18" customFormat="1" ht="42" customHeight="1" outlineLevel="1" x14ac:dyDescent="0.2">
      <c r="A150" s="276" t="s">
        <v>1219</v>
      </c>
      <c r="B150" s="275" t="s">
        <v>280</v>
      </c>
      <c r="C150" s="223">
        <f t="shared" si="58"/>
        <v>0</v>
      </c>
      <c r="D150" s="276">
        <f t="shared" si="60"/>
        <v>3493</v>
      </c>
      <c r="E150" s="237">
        <v>0</v>
      </c>
      <c r="F150" s="273">
        <f t="shared" si="59"/>
        <v>3493</v>
      </c>
      <c r="G150" s="273">
        <v>0</v>
      </c>
      <c r="H150" s="238">
        <v>3325</v>
      </c>
      <c r="I150" s="238">
        <v>168</v>
      </c>
      <c r="J150" s="223">
        <v>0</v>
      </c>
      <c r="K150" s="261">
        <v>0</v>
      </c>
      <c r="L150" s="261">
        <v>0</v>
      </c>
      <c r="M150" s="261">
        <v>0</v>
      </c>
      <c r="N150" s="261">
        <v>0</v>
      </c>
      <c r="O150" s="260">
        <v>0</v>
      </c>
      <c r="P150" s="261">
        <f t="shared" si="61"/>
        <v>0</v>
      </c>
      <c r="Q150" s="261">
        <v>0</v>
      </c>
      <c r="R150" s="261">
        <v>0</v>
      </c>
      <c r="S150" s="261">
        <v>0</v>
      </c>
      <c r="T150" s="260">
        <v>0</v>
      </c>
      <c r="U150" s="261">
        <v>0</v>
      </c>
      <c r="V150" s="261">
        <v>0</v>
      </c>
      <c r="W150" s="261">
        <v>0</v>
      </c>
      <c r="X150" s="261">
        <v>0</v>
      </c>
      <c r="Y150" s="260">
        <v>0</v>
      </c>
      <c r="Z150" s="261">
        <v>0</v>
      </c>
      <c r="AA150" s="261">
        <v>0</v>
      </c>
      <c r="AB150" s="261">
        <v>0</v>
      </c>
      <c r="AC150" s="261">
        <v>0</v>
      </c>
      <c r="AD150" s="264"/>
    </row>
    <row r="151" spans="1:30" s="18" customFormat="1" ht="82.9" customHeight="1" outlineLevel="1" x14ac:dyDescent="0.2">
      <c r="A151" s="276" t="s">
        <v>1220</v>
      </c>
      <c r="B151" s="275" t="s">
        <v>361</v>
      </c>
      <c r="C151" s="223">
        <f t="shared" si="58"/>
        <v>0</v>
      </c>
      <c r="D151" s="276">
        <f t="shared" si="60"/>
        <v>413</v>
      </c>
      <c r="E151" s="237">
        <v>0</v>
      </c>
      <c r="F151" s="273">
        <f t="shared" si="59"/>
        <v>413</v>
      </c>
      <c r="G151" s="273">
        <v>0</v>
      </c>
      <c r="H151" s="238">
        <v>393</v>
      </c>
      <c r="I151" s="238">
        <v>20</v>
      </c>
      <c r="J151" s="223">
        <v>0</v>
      </c>
      <c r="K151" s="261">
        <v>0</v>
      </c>
      <c r="L151" s="261">
        <v>0</v>
      </c>
      <c r="M151" s="261">
        <v>0</v>
      </c>
      <c r="N151" s="261">
        <v>0</v>
      </c>
      <c r="O151" s="260">
        <v>0</v>
      </c>
      <c r="P151" s="261">
        <f t="shared" si="61"/>
        <v>0</v>
      </c>
      <c r="Q151" s="261">
        <v>0</v>
      </c>
      <c r="R151" s="261">
        <v>0</v>
      </c>
      <c r="S151" s="261">
        <v>0</v>
      </c>
      <c r="T151" s="260">
        <v>0</v>
      </c>
      <c r="U151" s="261">
        <v>0</v>
      </c>
      <c r="V151" s="261">
        <v>0</v>
      </c>
      <c r="W151" s="261">
        <v>0</v>
      </c>
      <c r="X151" s="261">
        <v>0</v>
      </c>
      <c r="Y151" s="260">
        <v>0</v>
      </c>
      <c r="Z151" s="261">
        <v>0</v>
      </c>
      <c r="AA151" s="261">
        <v>0</v>
      </c>
      <c r="AB151" s="261">
        <v>0</v>
      </c>
      <c r="AC151" s="261">
        <v>0</v>
      </c>
      <c r="AD151" s="264"/>
    </row>
    <row r="152" spans="1:30" s="18" customFormat="1" ht="84" customHeight="1" outlineLevel="1" x14ac:dyDescent="0.2">
      <c r="A152" s="276" t="s">
        <v>1221</v>
      </c>
      <c r="B152" s="275" t="s">
        <v>281</v>
      </c>
      <c r="C152" s="223">
        <f t="shared" si="58"/>
        <v>0</v>
      </c>
      <c r="D152" s="276">
        <f t="shared" si="60"/>
        <v>1112</v>
      </c>
      <c r="E152" s="237">
        <v>0</v>
      </c>
      <c r="F152" s="273">
        <f t="shared" si="59"/>
        <v>1112</v>
      </c>
      <c r="G152" s="273">
        <v>0</v>
      </c>
      <c r="H152" s="238">
        <v>1059</v>
      </c>
      <c r="I152" s="238">
        <v>53</v>
      </c>
      <c r="J152" s="223">
        <v>0</v>
      </c>
      <c r="K152" s="261">
        <v>0</v>
      </c>
      <c r="L152" s="261">
        <v>0</v>
      </c>
      <c r="M152" s="261">
        <v>0</v>
      </c>
      <c r="N152" s="261">
        <v>0</v>
      </c>
      <c r="O152" s="260">
        <v>0</v>
      </c>
      <c r="P152" s="261">
        <f t="shared" si="61"/>
        <v>0</v>
      </c>
      <c r="Q152" s="261">
        <v>0</v>
      </c>
      <c r="R152" s="261">
        <v>0</v>
      </c>
      <c r="S152" s="261">
        <v>0</v>
      </c>
      <c r="T152" s="260">
        <v>0</v>
      </c>
      <c r="U152" s="261">
        <v>0</v>
      </c>
      <c r="V152" s="261">
        <v>0</v>
      </c>
      <c r="W152" s="261">
        <v>0</v>
      </c>
      <c r="X152" s="261">
        <v>0</v>
      </c>
      <c r="Y152" s="260">
        <v>0</v>
      </c>
      <c r="Z152" s="261">
        <v>0</v>
      </c>
      <c r="AA152" s="261">
        <v>0</v>
      </c>
      <c r="AB152" s="261">
        <v>0</v>
      </c>
      <c r="AC152" s="261">
        <v>0</v>
      </c>
      <c r="AD152" s="264"/>
    </row>
    <row r="153" spans="1:30" s="18" customFormat="1" ht="67.900000000000006" customHeight="1" outlineLevel="1" x14ac:dyDescent="0.2">
      <c r="A153" s="276" t="s">
        <v>1222</v>
      </c>
      <c r="B153" s="275" t="s">
        <v>679</v>
      </c>
      <c r="C153" s="223">
        <f t="shared" si="58"/>
        <v>0</v>
      </c>
      <c r="D153" s="276">
        <f t="shared" si="60"/>
        <v>340</v>
      </c>
      <c r="E153" s="237">
        <v>0</v>
      </c>
      <c r="F153" s="273">
        <f t="shared" si="59"/>
        <v>340</v>
      </c>
      <c r="G153" s="273">
        <v>0</v>
      </c>
      <c r="H153" s="238">
        <v>324</v>
      </c>
      <c r="I153" s="238">
        <v>16</v>
      </c>
      <c r="J153" s="223">
        <v>0</v>
      </c>
      <c r="K153" s="261">
        <v>0</v>
      </c>
      <c r="L153" s="261">
        <v>0</v>
      </c>
      <c r="M153" s="261">
        <v>0</v>
      </c>
      <c r="N153" s="261">
        <v>0</v>
      </c>
      <c r="O153" s="260">
        <v>0</v>
      </c>
      <c r="P153" s="261">
        <f t="shared" si="61"/>
        <v>0</v>
      </c>
      <c r="Q153" s="261">
        <v>0</v>
      </c>
      <c r="R153" s="261">
        <v>0</v>
      </c>
      <c r="S153" s="261">
        <v>0</v>
      </c>
      <c r="T153" s="260">
        <v>0</v>
      </c>
      <c r="U153" s="261">
        <v>0</v>
      </c>
      <c r="V153" s="261">
        <v>0</v>
      </c>
      <c r="W153" s="261">
        <v>0</v>
      </c>
      <c r="X153" s="261">
        <v>0</v>
      </c>
      <c r="Y153" s="260">
        <v>0</v>
      </c>
      <c r="Z153" s="261">
        <v>0</v>
      </c>
      <c r="AA153" s="261">
        <v>0</v>
      </c>
      <c r="AB153" s="261">
        <v>0</v>
      </c>
      <c r="AC153" s="261">
        <v>0</v>
      </c>
      <c r="AD153" s="264"/>
    </row>
    <row r="154" spans="1:30" s="18" customFormat="1" ht="76.900000000000006" customHeight="1" outlineLevel="1" x14ac:dyDescent="0.2">
      <c r="A154" s="276" t="s">
        <v>1223</v>
      </c>
      <c r="B154" s="275" t="s">
        <v>282</v>
      </c>
      <c r="C154" s="223">
        <f t="shared" si="58"/>
        <v>0</v>
      </c>
      <c r="D154" s="276">
        <f t="shared" si="60"/>
        <v>1050</v>
      </c>
      <c r="E154" s="237">
        <v>0</v>
      </c>
      <c r="F154" s="273">
        <f t="shared" si="59"/>
        <v>1050</v>
      </c>
      <c r="G154" s="273">
        <v>0</v>
      </c>
      <c r="H154" s="238">
        <v>1000</v>
      </c>
      <c r="I154" s="238">
        <v>50</v>
      </c>
      <c r="J154" s="223">
        <v>0</v>
      </c>
      <c r="K154" s="261">
        <v>0</v>
      </c>
      <c r="L154" s="261">
        <v>0</v>
      </c>
      <c r="M154" s="261">
        <v>0</v>
      </c>
      <c r="N154" s="261">
        <v>0</v>
      </c>
      <c r="O154" s="260">
        <v>0</v>
      </c>
      <c r="P154" s="261">
        <f t="shared" si="61"/>
        <v>0</v>
      </c>
      <c r="Q154" s="261">
        <v>0</v>
      </c>
      <c r="R154" s="261">
        <v>0</v>
      </c>
      <c r="S154" s="261">
        <v>0</v>
      </c>
      <c r="T154" s="260">
        <v>0</v>
      </c>
      <c r="U154" s="261">
        <v>0</v>
      </c>
      <c r="V154" s="261">
        <v>0</v>
      </c>
      <c r="W154" s="261">
        <v>0</v>
      </c>
      <c r="X154" s="261">
        <v>0</v>
      </c>
      <c r="Y154" s="260">
        <v>0</v>
      </c>
      <c r="Z154" s="261">
        <v>0</v>
      </c>
      <c r="AA154" s="261">
        <v>0</v>
      </c>
      <c r="AB154" s="261">
        <v>0</v>
      </c>
      <c r="AC154" s="261">
        <v>0</v>
      </c>
      <c r="AD154" s="264"/>
    </row>
    <row r="155" spans="1:30" s="18" customFormat="1" ht="60" customHeight="1" outlineLevel="1" x14ac:dyDescent="0.2">
      <c r="A155" s="276" t="s">
        <v>1224</v>
      </c>
      <c r="B155" s="275" t="s">
        <v>680</v>
      </c>
      <c r="C155" s="223">
        <f t="shared" si="58"/>
        <v>0</v>
      </c>
      <c r="D155" s="276">
        <f t="shared" si="60"/>
        <v>452</v>
      </c>
      <c r="E155" s="237">
        <v>0</v>
      </c>
      <c r="F155" s="273">
        <f t="shared" si="59"/>
        <v>452</v>
      </c>
      <c r="G155" s="273">
        <v>0</v>
      </c>
      <c r="H155" s="238">
        <v>430</v>
      </c>
      <c r="I155" s="238">
        <v>22</v>
      </c>
      <c r="J155" s="223">
        <v>0</v>
      </c>
      <c r="K155" s="261">
        <v>0</v>
      </c>
      <c r="L155" s="261">
        <v>0</v>
      </c>
      <c r="M155" s="261">
        <v>0</v>
      </c>
      <c r="N155" s="261">
        <v>0</v>
      </c>
      <c r="O155" s="260">
        <v>0</v>
      </c>
      <c r="P155" s="261">
        <f t="shared" si="61"/>
        <v>0</v>
      </c>
      <c r="Q155" s="261">
        <v>0</v>
      </c>
      <c r="R155" s="261">
        <v>0</v>
      </c>
      <c r="S155" s="261">
        <v>0</v>
      </c>
      <c r="T155" s="260">
        <v>0</v>
      </c>
      <c r="U155" s="261">
        <v>0</v>
      </c>
      <c r="V155" s="261">
        <v>0</v>
      </c>
      <c r="W155" s="261">
        <v>0</v>
      </c>
      <c r="X155" s="261">
        <v>0</v>
      </c>
      <c r="Y155" s="260">
        <v>0</v>
      </c>
      <c r="Z155" s="261">
        <v>0</v>
      </c>
      <c r="AA155" s="261">
        <v>0</v>
      </c>
      <c r="AB155" s="261">
        <v>0</v>
      </c>
      <c r="AC155" s="261">
        <v>0</v>
      </c>
      <c r="AD155" s="264"/>
    </row>
    <row r="156" spans="1:30" s="18" customFormat="1" ht="63" customHeight="1" outlineLevel="1" x14ac:dyDescent="0.2">
      <c r="A156" s="276" t="s">
        <v>1225</v>
      </c>
      <c r="B156" s="275" t="s">
        <v>681</v>
      </c>
      <c r="C156" s="223">
        <f t="shared" si="58"/>
        <v>0</v>
      </c>
      <c r="D156" s="276">
        <f t="shared" si="60"/>
        <v>697</v>
      </c>
      <c r="E156" s="237">
        <v>0</v>
      </c>
      <c r="F156" s="273">
        <f t="shared" si="59"/>
        <v>697</v>
      </c>
      <c r="G156" s="273">
        <v>0</v>
      </c>
      <c r="H156" s="238">
        <v>664</v>
      </c>
      <c r="I156" s="238">
        <v>33</v>
      </c>
      <c r="J156" s="223">
        <v>0</v>
      </c>
      <c r="K156" s="261">
        <v>0</v>
      </c>
      <c r="L156" s="261">
        <v>0</v>
      </c>
      <c r="M156" s="261">
        <v>0</v>
      </c>
      <c r="N156" s="261">
        <v>0</v>
      </c>
      <c r="O156" s="260">
        <v>0</v>
      </c>
      <c r="P156" s="261">
        <f t="shared" si="61"/>
        <v>0</v>
      </c>
      <c r="Q156" s="261">
        <v>0</v>
      </c>
      <c r="R156" s="261">
        <v>0</v>
      </c>
      <c r="S156" s="261">
        <v>0</v>
      </c>
      <c r="T156" s="260">
        <v>0</v>
      </c>
      <c r="U156" s="261">
        <v>0</v>
      </c>
      <c r="V156" s="261">
        <v>0</v>
      </c>
      <c r="W156" s="261">
        <v>0</v>
      </c>
      <c r="X156" s="261">
        <v>0</v>
      </c>
      <c r="Y156" s="260">
        <v>0</v>
      </c>
      <c r="Z156" s="261">
        <v>0</v>
      </c>
      <c r="AA156" s="261">
        <v>0</v>
      </c>
      <c r="AB156" s="261">
        <v>0</v>
      </c>
      <c r="AC156" s="261">
        <v>0</v>
      </c>
      <c r="AD156" s="264"/>
    </row>
    <row r="157" spans="1:30" s="18" customFormat="1" ht="91.9" customHeight="1" outlineLevel="1" x14ac:dyDescent="0.2">
      <c r="A157" s="276" t="s">
        <v>1226</v>
      </c>
      <c r="B157" s="275" t="s">
        <v>355</v>
      </c>
      <c r="C157" s="223">
        <f t="shared" si="58"/>
        <v>0</v>
      </c>
      <c r="D157" s="276">
        <f t="shared" si="60"/>
        <v>461</v>
      </c>
      <c r="E157" s="237">
        <v>0</v>
      </c>
      <c r="F157" s="273">
        <f t="shared" si="59"/>
        <v>461</v>
      </c>
      <c r="G157" s="273">
        <v>0</v>
      </c>
      <c r="H157" s="238">
        <v>439</v>
      </c>
      <c r="I157" s="238">
        <v>22</v>
      </c>
      <c r="J157" s="223">
        <v>0</v>
      </c>
      <c r="K157" s="261">
        <v>0</v>
      </c>
      <c r="L157" s="261">
        <v>0</v>
      </c>
      <c r="M157" s="261">
        <v>0</v>
      </c>
      <c r="N157" s="261">
        <v>0</v>
      </c>
      <c r="O157" s="260">
        <v>0</v>
      </c>
      <c r="P157" s="261">
        <f t="shared" si="61"/>
        <v>0</v>
      </c>
      <c r="Q157" s="261">
        <v>0</v>
      </c>
      <c r="R157" s="261">
        <v>0</v>
      </c>
      <c r="S157" s="261">
        <v>0</v>
      </c>
      <c r="T157" s="260">
        <v>0</v>
      </c>
      <c r="U157" s="261">
        <v>0</v>
      </c>
      <c r="V157" s="261">
        <v>0</v>
      </c>
      <c r="W157" s="261">
        <v>0</v>
      </c>
      <c r="X157" s="261">
        <v>0</v>
      </c>
      <c r="Y157" s="260">
        <v>0</v>
      </c>
      <c r="Z157" s="261">
        <v>0</v>
      </c>
      <c r="AA157" s="261">
        <v>0</v>
      </c>
      <c r="AB157" s="261">
        <v>0</v>
      </c>
      <c r="AC157" s="261">
        <v>0</v>
      </c>
      <c r="AD157" s="264"/>
    </row>
    <row r="158" spans="1:30" s="18" customFormat="1" ht="54.75" customHeight="1" outlineLevel="1" x14ac:dyDescent="0.2">
      <c r="A158" s="276" t="s">
        <v>1227</v>
      </c>
      <c r="B158" s="275" t="s">
        <v>356</v>
      </c>
      <c r="C158" s="223">
        <f t="shared" si="58"/>
        <v>0</v>
      </c>
      <c r="D158" s="276">
        <f t="shared" si="60"/>
        <v>286</v>
      </c>
      <c r="E158" s="237">
        <v>0</v>
      </c>
      <c r="F158" s="273">
        <f t="shared" si="59"/>
        <v>286</v>
      </c>
      <c r="G158" s="273">
        <v>0</v>
      </c>
      <c r="H158" s="238">
        <v>272</v>
      </c>
      <c r="I158" s="238">
        <v>14</v>
      </c>
      <c r="J158" s="223">
        <v>0</v>
      </c>
      <c r="K158" s="261">
        <v>0</v>
      </c>
      <c r="L158" s="261">
        <v>0</v>
      </c>
      <c r="M158" s="261">
        <v>0</v>
      </c>
      <c r="N158" s="261">
        <v>0</v>
      </c>
      <c r="O158" s="260">
        <v>0</v>
      </c>
      <c r="P158" s="261">
        <f t="shared" si="61"/>
        <v>0</v>
      </c>
      <c r="Q158" s="261">
        <v>0</v>
      </c>
      <c r="R158" s="261">
        <v>0</v>
      </c>
      <c r="S158" s="261">
        <v>0</v>
      </c>
      <c r="T158" s="260">
        <v>0</v>
      </c>
      <c r="U158" s="261">
        <v>0</v>
      </c>
      <c r="V158" s="261">
        <v>0</v>
      </c>
      <c r="W158" s="261">
        <v>0</v>
      </c>
      <c r="X158" s="261">
        <v>0</v>
      </c>
      <c r="Y158" s="260">
        <v>0</v>
      </c>
      <c r="Z158" s="261">
        <v>0</v>
      </c>
      <c r="AA158" s="261">
        <v>0</v>
      </c>
      <c r="AB158" s="261">
        <v>0</v>
      </c>
      <c r="AC158" s="261">
        <v>0</v>
      </c>
      <c r="AD158" s="264"/>
    </row>
    <row r="159" spans="1:30" s="18" customFormat="1" ht="99" customHeight="1" outlineLevel="1" x14ac:dyDescent="0.2">
      <c r="A159" s="276" t="s">
        <v>1228</v>
      </c>
      <c r="B159" s="275" t="s">
        <v>357</v>
      </c>
      <c r="C159" s="223">
        <f t="shared" si="58"/>
        <v>0</v>
      </c>
      <c r="D159" s="276">
        <f t="shared" si="60"/>
        <v>1349</v>
      </c>
      <c r="E159" s="237">
        <v>0</v>
      </c>
      <c r="F159" s="273">
        <f t="shared" si="59"/>
        <v>1349</v>
      </c>
      <c r="G159" s="273">
        <v>0</v>
      </c>
      <c r="H159" s="238">
        <v>1284</v>
      </c>
      <c r="I159" s="238">
        <v>65</v>
      </c>
      <c r="J159" s="223">
        <v>0</v>
      </c>
      <c r="K159" s="261">
        <v>0</v>
      </c>
      <c r="L159" s="261">
        <v>0</v>
      </c>
      <c r="M159" s="261">
        <v>0</v>
      </c>
      <c r="N159" s="261">
        <v>0</v>
      </c>
      <c r="O159" s="260">
        <v>0</v>
      </c>
      <c r="P159" s="261">
        <f t="shared" si="61"/>
        <v>0</v>
      </c>
      <c r="Q159" s="261">
        <v>0</v>
      </c>
      <c r="R159" s="261">
        <v>0</v>
      </c>
      <c r="S159" s="261">
        <v>0</v>
      </c>
      <c r="T159" s="260">
        <v>0</v>
      </c>
      <c r="U159" s="261">
        <v>0</v>
      </c>
      <c r="V159" s="261">
        <v>0</v>
      </c>
      <c r="W159" s="261">
        <v>0</v>
      </c>
      <c r="X159" s="261">
        <v>0</v>
      </c>
      <c r="Y159" s="260">
        <v>0</v>
      </c>
      <c r="Z159" s="261">
        <v>0</v>
      </c>
      <c r="AA159" s="261">
        <v>0</v>
      </c>
      <c r="AB159" s="261">
        <v>0</v>
      </c>
      <c r="AC159" s="261">
        <v>0</v>
      </c>
      <c r="AD159" s="264"/>
    </row>
    <row r="160" spans="1:30" s="18" customFormat="1" ht="69" customHeight="1" outlineLevel="1" x14ac:dyDescent="0.2">
      <c r="A160" s="276" t="s">
        <v>1229</v>
      </c>
      <c r="B160" s="275" t="s">
        <v>283</v>
      </c>
      <c r="C160" s="223">
        <f t="shared" si="58"/>
        <v>0</v>
      </c>
      <c r="D160" s="276">
        <f t="shared" si="60"/>
        <v>142</v>
      </c>
      <c r="E160" s="237">
        <v>0</v>
      </c>
      <c r="F160" s="273">
        <f t="shared" si="59"/>
        <v>142</v>
      </c>
      <c r="G160" s="273">
        <v>0</v>
      </c>
      <c r="H160" s="238">
        <v>135</v>
      </c>
      <c r="I160" s="238">
        <v>7</v>
      </c>
      <c r="J160" s="223">
        <v>0</v>
      </c>
      <c r="K160" s="261">
        <v>0</v>
      </c>
      <c r="L160" s="261">
        <v>0</v>
      </c>
      <c r="M160" s="261">
        <v>0</v>
      </c>
      <c r="N160" s="261">
        <v>0</v>
      </c>
      <c r="O160" s="260">
        <v>0</v>
      </c>
      <c r="P160" s="261">
        <f t="shared" si="61"/>
        <v>0</v>
      </c>
      <c r="Q160" s="261">
        <v>0</v>
      </c>
      <c r="R160" s="261">
        <v>0</v>
      </c>
      <c r="S160" s="261">
        <v>0</v>
      </c>
      <c r="T160" s="260">
        <v>0</v>
      </c>
      <c r="U160" s="261">
        <v>0</v>
      </c>
      <c r="V160" s="261">
        <v>0</v>
      </c>
      <c r="W160" s="261">
        <v>0</v>
      </c>
      <c r="X160" s="261">
        <v>0</v>
      </c>
      <c r="Y160" s="260">
        <v>0</v>
      </c>
      <c r="Z160" s="261">
        <v>0</v>
      </c>
      <c r="AA160" s="261">
        <v>0</v>
      </c>
      <c r="AB160" s="261">
        <v>0</v>
      </c>
      <c r="AC160" s="261">
        <v>0</v>
      </c>
      <c r="AD160" s="264"/>
    </row>
    <row r="161" spans="1:30" s="18" customFormat="1" ht="76.900000000000006" customHeight="1" outlineLevel="1" x14ac:dyDescent="0.2">
      <c r="A161" s="276" t="s">
        <v>1230</v>
      </c>
      <c r="B161" s="275" t="s">
        <v>682</v>
      </c>
      <c r="C161" s="223">
        <f t="shared" si="58"/>
        <v>0</v>
      </c>
      <c r="D161" s="276">
        <f t="shared" si="60"/>
        <v>3782</v>
      </c>
      <c r="E161" s="237">
        <v>0</v>
      </c>
      <c r="F161" s="273">
        <f>G161+H161+I161</f>
        <v>3782</v>
      </c>
      <c r="G161" s="273">
        <v>0</v>
      </c>
      <c r="H161" s="238">
        <v>3601</v>
      </c>
      <c r="I161" s="238">
        <v>181</v>
      </c>
      <c r="J161" s="223">
        <v>0</v>
      </c>
      <c r="K161" s="261">
        <v>0</v>
      </c>
      <c r="L161" s="261">
        <v>0</v>
      </c>
      <c r="M161" s="261">
        <v>0</v>
      </c>
      <c r="N161" s="261">
        <v>0</v>
      </c>
      <c r="O161" s="260">
        <v>0</v>
      </c>
      <c r="P161" s="261">
        <f t="shared" si="61"/>
        <v>0</v>
      </c>
      <c r="Q161" s="261">
        <v>0</v>
      </c>
      <c r="R161" s="261">
        <v>0</v>
      </c>
      <c r="S161" s="261">
        <v>0</v>
      </c>
      <c r="T161" s="260">
        <v>0</v>
      </c>
      <c r="U161" s="261">
        <v>0</v>
      </c>
      <c r="V161" s="261">
        <v>0</v>
      </c>
      <c r="W161" s="261">
        <v>0</v>
      </c>
      <c r="X161" s="261">
        <v>0</v>
      </c>
      <c r="Y161" s="260">
        <v>0</v>
      </c>
      <c r="Z161" s="261">
        <v>0</v>
      </c>
      <c r="AA161" s="261">
        <v>0</v>
      </c>
      <c r="AB161" s="261">
        <v>0</v>
      </c>
      <c r="AC161" s="261">
        <v>0</v>
      </c>
      <c r="AD161" s="264"/>
    </row>
    <row r="162" spans="1:30" s="18" customFormat="1" ht="75" customHeight="1" outlineLevel="1" x14ac:dyDescent="0.2">
      <c r="A162" s="276" t="s">
        <v>1231</v>
      </c>
      <c r="B162" s="275" t="s">
        <v>683</v>
      </c>
      <c r="C162" s="223">
        <f t="shared" si="58"/>
        <v>0</v>
      </c>
      <c r="D162" s="276">
        <f t="shared" si="60"/>
        <v>3661</v>
      </c>
      <c r="E162" s="237">
        <v>0</v>
      </c>
      <c r="F162" s="273">
        <f t="shared" si="59"/>
        <v>3661</v>
      </c>
      <c r="G162" s="273">
        <v>0</v>
      </c>
      <c r="H162" s="238">
        <v>3485</v>
      </c>
      <c r="I162" s="238">
        <v>176</v>
      </c>
      <c r="J162" s="223">
        <v>0</v>
      </c>
      <c r="K162" s="261">
        <v>0</v>
      </c>
      <c r="L162" s="261">
        <v>0</v>
      </c>
      <c r="M162" s="261">
        <v>0</v>
      </c>
      <c r="N162" s="261">
        <v>0</v>
      </c>
      <c r="O162" s="260">
        <v>0</v>
      </c>
      <c r="P162" s="261">
        <f t="shared" si="61"/>
        <v>0</v>
      </c>
      <c r="Q162" s="261">
        <v>0</v>
      </c>
      <c r="R162" s="261">
        <v>0</v>
      </c>
      <c r="S162" s="261">
        <v>0</v>
      </c>
      <c r="T162" s="260">
        <v>0</v>
      </c>
      <c r="U162" s="261">
        <v>0</v>
      </c>
      <c r="V162" s="261">
        <v>0</v>
      </c>
      <c r="W162" s="261">
        <v>0</v>
      </c>
      <c r="X162" s="261">
        <v>0</v>
      </c>
      <c r="Y162" s="260">
        <v>0</v>
      </c>
      <c r="Z162" s="261">
        <v>0</v>
      </c>
      <c r="AA162" s="261">
        <v>0</v>
      </c>
      <c r="AB162" s="261">
        <v>0</v>
      </c>
      <c r="AC162" s="261">
        <v>0</v>
      </c>
      <c r="AD162" s="264"/>
    </row>
    <row r="163" spans="1:30" s="18" customFormat="1" ht="81" customHeight="1" outlineLevel="1" x14ac:dyDescent="0.2">
      <c r="A163" s="276" t="s">
        <v>1232</v>
      </c>
      <c r="B163" s="275" t="s">
        <v>358</v>
      </c>
      <c r="C163" s="223">
        <f t="shared" si="58"/>
        <v>0</v>
      </c>
      <c r="D163" s="276">
        <f t="shared" si="60"/>
        <v>1132</v>
      </c>
      <c r="E163" s="237">
        <v>0</v>
      </c>
      <c r="F163" s="273">
        <f t="shared" si="59"/>
        <v>1132</v>
      </c>
      <c r="G163" s="273">
        <v>0</v>
      </c>
      <c r="H163" s="238">
        <v>1078</v>
      </c>
      <c r="I163" s="238">
        <v>54</v>
      </c>
      <c r="J163" s="223">
        <v>0</v>
      </c>
      <c r="K163" s="261">
        <v>0</v>
      </c>
      <c r="L163" s="261">
        <v>0</v>
      </c>
      <c r="M163" s="261">
        <v>0</v>
      </c>
      <c r="N163" s="261">
        <v>0</v>
      </c>
      <c r="O163" s="260">
        <v>0</v>
      </c>
      <c r="P163" s="261">
        <f t="shared" si="61"/>
        <v>0</v>
      </c>
      <c r="Q163" s="261">
        <v>0</v>
      </c>
      <c r="R163" s="261">
        <v>0</v>
      </c>
      <c r="S163" s="261">
        <v>0</v>
      </c>
      <c r="T163" s="260">
        <v>0</v>
      </c>
      <c r="U163" s="261">
        <v>0</v>
      </c>
      <c r="V163" s="261">
        <v>0</v>
      </c>
      <c r="W163" s="261">
        <v>0</v>
      </c>
      <c r="X163" s="261">
        <v>0</v>
      </c>
      <c r="Y163" s="260">
        <v>0</v>
      </c>
      <c r="Z163" s="261">
        <v>0</v>
      </c>
      <c r="AA163" s="261">
        <v>0</v>
      </c>
      <c r="AB163" s="261">
        <v>0</v>
      </c>
      <c r="AC163" s="261">
        <v>0</v>
      </c>
      <c r="AD163" s="264"/>
    </row>
    <row r="164" spans="1:30" s="18" customFormat="1" ht="69.599999999999994" customHeight="1" outlineLevel="1" x14ac:dyDescent="0.2">
      <c r="A164" s="276" t="s">
        <v>1233</v>
      </c>
      <c r="B164" s="275" t="s">
        <v>684</v>
      </c>
      <c r="C164" s="223">
        <f t="shared" si="58"/>
        <v>0</v>
      </c>
      <c r="D164" s="276">
        <f t="shared" si="60"/>
        <v>1475</v>
      </c>
      <c r="E164" s="237">
        <v>0</v>
      </c>
      <c r="F164" s="273">
        <f>G164+H164+I164</f>
        <v>1475</v>
      </c>
      <c r="G164" s="273">
        <v>0</v>
      </c>
      <c r="H164" s="238">
        <v>1404</v>
      </c>
      <c r="I164" s="238">
        <v>71</v>
      </c>
      <c r="J164" s="223">
        <v>0</v>
      </c>
      <c r="K164" s="261">
        <v>0</v>
      </c>
      <c r="L164" s="261">
        <v>0</v>
      </c>
      <c r="M164" s="261">
        <v>0</v>
      </c>
      <c r="N164" s="261">
        <v>0</v>
      </c>
      <c r="O164" s="260">
        <v>0</v>
      </c>
      <c r="P164" s="261">
        <f t="shared" si="61"/>
        <v>0</v>
      </c>
      <c r="Q164" s="261">
        <v>0</v>
      </c>
      <c r="R164" s="261">
        <v>0</v>
      </c>
      <c r="S164" s="261">
        <v>0</v>
      </c>
      <c r="T164" s="260">
        <v>0</v>
      </c>
      <c r="U164" s="261">
        <v>0</v>
      </c>
      <c r="V164" s="261">
        <v>0</v>
      </c>
      <c r="W164" s="261">
        <v>0</v>
      </c>
      <c r="X164" s="261">
        <v>0</v>
      </c>
      <c r="Y164" s="260">
        <v>0</v>
      </c>
      <c r="Z164" s="261">
        <v>0</v>
      </c>
      <c r="AA164" s="261">
        <v>0</v>
      </c>
      <c r="AB164" s="261">
        <v>0</v>
      </c>
      <c r="AC164" s="261">
        <v>0</v>
      </c>
      <c r="AD164" s="264"/>
    </row>
    <row r="165" spans="1:30" s="18" customFormat="1" ht="57" customHeight="1" outlineLevel="1" x14ac:dyDescent="0.2">
      <c r="A165" s="276" t="s">
        <v>1234</v>
      </c>
      <c r="B165" s="275" t="s">
        <v>284</v>
      </c>
      <c r="C165" s="223">
        <f t="shared" si="58"/>
        <v>0</v>
      </c>
      <c r="D165" s="276">
        <f t="shared" si="60"/>
        <v>1148</v>
      </c>
      <c r="E165" s="237">
        <v>0</v>
      </c>
      <c r="F165" s="273">
        <f>G165+H165+I165</f>
        <v>1148</v>
      </c>
      <c r="G165" s="273">
        <v>0</v>
      </c>
      <c r="H165" s="238">
        <v>1093</v>
      </c>
      <c r="I165" s="238">
        <v>55</v>
      </c>
      <c r="J165" s="223">
        <v>0</v>
      </c>
      <c r="K165" s="261">
        <v>0</v>
      </c>
      <c r="L165" s="261">
        <v>0</v>
      </c>
      <c r="M165" s="261">
        <v>0</v>
      </c>
      <c r="N165" s="261">
        <v>0</v>
      </c>
      <c r="O165" s="260">
        <v>0</v>
      </c>
      <c r="P165" s="261">
        <f t="shared" si="61"/>
        <v>0</v>
      </c>
      <c r="Q165" s="261">
        <v>0</v>
      </c>
      <c r="R165" s="261">
        <v>0</v>
      </c>
      <c r="S165" s="261">
        <v>0</v>
      </c>
      <c r="T165" s="260">
        <v>0</v>
      </c>
      <c r="U165" s="261">
        <v>0</v>
      </c>
      <c r="V165" s="261">
        <v>0</v>
      </c>
      <c r="W165" s="261">
        <v>0</v>
      </c>
      <c r="X165" s="261">
        <v>0</v>
      </c>
      <c r="Y165" s="260">
        <v>0</v>
      </c>
      <c r="Z165" s="261">
        <v>0</v>
      </c>
      <c r="AA165" s="261">
        <v>0</v>
      </c>
      <c r="AB165" s="261">
        <v>0</v>
      </c>
      <c r="AC165" s="261">
        <v>0</v>
      </c>
      <c r="AD165" s="264"/>
    </row>
    <row r="166" spans="1:30" s="18" customFormat="1" ht="63" customHeight="1" outlineLevel="1" x14ac:dyDescent="0.2">
      <c r="A166" s="276" t="s">
        <v>1235</v>
      </c>
      <c r="B166" s="275" t="s">
        <v>359</v>
      </c>
      <c r="C166" s="223">
        <f t="shared" si="58"/>
        <v>0</v>
      </c>
      <c r="D166" s="276">
        <f t="shared" si="60"/>
        <v>828</v>
      </c>
      <c r="E166" s="237">
        <v>0</v>
      </c>
      <c r="F166" s="273">
        <f t="shared" si="59"/>
        <v>828</v>
      </c>
      <c r="G166" s="273">
        <v>0</v>
      </c>
      <c r="H166" s="238">
        <v>788</v>
      </c>
      <c r="I166" s="238">
        <v>40</v>
      </c>
      <c r="J166" s="223">
        <v>0</v>
      </c>
      <c r="K166" s="261">
        <v>0</v>
      </c>
      <c r="L166" s="261">
        <v>0</v>
      </c>
      <c r="M166" s="261">
        <v>0</v>
      </c>
      <c r="N166" s="261">
        <v>0</v>
      </c>
      <c r="O166" s="260">
        <v>0</v>
      </c>
      <c r="P166" s="261">
        <f t="shared" si="61"/>
        <v>0</v>
      </c>
      <c r="Q166" s="261">
        <v>0</v>
      </c>
      <c r="R166" s="261">
        <v>0</v>
      </c>
      <c r="S166" s="261">
        <v>0</v>
      </c>
      <c r="T166" s="260">
        <v>0</v>
      </c>
      <c r="U166" s="261">
        <v>0</v>
      </c>
      <c r="V166" s="261">
        <v>0</v>
      </c>
      <c r="W166" s="261">
        <v>0</v>
      </c>
      <c r="X166" s="261">
        <v>0</v>
      </c>
      <c r="Y166" s="260">
        <v>0</v>
      </c>
      <c r="Z166" s="261">
        <v>0</v>
      </c>
      <c r="AA166" s="261">
        <v>0</v>
      </c>
      <c r="AB166" s="261">
        <v>0</v>
      </c>
      <c r="AC166" s="261">
        <v>0</v>
      </c>
      <c r="AD166" s="264"/>
    </row>
    <row r="167" spans="1:30" s="18" customFormat="1" ht="115.9" customHeight="1" outlineLevel="1" x14ac:dyDescent="0.2">
      <c r="A167" s="276" t="s">
        <v>1236</v>
      </c>
      <c r="B167" s="275" t="s">
        <v>285</v>
      </c>
      <c r="C167" s="223">
        <f t="shared" si="58"/>
        <v>0</v>
      </c>
      <c r="D167" s="276">
        <f t="shared" si="60"/>
        <v>5055</v>
      </c>
      <c r="E167" s="237">
        <v>0</v>
      </c>
      <c r="F167" s="273">
        <f t="shared" si="59"/>
        <v>5055</v>
      </c>
      <c r="G167" s="273">
        <v>0</v>
      </c>
      <c r="H167" s="238">
        <v>4812</v>
      </c>
      <c r="I167" s="238">
        <v>243</v>
      </c>
      <c r="J167" s="223">
        <v>0</v>
      </c>
      <c r="K167" s="261">
        <v>0</v>
      </c>
      <c r="L167" s="261">
        <v>0</v>
      </c>
      <c r="M167" s="261">
        <v>0</v>
      </c>
      <c r="N167" s="261">
        <v>0</v>
      </c>
      <c r="O167" s="260">
        <v>0</v>
      </c>
      <c r="P167" s="261">
        <f t="shared" si="61"/>
        <v>0</v>
      </c>
      <c r="Q167" s="261">
        <v>0</v>
      </c>
      <c r="R167" s="261">
        <v>0</v>
      </c>
      <c r="S167" s="261">
        <v>0</v>
      </c>
      <c r="T167" s="260">
        <v>0</v>
      </c>
      <c r="U167" s="261">
        <v>0</v>
      </c>
      <c r="V167" s="261">
        <v>0</v>
      </c>
      <c r="W167" s="261">
        <v>0</v>
      </c>
      <c r="X167" s="261">
        <v>0</v>
      </c>
      <c r="Y167" s="260">
        <v>0</v>
      </c>
      <c r="Z167" s="261">
        <v>0</v>
      </c>
      <c r="AA167" s="261">
        <v>0</v>
      </c>
      <c r="AB167" s="261">
        <v>0</v>
      </c>
      <c r="AC167" s="261">
        <v>0</v>
      </c>
      <c r="AD167" s="264"/>
    </row>
    <row r="168" spans="1:30" s="18" customFormat="1" ht="99.75" customHeight="1" outlineLevel="1" x14ac:dyDescent="0.2">
      <c r="A168" s="276" t="s">
        <v>1237</v>
      </c>
      <c r="B168" s="275" t="s">
        <v>360</v>
      </c>
      <c r="C168" s="223">
        <f t="shared" si="58"/>
        <v>0</v>
      </c>
      <c r="D168" s="276">
        <f t="shared" si="60"/>
        <v>897</v>
      </c>
      <c r="E168" s="237">
        <v>0</v>
      </c>
      <c r="F168" s="273">
        <f t="shared" si="59"/>
        <v>897</v>
      </c>
      <c r="G168" s="273">
        <v>0</v>
      </c>
      <c r="H168" s="238">
        <v>854</v>
      </c>
      <c r="I168" s="238">
        <v>43</v>
      </c>
      <c r="J168" s="223">
        <v>0</v>
      </c>
      <c r="K168" s="261">
        <v>0</v>
      </c>
      <c r="L168" s="261">
        <v>0</v>
      </c>
      <c r="M168" s="261">
        <v>0</v>
      </c>
      <c r="N168" s="261">
        <v>0</v>
      </c>
      <c r="O168" s="260">
        <v>0</v>
      </c>
      <c r="P168" s="261">
        <f t="shared" si="61"/>
        <v>0</v>
      </c>
      <c r="Q168" s="261">
        <v>0</v>
      </c>
      <c r="R168" s="261">
        <v>0</v>
      </c>
      <c r="S168" s="261">
        <v>0</v>
      </c>
      <c r="T168" s="260">
        <v>0</v>
      </c>
      <c r="U168" s="261">
        <v>0</v>
      </c>
      <c r="V168" s="261">
        <v>0</v>
      </c>
      <c r="W168" s="261">
        <v>0</v>
      </c>
      <c r="X168" s="261">
        <v>0</v>
      </c>
      <c r="Y168" s="260">
        <v>0</v>
      </c>
      <c r="Z168" s="261">
        <v>0</v>
      </c>
      <c r="AA168" s="261">
        <v>0</v>
      </c>
      <c r="AB168" s="261">
        <v>0</v>
      </c>
      <c r="AC168" s="261">
        <v>0</v>
      </c>
      <c r="AD168" s="264"/>
    </row>
    <row r="169" spans="1:30" s="18" customFormat="1" ht="106.9" customHeight="1" outlineLevel="1" x14ac:dyDescent="0.2">
      <c r="A169" s="276" t="s">
        <v>1238</v>
      </c>
      <c r="B169" s="275" t="s">
        <v>286</v>
      </c>
      <c r="C169" s="223">
        <f t="shared" si="58"/>
        <v>0</v>
      </c>
      <c r="D169" s="276">
        <f t="shared" si="60"/>
        <v>551</v>
      </c>
      <c r="E169" s="237">
        <v>0</v>
      </c>
      <c r="F169" s="273">
        <f t="shared" ref="F169:F182" si="62">G169+H169+I169</f>
        <v>551</v>
      </c>
      <c r="G169" s="273">
        <v>0</v>
      </c>
      <c r="H169" s="238">
        <v>525</v>
      </c>
      <c r="I169" s="238">
        <v>26</v>
      </c>
      <c r="J169" s="223">
        <v>0</v>
      </c>
      <c r="K169" s="261">
        <v>0</v>
      </c>
      <c r="L169" s="261">
        <v>0</v>
      </c>
      <c r="M169" s="261">
        <v>0</v>
      </c>
      <c r="N169" s="261">
        <v>0</v>
      </c>
      <c r="O169" s="260">
        <v>0</v>
      </c>
      <c r="P169" s="261">
        <f t="shared" si="61"/>
        <v>0</v>
      </c>
      <c r="Q169" s="261">
        <v>0</v>
      </c>
      <c r="R169" s="261">
        <v>0</v>
      </c>
      <c r="S169" s="261">
        <v>0</v>
      </c>
      <c r="T169" s="260">
        <v>0</v>
      </c>
      <c r="U169" s="261">
        <v>0</v>
      </c>
      <c r="V169" s="261">
        <v>0</v>
      </c>
      <c r="W169" s="261">
        <v>0</v>
      </c>
      <c r="X169" s="261">
        <v>0</v>
      </c>
      <c r="Y169" s="260">
        <v>0</v>
      </c>
      <c r="Z169" s="261">
        <v>0</v>
      </c>
      <c r="AA169" s="261">
        <v>0</v>
      </c>
      <c r="AB169" s="261">
        <v>0</v>
      </c>
      <c r="AC169" s="261">
        <v>0</v>
      </c>
      <c r="AD169" s="264"/>
    </row>
    <row r="170" spans="1:30" s="18" customFormat="1" ht="39" customHeight="1" outlineLevel="1" x14ac:dyDescent="0.2">
      <c r="A170" s="276" t="s">
        <v>1239</v>
      </c>
      <c r="B170" s="275" t="s">
        <v>287</v>
      </c>
      <c r="C170" s="223">
        <f>E170+J170+O170+T170+Y170</f>
        <v>0</v>
      </c>
      <c r="D170" s="276">
        <f>F170+K170+P170+U170+Z170</f>
        <v>221</v>
      </c>
      <c r="E170" s="237">
        <v>0</v>
      </c>
      <c r="F170" s="273">
        <f t="shared" si="62"/>
        <v>221</v>
      </c>
      <c r="G170" s="273">
        <v>0</v>
      </c>
      <c r="H170" s="238">
        <v>210</v>
      </c>
      <c r="I170" s="238">
        <v>11</v>
      </c>
      <c r="J170" s="223">
        <v>0</v>
      </c>
      <c r="K170" s="261">
        <v>0</v>
      </c>
      <c r="L170" s="261">
        <v>0</v>
      </c>
      <c r="M170" s="261">
        <v>0</v>
      </c>
      <c r="N170" s="261">
        <v>0</v>
      </c>
      <c r="O170" s="260">
        <v>0</v>
      </c>
      <c r="P170" s="261">
        <f>S170</f>
        <v>0</v>
      </c>
      <c r="Q170" s="261">
        <v>0</v>
      </c>
      <c r="R170" s="261">
        <v>0</v>
      </c>
      <c r="S170" s="261">
        <v>0</v>
      </c>
      <c r="T170" s="260">
        <v>0</v>
      </c>
      <c r="U170" s="261">
        <v>0</v>
      </c>
      <c r="V170" s="261">
        <v>0</v>
      </c>
      <c r="W170" s="261">
        <v>0</v>
      </c>
      <c r="X170" s="261">
        <v>0</v>
      </c>
      <c r="Y170" s="260">
        <v>0</v>
      </c>
      <c r="Z170" s="261">
        <v>0</v>
      </c>
      <c r="AA170" s="261">
        <v>0</v>
      </c>
      <c r="AB170" s="261">
        <v>0</v>
      </c>
      <c r="AC170" s="261">
        <v>0</v>
      </c>
      <c r="AD170" s="264"/>
    </row>
    <row r="171" spans="1:30" s="18" customFormat="1" ht="105" customHeight="1" outlineLevel="1" x14ac:dyDescent="0.2">
      <c r="A171" s="276" t="s">
        <v>1240</v>
      </c>
      <c r="B171" s="275" t="s">
        <v>685</v>
      </c>
      <c r="C171" s="223">
        <f>E171+J171+O171+T171+Y171</f>
        <v>0</v>
      </c>
      <c r="D171" s="276">
        <f>F171+K171+P171+U171+Z171</f>
        <v>1624</v>
      </c>
      <c r="E171" s="237">
        <v>0</v>
      </c>
      <c r="F171" s="273">
        <f t="shared" si="62"/>
        <v>1624</v>
      </c>
      <c r="G171" s="273">
        <v>0</v>
      </c>
      <c r="H171" s="238">
        <v>1546</v>
      </c>
      <c r="I171" s="238">
        <v>78</v>
      </c>
      <c r="J171" s="223">
        <v>0</v>
      </c>
      <c r="K171" s="261">
        <v>0</v>
      </c>
      <c r="L171" s="261">
        <v>0</v>
      </c>
      <c r="M171" s="261">
        <v>0</v>
      </c>
      <c r="N171" s="261">
        <v>0</v>
      </c>
      <c r="O171" s="260">
        <v>0</v>
      </c>
      <c r="P171" s="261">
        <f>S171</f>
        <v>0</v>
      </c>
      <c r="Q171" s="261">
        <v>0</v>
      </c>
      <c r="R171" s="261">
        <v>0</v>
      </c>
      <c r="S171" s="261">
        <v>0</v>
      </c>
      <c r="T171" s="260">
        <v>0</v>
      </c>
      <c r="U171" s="261">
        <v>0</v>
      </c>
      <c r="V171" s="261">
        <v>0</v>
      </c>
      <c r="W171" s="261">
        <v>0</v>
      </c>
      <c r="X171" s="261">
        <v>0</v>
      </c>
      <c r="Y171" s="260">
        <v>0</v>
      </c>
      <c r="Z171" s="261">
        <v>0</v>
      </c>
      <c r="AA171" s="261">
        <v>0</v>
      </c>
      <c r="AB171" s="261">
        <v>0</v>
      </c>
      <c r="AC171" s="261">
        <v>0</v>
      </c>
      <c r="AD171" s="264"/>
    </row>
    <row r="172" spans="1:30" s="18" customFormat="1" ht="57" customHeight="1" outlineLevel="1" x14ac:dyDescent="0.2">
      <c r="A172" s="276" t="s">
        <v>1241</v>
      </c>
      <c r="B172" s="275" t="s">
        <v>686</v>
      </c>
      <c r="C172" s="223">
        <f t="shared" ref="C172:C189" si="63">E172+J172+O172+T172+Y172</f>
        <v>0</v>
      </c>
      <c r="D172" s="276">
        <f t="shared" si="60"/>
        <v>164</v>
      </c>
      <c r="E172" s="237">
        <v>0</v>
      </c>
      <c r="F172" s="273">
        <f t="shared" si="62"/>
        <v>164</v>
      </c>
      <c r="G172" s="273">
        <v>0</v>
      </c>
      <c r="H172" s="238">
        <v>156</v>
      </c>
      <c r="I172" s="238">
        <v>8</v>
      </c>
      <c r="J172" s="223">
        <v>0</v>
      </c>
      <c r="K172" s="261">
        <v>0</v>
      </c>
      <c r="L172" s="261">
        <v>0</v>
      </c>
      <c r="M172" s="261">
        <v>0</v>
      </c>
      <c r="N172" s="261">
        <v>0</v>
      </c>
      <c r="O172" s="260">
        <v>0</v>
      </c>
      <c r="P172" s="261">
        <f t="shared" si="61"/>
        <v>0</v>
      </c>
      <c r="Q172" s="261">
        <v>0</v>
      </c>
      <c r="R172" s="261">
        <v>0</v>
      </c>
      <c r="S172" s="261">
        <v>0</v>
      </c>
      <c r="T172" s="260">
        <v>0</v>
      </c>
      <c r="U172" s="261">
        <v>0</v>
      </c>
      <c r="V172" s="261">
        <v>0</v>
      </c>
      <c r="W172" s="261">
        <v>0</v>
      </c>
      <c r="X172" s="261">
        <v>0</v>
      </c>
      <c r="Y172" s="260">
        <v>0</v>
      </c>
      <c r="Z172" s="261">
        <v>0</v>
      </c>
      <c r="AA172" s="261">
        <v>0</v>
      </c>
      <c r="AB172" s="261">
        <v>0</v>
      </c>
      <c r="AC172" s="261">
        <v>0</v>
      </c>
      <c r="AD172" s="264"/>
    </row>
    <row r="173" spans="1:30" s="18" customFormat="1" ht="49.9" customHeight="1" outlineLevel="1" x14ac:dyDescent="0.2">
      <c r="A173" s="276" t="s">
        <v>1242</v>
      </c>
      <c r="B173" s="275" t="s">
        <v>687</v>
      </c>
      <c r="C173" s="223">
        <f t="shared" si="63"/>
        <v>0</v>
      </c>
      <c r="D173" s="276">
        <f t="shared" ref="D173:D182" si="64">F173+K173+P173+U173+Z173</f>
        <v>108</v>
      </c>
      <c r="E173" s="237">
        <v>0</v>
      </c>
      <c r="F173" s="273">
        <f t="shared" si="62"/>
        <v>108</v>
      </c>
      <c r="G173" s="273">
        <v>0</v>
      </c>
      <c r="H173" s="238">
        <v>102</v>
      </c>
      <c r="I173" s="238">
        <v>6</v>
      </c>
      <c r="J173" s="223">
        <v>0</v>
      </c>
      <c r="K173" s="261">
        <v>0</v>
      </c>
      <c r="L173" s="261">
        <v>0</v>
      </c>
      <c r="M173" s="261">
        <v>0</v>
      </c>
      <c r="N173" s="261">
        <v>0</v>
      </c>
      <c r="O173" s="260">
        <v>0</v>
      </c>
      <c r="P173" s="261">
        <f t="shared" ref="P173:P181" si="65">S173</f>
        <v>0</v>
      </c>
      <c r="Q173" s="261">
        <v>0</v>
      </c>
      <c r="R173" s="261">
        <v>0</v>
      </c>
      <c r="S173" s="261">
        <v>0</v>
      </c>
      <c r="T173" s="260">
        <v>0</v>
      </c>
      <c r="U173" s="261">
        <v>0</v>
      </c>
      <c r="V173" s="261">
        <v>0</v>
      </c>
      <c r="W173" s="261">
        <v>0</v>
      </c>
      <c r="X173" s="261">
        <v>0</v>
      </c>
      <c r="Y173" s="260">
        <v>0</v>
      </c>
      <c r="Z173" s="261">
        <v>0</v>
      </c>
      <c r="AA173" s="261">
        <v>0</v>
      </c>
      <c r="AB173" s="261">
        <v>0</v>
      </c>
      <c r="AC173" s="261">
        <v>0</v>
      </c>
      <c r="AD173" s="264"/>
    </row>
    <row r="174" spans="1:30" s="18" customFormat="1" ht="52.9" customHeight="1" outlineLevel="1" x14ac:dyDescent="0.2">
      <c r="A174" s="276" t="s">
        <v>1243</v>
      </c>
      <c r="B174" s="275" t="s">
        <v>288</v>
      </c>
      <c r="C174" s="223">
        <f t="shared" si="63"/>
        <v>0</v>
      </c>
      <c r="D174" s="276">
        <f t="shared" si="64"/>
        <v>398</v>
      </c>
      <c r="E174" s="237">
        <v>0</v>
      </c>
      <c r="F174" s="273">
        <f t="shared" si="62"/>
        <v>398</v>
      </c>
      <c r="G174" s="273">
        <v>0</v>
      </c>
      <c r="H174" s="238">
        <v>379</v>
      </c>
      <c r="I174" s="238">
        <v>19</v>
      </c>
      <c r="J174" s="223">
        <v>0</v>
      </c>
      <c r="K174" s="261">
        <v>0</v>
      </c>
      <c r="L174" s="261">
        <v>0</v>
      </c>
      <c r="M174" s="261">
        <v>0</v>
      </c>
      <c r="N174" s="261">
        <v>0</v>
      </c>
      <c r="O174" s="260">
        <v>0</v>
      </c>
      <c r="P174" s="261">
        <f t="shared" si="65"/>
        <v>0</v>
      </c>
      <c r="Q174" s="261">
        <v>0</v>
      </c>
      <c r="R174" s="261">
        <v>0</v>
      </c>
      <c r="S174" s="261">
        <v>0</v>
      </c>
      <c r="T174" s="260">
        <v>0</v>
      </c>
      <c r="U174" s="261">
        <v>0</v>
      </c>
      <c r="V174" s="261">
        <v>0</v>
      </c>
      <c r="W174" s="261">
        <v>0</v>
      </c>
      <c r="X174" s="261">
        <v>0</v>
      </c>
      <c r="Y174" s="260">
        <v>0</v>
      </c>
      <c r="Z174" s="261">
        <v>0</v>
      </c>
      <c r="AA174" s="261">
        <v>0</v>
      </c>
      <c r="AB174" s="261">
        <v>0</v>
      </c>
      <c r="AC174" s="261">
        <v>0</v>
      </c>
      <c r="AD174" s="264"/>
    </row>
    <row r="175" spans="1:30" s="18" customFormat="1" ht="49.9" customHeight="1" outlineLevel="1" x14ac:dyDescent="0.2">
      <c r="A175" s="276" t="s">
        <v>1244</v>
      </c>
      <c r="B175" s="275" t="s">
        <v>289</v>
      </c>
      <c r="C175" s="223">
        <f t="shared" si="63"/>
        <v>0</v>
      </c>
      <c r="D175" s="276">
        <f t="shared" si="64"/>
        <v>173</v>
      </c>
      <c r="E175" s="237">
        <v>0</v>
      </c>
      <c r="F175" s="273">
        <f t="shared" si="62"/>
        <v>173</v>
      </c>
      <c r="G175" s="273">
        <v>0</v>
      </c>
      <c r="H175" s="238">
        <v>165</v>
      </c>
      <c r="I175" s="238">
        <v>8</v>
      </c>
      <c r="J175" s="223">
        <v>0</v>
      </c>
      <c r="K175" s="261">
        <v>0</v>
      </c>
      <c r="L175" s="261">
        <v>0</v>
      </c>
      <c r="M175" s="261">
        <v>0</v>
      </c>
      <c r="N175" s="261">
        <v>0</v>
      </c>
      <c r="O175" s="260">
        <v>0</v>
      </c>
      <c r="P175" s="261">
        <f t="shared" si="65"/>
        <v>0</v>
      </c>
      <c r="Q175" s="261">
        <v>0</v>
      </c>
      <c r="R175" s="261">
        <v>0</v>
      </c>
      <c r="S175" s="261">
        <v>0</v>
      </c>
      <c r="T175" s="260">
        <v>0</v>
      </c>
      <c r="U175" s="261">
        <v>0</v>
      </c>
      <c r="V175" s="261">
        <v>0</v>
      </c>
      <c r="W175" s="261">
        <v>0</v>
      </c>
      <c r="X175" s="261">
        <v>0</v>
      </c>
      <c r="Y175" s="260">
        <v>0</v>
      </c>
      <c r="Z175" s="261">
        <v>0</v>
      </c>
      <c r="AA175" s="261">
        <v>0</v>
      </c>
      <c r="AB175" s="261">
        <v>0</v>
      </c>
      <c r="AC175" s="261">
        <v>0</v>
      </c>
      <c r="AD175" s="264"/>
    </row>
    <row r="176" spans="1:30" s="18" customFormat="1" ht="67.900000000000006" customHeight="1" outlineLevel="1" x14ac:dyDescent="0.2">
      <c r="A176" s="276" t="s">
        <v>1245</v>
      </c>
      <c r="B176" s="275" t="s">
        <v>290</v>
      </c>
      <c r="C176" s="223">
        <f t="shared" si="63"/>
        <v>0</v>
      </c>
      <c r="D176" s="276">
        <f t="shared" si="64"/>
        <v>6317</v>
      </c>
      <c r="E176" s="237">
        <v>0</v>
      </c>
      <c r="F176" s="273">
        <f t="shared" si="62"/>
        <v>6317</v>
      </c>
      <c r="G176" s="273">
        <v>0</v>
      </c>
      <c r="H176" s="238">
        <v>6014</v>
      </c>
      <c r="I176" s="238">
        <v>303</v>
      </c>
      <c r="J176" s="223">
        <v>0</v>
      </c>
      <c r="K176" s="261">
        <v>0</v>
      </c>
      <c r="L176" s="261">
        <v>0</v>
      </c>
      <c r="M176" s="261">
        <v>0</v>
      </c>
      <c r="N176" s="261">
        <v>0</v>
      </c>
      <c r="O176" s="260">
        <v>0</v>
      </c>
      <c r="P176" s="261">
        <f t="shared" si="65"/>
        <v>0</v>
      </c>
      <c r="Q176" s="261">
        <v>0</v>
      </c>
      <c r="R176" s="261">
        <v>0</v>
      </c>
      <c r="S176" s="261">
        <v>0</v>
      </c>
      <c r="T176" s="260">
        <v>0</v>
      </c>
      <c r="U176" s="261">
        <v>0</v>
      </c>
      <c r="V176" s="261">
        <v>0</v>
      </c>
      <c r="W176" s="261">
        <v>0</v>
      </c>
      <c r="X176" s="261">
        <v>0</v>
      </c>
      <c r="Y176" s="260">
        <v>0</v>
      </c>
      <c r="Z176" s="261">
        <v>0</v>
      </c>
      <c r="AA176" s="261">
        <v>0</v>
      </c>
      <c r="AB176" s="261">
        <v>0</v>
      </c>
      <c r="AC176" s="261">
        <v>0</v>
      </c>
      <c r="AD176" s="264"/>
    </row>
    <row r="177" spans="1:30" s="18" customFormat="1" ht="132.75" customHeight="1" outlineLevel="1" x14ac:dyDescent="0.2">
      <c r="A177" s="276" t="s">
        <v>1246</v>
      </c>
      <c r="B177" s="275" t="s">
        <v>579</v>
      </c>
      <c r="C177" s="223">
        <f t="shared" si="63"/>
        <v>0</v>
      </c>
      <c r="D177" s="276">
        <f t="shared" si="64"/>
        <v>1105</v>
      </c>
      <c r="E177" s="237">
        <v>0</v>
      </c>
      <c r="F177" s="273">
        <f t="shared" si="62"/>
        <v>330</v>
      </c>
      <c r="G177" s="273">
        <v>0</v>
      </c>
      <c r="H177" s="238">
        <v>0</v>
      </c>
      <c r="I177" s="238">
        <v>330</v>
      </c>
      <c r="J177" s="223">
        <v>0</v>
      </c>
      <c r="K177" s="261">
        <f>L177+M177+N177</f>
        <v>277</v>
      </c>
      <c r="L177" s="261">
        <v>0</v>
      </c>
      <c r="M177" s="261">
        <v>0</v>
      </c>
      <c r="N177" s="261">
        <f>300-23</f>
        <v>277</v>
      </c>
      <c r="O177" s="260">
        <v>0</v>
      </c>
      <c r="P177" s="261">
        <f t="shared" si="65"/>
        <v>100</v>
      </c>
      <c r="Q177" s="261">
        <v>0</v>
      </c>
      <c r="R177" s="261">
        <v>0</v>
      </c>
      <c r="S177" s="261">
        <f>400-200+337-437</f>
        <v>100</v>
      </c>
      <c r="T177" s="260">
        <v>0</v>
      </c>
      <c r="U177" s="261">
        <f>X177+W177+V177</f>
        <v>198</v>
      </c>
      <c r="V177" s="261">
        <v>0</v>
      </c>
      <c r="W177" s="261">
        <v>0</v>
      </c>
      <c r="X177" s="261">
        <v>198</v>
      </c>
      <c r="Y177" s="260">
        <v>0</v>
      </c>
      <c r="Z177" s="261">
        <f>AC177+AB177+AA177</f>
        <v>200</v>
      </c>
      <c r="AA177" s="261">
        <v>0</v>
      </c>
      <c r="AB177" s="261">
        <v>0</v>
      </c>
      <c r="AC177" s="261">
        <f>400-200</f>
        <v>200</v>
      </c>
      <c r="AD177" s="264"/>
    </row>
    <row r="178" spans="1:30" s="18" customFormat="1" ht="43.5" customHeight="1" outlineLevel="1" x14ac:dyDescent="0.2">
      <c r="A178" s="276" t="s">
        <v>1247</v>
      </c>
      <c r="B178" s="275" t="s">
        <v>659</v>
      </c>
      <c r="C178" s="223">
        <f t="shared" si="63"/>
        <v>0</v>
      </c>
      <c r="D178" s="276">
        <f t="shared" si="64"/>
        <v>598</v>
      </c>
      <c r="E178" s="237">
        <v>0</v>
      </c>
      <c r="F178" s="273">
        <f t="shared" si="62"/>
        <v>0</v>
      </c>
      <c r="G178" s="273">
        <v>0</v>
      </c>
      <c r="H178" s="238">
        <v>0</v>
      </c>
      <c r="I178" s="238">
        <v>0</v>
      </c>
      <c r="J178" s="223">
        <v>0</v>
      </c>
      <c r="K178" s="261">
        <f>L178+M178+N178</f>
        <v>0</v>
      </c>
      <c r="L178" s="261">
        <v>0</v>
      </c>
      <c r="M178" s="261">
        <v>0</v>
      </c>
      <c r="N178" s="261">
        <v>0</v>
      </c>
      <c r="O178" s="260">
        <v>0</v>
      </c>
      <c r="P178" s="261">
        <f t="shared" si="65"/>
        <v>0</v>
      </c>
      <c r="Q178" s="261">
        <v>0</v>
      </c>
      <c r="R178" s="261">
        <v>0</v>
      </c>
      <c r="S178" s="261">
        <v>0</v>
      </c>
      <c r="T178" s="260">
        <v>0</v>
      </c>
      <c r="U178" s="261">
        <f>X178+W178+V178</f>
        <v>598</v>
      </c>
      <c r="V178" s="261">
        <v>0</v>
      </c>
      <c r="W178" s="261">
        <v>0</v>
      </c>
      <c r="X178" s="261">
        <v>598</v>
      </c>
      <c r="Y178" s="260">
        <v>0</v>
      </c>
      <c r="Z178" s="261">
        <f>AA178+AB178+AC178+AD178</f>
        <v>0</v>
      </c>
      <c r="AA178" s="261">
        <v>0</v>
      </c>
      <c r="AB178" s="261">
        <v>0</v>
      </c>
      <c r="AC178" s="261">
        <f>8256-8256</f>
        <v>0</v>
      </c>
      <c r="AD178" s="264"/>
    </row>
    <row r="179" spans="1:30" s="18" customFormat="1" ht="79.5" customHeight="1" outlineLevel="1" x14ac:dyDescent="0.2">
      <c r="A179" s="276" t="s">
        <v>1248</v>
      </c>
      <c r="B179" s="275" t="s">
        <v>19</v>
      </c>
      <c r="C179" s="223">
        <f t="shared" si="63"/>
        <v>0</v>
      </c>
      <c r="D179" s="276">
        <f t="shared" si="64"/>
        <v>772</v>
      </c>
      <c r="E179" s="237">
        <v>0</v>
      </c>
      <c r="F179" s="273">
        <f t="shared" si="62"/>
        <v>97</v>
      </c>
      <c r="G179" s="273">
        <v>0</v>
      </c>
      <c r="H179" s="238">
        <v>0</v>
      </c>
      <c r="I179" s="238">
        <v>97</v>
      </c>
      <c r="J179" s="223">
        <v>0</v>
      </c>
      <c r="K179" s="261">
        <f>L179+M179+N179</f>
        <v>174</v>
      </c>
      <c r="L179" s="261">
        <v>0</v>
      </c>
      <c r="M179" s="261">
        <v>0</v>
      </c>
      <c r="N179" s="261">
        <f>143+31</f>
        <v>174</v>
      </c>
      <c r="O179" s="260">
        <v>0</v>
      </c>
      <c r="P179" s="261">
        <f t="shared" si="65"/>
        <v>501</v>
      </c>
      <c r="Q179" s="261">
        <v>0</v>
      </c>
      <c r="R179" s="261">
        <v>0</v>
      </c>
      <c r="S179" s="261">
        <f>119+169-6+219</f>
        <v>501</v>
      </c>
      <c r="T179" s="260">
        <v>0</v>
      </c>
      <c r="U179" s="261">
        <f>V179+W179+X179</f>
        <v>0</v>
      </c>
      <c r="V179" s="261">
        <v>0</v>
      </c>
      <c r="W179" s="261">
        <v>0</v>
      </c>
      <c r="X179" s="261">
        <f>119-119</f>
        <v>0</v>
      </c>
      <c r="Y179" s="260">
        <v>0</v>
      </c>
      <c r="Z179" s="261">
        <v>0</v>
      </c>
      <c r="AA179" s="261">
        <v>0</v>
      </c>
      <c r="AB179" s="261">
        <v>0</v>
      </c>
      <c r="AC179" s="261">
        <v>0</v>
      </c>
      <c r="AD179" s="264"/>
    </row>
    <row r="180" spans="1:30" s="18" customFormat="1" ht="114" customHeight="1" outlineLevel="1" x14ac:dyDescent="0.2">
      <c r="A180" s="276" t="s">
        <v>1249</v>
      </c>
      <c r="B180" s="275" t="s">
        <v>345</v>
      </c>
      <c r="C180" s="223">
        <f t="shared" si="63"/>
        <v>0</v>
      </c>
      <c r="D180" s="276">
        <f t="shared" si="64"/>
        <v>30</v>
      </c>
      <c r="E180" s="237">
        <v>0</v>
      </c>
      <c r="F180" s="273">
        <f t="shared" si="62"/>
        <v>30</v>
      </c>
      <c r="G180" s="273">
        <v>0</v>
      </c>
      <c r="H180" s="238">
        <v>0</v>
      </c>
      <c r="I180" s="238">
        <v>30</v>
      </c>
      <c r="J180" s="223">
        <v>0</v>
      </c>
      <c r="K180" s="261">
        <v>0</v>
      </c>
      <c r="L180" s="261">
        <v>0</v>
      </c>
      <c r="M180" s="261">
        <v>0</v>
      </c>
      <c r="N180" s="261">
        <v>0</v>
      </c>
      <c r="O180" s="260">
        <v>0</v>
      </c>
      <c r="P180" s="261">
        <f t="shared" si="65"/>
        <v>0</v>
      </c>
      <c r="Q180" s="261">
        <v>0</v>
      </c>
      <c r="R180" s="261">
        <v>0</v>
      </c>
      <c r="S180" s="261">
        <v>0</v>
      </c>
      <c r="T180" s="260">
        <v>0</v>
      </c>
      <c r="U180" s="261">
        <f t="shared" ref="U180" si="66">V180+W180+X180</f>
        <v>0</v>
      </c>
      <c r="V180" s="261">
        <v>0</v>
      </c>
      <c r="W180" s="261">
        <v>0</v>
      </c>
      <c r="X180" s="261">
        <v>0</v>
      </c>
      <c r="Y180" s="260">
        <v>0</v>
      </c>
      <c r="Z180" s="261">
        <v>0</v>
      </c>
      <c r="AA180" s="261">
        <v>0</v>
      </c>
      <c r="AB180" s="261">
        <v>0</v>
      </c>
      <c r="AC180" s="261">
        <v>0</v>
      </c>
      <c r="AD180" s="264"/>
    </row>
    <row r="181" spans="1:30" s="18" customFormat="1" ht="73.5" customHeight="1" outlineLevel="1" x14ac:dyDescent="0.2">
      <c r="A181" s="276" t="s">
        <v>1250</v>
      </c>
      <c r="B181" s="275" t="s">
        <v>20</v>
      </c>
      <c r="C181" s="223">
        <f t="shared" si="63"/>
        <v>0</v>
      </c>
      <c r="D181" s="276">
        <f t="shared" si="64"/>
        <v>1631</v>
      </c>
      <c r="E181" s="237">
        <v>0</v>
      </c>
      <c r="F181" s="273">
        <f t="shared" si="62"/>
        <v>0</v>
      </c>
      <c r="G181" s="273">
        <v>0</v>
      </c>
      <c r="H181" s="238">
        <v>0</v>
      </c>
      <c r="I181" s="238">
        <v>0</v>
      </c>
      <c r="J181" s="223">
        <v>0</v>
      </c>
      <c r="K181" s="261">
        <f t="shared" ref="K181:K189" si="67">L181+M181+N181</f>
        <v>534</v>
      </c>
      <c r="L181" s="261">
        <v>0</v>
      </c>
      <c r="M181" s="261">
        <v>0</v>
      </c>
      <c r="N181" s="261">
        <f>565-31</f>
        <v>534</v>
      </c>
      <c r="O181" s="260">
        <v>0</v>
      </c>
      <c r="P181" s="261">
        <f t="shared" si="65"/>
        <v>97</v>
      </c>
      <c r="Q181" s="261">
        <v>0</v>
      </c>
      <c r="R181" s="261">
        <v>0</v>
      </c>
      <c r="S181" s="261">
        <f>317-101+1-120</f>
        <v>97</v>
      </c>
      <c r="T181" s="260">
        <v>0</v>
      </c>
      <c r="U181" s="261">
        <f>V181+W181+X181</f>
        <v>500</v>
      </c>
      <c r="V181" s="261">
        <v>0</v>
      </c>
      <c r="W181" s="261">
        <v>0</v>
      </c>
      <c r="X181" s="261">
        <v>500</v>
      </c>
      <c r="Y181" s="260">
        <v>0</v>
      </c>
      <c r="Z181" s="261">
        <f>AA181+AB181+AC181</f>
        <v>500</v>
      </c>
      <c r="AA181" s="261">
        <v>0</v>
      </c>
      <c r="AB181" s="261">
        <v>0</v>
      </c>
      <c r="AC181" s="261">
        <v>500</v>
      </c>
      <c r="AD181" s="264"/>
    </row>
    <row r="182" spans="1:30" s="18" customFormat="1" ht="61.5" customHeight="1" outlineLevel="1" x14ac:dyDescent="0.2">
      <c r="A182" s="276" t="s">
        <v>1251</v>
      </c>
      <c r="B182" s="275" t="s">
        <v>366</v>
      </c>
      <c r="C182" s="223">
        <f t="shared" si="63"/>
        <v>0</v>
      </c>
      <c r="D182" s="276">
        <f t="shared" si="64"/>
        <v>872</v>
      </c>
      <c r="E182" s="237">
        <v>0</v>
      </c>
      <c r="F182" s="273">
        <f t="shared" si="62"/>
        <v>0</v>
      </c>
      <c r="G182" s="273">
        <v>0</v>
      </c>
      <c r="H182" s="238">
        <v>0</v>
      </c>
      <c r="I182" s="273">
        <v>0</v>
      </c>
      <c r="J182" s="223">
        <v>0</v>
      </c>
      <c r="K182" s="261">
        <f t="shared" si="67"/>
        <v>872</v>
      </c>
      <c r="L182" s="261">
        <v>0</v>
      </c>
      <c r="M182" s="261">
        <v>0</v>
      </c>
      <c r="N182" s="261">
        <v>872</v>
      </c>
      <c r="O182" s="260">
        <v>0</v>
      </c>
      <c r="P182" s="261">
        <f>Q182+R182+S182</f>
        <v>0</v>
      </c>
      <c r="Q182" s="261">
        <v>0</v>
      </c>
      <c r="R182" s="261">
        <v>0</v>
      </c>
      <c r="S182" s="261">
        <v>0</v>
      </c>
      <c r="T182" s="260">
        <v>0</v>
      </c>
      <c r="U182" s="261">
        <f>V182+W182+X182</f>
        <v>0</v>
      </c>
      <c r="V182" s="261">
        <v>0</v>
      </c>
      <c r="W182" s="261">
        <v>0</v>
      </c>
      <c r="X182" s="261">
        <v>0</v>
      </c>
      <c r="Y182" s="260">
        <v>0</v>
      </c>
      <c r="Z182" s="261">
        <f>AA182+AB182+AC182</f>
        <v>0</v>
      </c>
      <c r="AA182" s="261">
        <v>0</v>
      </c>
      <c r="AB182" s="261">
        <v>0</v>
      </c>
      <c r="AC182" s="261">
        <v>0</v>
      </c>
      <c r="AD182" s="264"/>
    </row>
    <row r="183" spans="1:30" s="17" customFormat="1" ht="57.75" customHeight="1" outlineLevel="1" x14ac:dyDescent="0.2">
      <c r="A183" s="276" t="s">
        <v>1252</v>
      </c>
      <c r="B183" s="259" t="s">
        <v>534</v>
      </c>
      <c r="C183" s="260">
        <f t="shared" si="63"/>
        <v>0</v>
      </c>
      <c r="D183" s="238">
        <f t="shared" ref="D183:E186" si="68">F183+K183+P183+U183+Z183</f>
        <v>3393</v>
      </c>
      <c r="E183" s="237">
        <f t="shared" si="68"/>
        <v>0</v>
      </c>
      <c r="F183" s="238">
        <f t="shared" ref="F183:F188" si="69">G183+H183+I183</f>
        <v>0</v>
      </c>
      <c r="G183" s="238">
        <v>0</v>
      </c>
      <c r="H183" s="238">
        <v>0</v>
      </c>
      <c r="I183" s="238">
        <v>0</v>
      </c>
      <c r="J183" s="260">
        <v>0</v>
      </c>
      <c r="K183" s="261">
        <f t="shared" si="67"/>
        <v>0</v>
      </c>
      <c r="L183" s="261">
        <v>0</v>
      </c>
      <c r="M183" s="261">
        <v>0</v>
      </c>
      <c r="N183" s="261">
        <v>0</v>
      </c>
      <c r="O183" s="260">
        <v>0</v>
      </c>
      <c r="P183" s="261">
        <f t="shared" ref="P183:P189" si="70">Q183+R183+S183</f>
        <v>3393</v>
      </c>
      <c r="Q183" s="261">
        <v>0</v>
      </c>
      <c r="R183" s="261">
        <v>0</v>
      </c>
      <c r="S183" s="261">
        <f>3782-37-352</f>
        <v>3393</v>
      </c>
      <c r="T183" s="263">
        <v>0</v>
      </c>
      <c r="U183" s="262">
        <v>0</v>
      </c>
      <c r="V183" s="262">
        <v>0</v>
      </c>
      <c r="W183" s="262">
        <v>0</v>
      </c>
      <c r="X183" s="262">
        <v>0</v>
      </c>
      <c r="Y183" s="260">
        <v>0</v>
      </c>
      <c r="Z183" s="261">
        <f t="shared" ref="Z183:Z188" si="71">AA183+AB183+AC183</f>
        <v>0</v>
      </c>
      <c r="AA183" s="261">
        <v>0</v>
      </c>
      <c r="AB183" s="261">
        <v>0</v>
      </c>
      <c r="AC183" s="261">
        <f>13507-13507</f>
        <v>0</v>
      </c>
      <c r="AD183" s="257"/>
    </row>
    <row r="184" spans="1:30" s="17" customFormat="1" ht="71.45" customHeight="1" outlineLevel="1" x14ac:dyDescent="0.2">
      <c r="A184" s="276" t="s">
        <v>1253</v>
      </c>
      <c r="B184" s="259" t="s">
        <v>555</v>
      </c>
      <c r="C184" s="260">
        <f t="shared" si="63"/>
        <v>7.51</v>
      </c>
      <c r="D184" s="238">
        <f t="shared" si="68"/>
        <v>25000</v>
      </c>
      <c r="E184" s="237">
        <f t="shared" si="68"/>
        <v>0</v>
      </c>
      <c r="F184" s="238">
        <f t="shared" si="69"/>
        <v>0</v>
      </c>
      <c r="G184" s="238">
        <v>0</v>
      </c>
      <c r="H184" s="238">
        <v>0</v>
      </c>
      <c r="I184" s="238">
        <v>0</v>
      </c>
      <c r="J184" s="260">
        <v>0</v>
      </c>
      <c r="K184" s="261">
        <f t="shared" si="67"/>
        <v>0</v>
      </c>
      <c r="L184" s="261">
        <v>0</v>
      </c>
      <c r="M184" s="261">
        <v>0</v>
      </c>
      <c r="N184" s="261">
        <v>0</v>
      </c>
      <c r="O184" s="260">
        <v>7.51</v>
      </c>
      <c r="P184" s="261">
        <f t="shared" si="70"/>
        <v>25000</v>
      </c>
      <c r="Q184" s="261">
        <v>0</v>
      </c>
      <c r="R184" s="261">
        <v>0</v>
      </c>
      <c r="S184" s="261">
        <v>25000</v>
      </c>
      <c r="T184" s="263">
        <v>0</v>
      </c>
      <c r="U184" s="262">
        <v>0</v>
      </c>
      <c r="V184" s="262">
        <v>0</v>
      </c>
      <c r="W184" s="262">
        <v>0</v>
      </c>
      <c r="X184" s="262">
        <v>0</v>
      </c>
      <c r="Y184" s="260">
        <v>0</v>
      </c>
      <c r="Z184" s="261">
        <f t="shared" si="71"/>
        <v>0</v>
      </c>
      <c r="AA184" s="261">
        <v>0</v>
      </c>
      <c r="AB184" s="261">
        <v>0</v>
      </c>
      <c r="AC184" s="261">
        <v>0</v>
      </c>
      <c r="AD184" s="257"/>
    </row>
    <row r="185" spans="1:30" s="17" customFormat="1" ht="71.45" customHeight="1" outlineLevel="1" x14ac:dyDescent="0.2">
      <c r="A185" s="276" t="s">
        <v>1254</v>
      </c>
      <c r="B185" s="259" t="s">
        <v>556</v>
      </c>
      <c r="C185" s="260">
        <f t="shared" si="63"/>
        <v>94.9</v>
      </c>
      <c r="D185" s="238">
        <f t="shared" si="68"/>
        <v>317153</v>
      </c>
      <c r="E185" s="237">
        <f t="shared" si="68"/>
        <v>0</v>
      </c>
      <c r="F185" s="238">
        <f t="shared" si="69"/>
        <v>0</v>
      </c>
      <c r="G185" s="238">
        <v>0</v>
      </c>
      <c r="H185" s="238">
        <v>0</v>
      </c>
      <c r="I185" s="238">
        <v>0</v>
      </c>
      <c r="J185" s="260">
        <v>0</v>
      </c>
      <c r="K185" s="261">
        <f t="shared" si="67"/>
        <v>0</v>
      </c>
      <c r="L185" s="261">
        <v>0</v>
      </c>
      <c r="M185" s="261">
        <v>0</v>
      </c>
      <c r="N185" s="261">
        <v>0</v>
      </c>
      <c r="O185" s="260">
        <v>94.9</v>
      </c>
      <c r="P185" s="261">
        <f t="shared" si="70"/>
        <v>317153</v>
      </c>
      <c r="Q185" s="261">
        <v>0</v>
      </c>
      <c r="R185" s="261">
        <f>300000-1242</f>
        <v>298758</v>
      </c>
      <c r="S185" s="261">
        <f>18471-76</f>
        <v>18395</v>
      </c>
      <c r="T185" s="263">
        <v>0</v>
      </c>
      <c r="U185" s="262">
        <v>0</v>
      </c>
      <c r="V185" s="262">
        <v>0</v>
      </c>
      <c r="W185" s="262">
        <v>0</v>
      </c>
      <c r="X185" s="262">
        <v>0</v>
      </c>
      <c r="Y185" s="260">
        <v>0</v>
      </c>
      <c r="Z185" s="261">
        <f t="shared" si="71"/>
        <v>0</v>
      </c>
      <c r="AA185" s="261">
        <v>0</v>
      </c>
      <c r="AB185" s="261">
        <v>0</v>
      </c>
      <c r="AC185" s="261">
        <v>0</v>
      </c>
      <c r="AD185" s="282"/>
    </row>
    <row r="186" spans="1:30" s="17" customFormat="1" ht="71.45" customHeight="1" outlineLevel="1" x14ac:dyDescent="0.2">
      <c r="A186" s="276" t="s">
        <v>1255</v>
      </c>
      <c r="B186" s="259" t="s">
        <v>557</v>
      </c>
      <c r="C186" s="260">
        <f t="shared" si="63"/>
        <v>10.35</v>
      </c>
      <c r="D186" s="238">
        <f t="shared" si="68"/>
        <v>23602</v>
      </c>
      <c r="E186" s="237">
        <f t="shared" si="68"/>
        <v>0</v>
      </c>
      <c r="F186" s="238">
        <f t="shared" si="69"/>
        <v>0</v>
      </c>
      <c r="G186" s="238">
        <v>0</v>
      </c>
      <c r="H186" s="238">
        <v>0</v>
      </c>
      <c r="I186" s="238">
        <v>0</v>
      </c>
      <c r="J186" s="260">
        <v>0</v>
      </c>
      <c r="K186" s="261">
        <f t="shared" si="67"/>
        <v>0</v>
      </c>
      <c r="L186" s="261">
        <v>0</v>
      </c>
      <c r="M186" s="261">
        <v>0</v>
      </c>
      <c r="N186" s="261">
        <v>0</v>
      </c>
      <c r="O186" s="260">
        <v>10.35</v>
      </c>
      <c r="P186" s="261">
        <f t="shared" si="70"/>
        <v>23602</v>
      </c>
      <c r="Q186" s="261">
        <v>0</v>
      </c>
      <c r="R186" s="261">
        <f>20550+1683</f>
        <v>22233</v>
      </c>
      <c r="S186" s="261">
        <f>1265+104</f>
        <v>1369</v>
      </c>
      <c r="T186" s="263">
        <v>0</v>
      </c>
      <c r="U186" s="262">
        <v>0</v>
      </c>
      <c r="V186" s="262">
        <v>0</v>
      </c>
      <c r="W186" s="262">
        <v>0</v>
      </c>
      <c r="X186" s="262">
        <v>0</v>
      </c>
      <c r="Y186" s="260">
        <v>0</v>
      </c>
      <c r="Z186" s="261">
        <f t="shared" si="71"/>
        <v>0</v>
      </c>
      <c r="AA186" s="261">
        <v>0</v>
      </c>
      <c r="AB186" s="261">
        <v>0</v>
      </c>
      <c r="AC186" s="261">
        <v>0</v>
      </c>
      <c r="AD186" s="257"/>
    </row>
    <row r="187" spans="1:30" s="17" customFormat="1" ht="71.45" customHeight="1" outlineLevel="1" x14ac:dyDescent="0.2">
      <c r="A187" s="276" t="s">
        <v>1256</v>
      </c>
      <c r="B187" s="259" t="s">
        <v>558</v>
      </c>
      <c r="C187" s="260">
        <f t="shared" si="63"/>
        <v>0</v>
      </c>
      <c r="D187" s="238">
        <f>F187+K187+P187+U187+Z187</f>
        <v>8779</v>
      </c>
      <c r="E187" s="237">
        <f>G187+L187+Q187+V187+AA187</f>
        <v>0</v>
      </c>
      <c r="F187" s="238">
        <f t="shared" si="69"/>
        <v>0</v>
      </c>
      <c r="G187" s="238">
        <v>0</v>
      </c>
      <c r="H187" s="238">
        <v>0</v>
      </c>
      <c r="I187" s="238">
        <v>0</v>
      </c>
      <c r="J187" s="260">
        <v>0</v>
      </c>
      <c r="K187" s="261">
        <f t="shared" si="67"/>
        <v>0</v>
      </c>
      <c r="L187" s="261">
        <v>0</v>
      </c>
      <c r="M187" s="261">
        <v>0</v>
      </c>
      <c r="N187" s="261">
        <v>0</v>
      </c>
      <c r="O187" s="260">
        <v>0</v>
      </c>
      <c r="P187" s="261">
        <f t="shared" si="70"/>
        <v>8779</v>
      </c>
      <c r="Q187" s="261">
        <v>0</v>
      </c>
      <c r="R187" s="261">
        <f>13450-5180</f>
        <v>8270</v>
      </c>
      <c r="S187" s="261">
        <f>829-320</f>
        <v>509</v>
      </c>
      <c r="T187" s="263">
        <v>0</v>
      </c>
      <c r="U187" s="262">
        <v>0</v>
      </c>
      <c r="V187" s="262">
        <v>0</v>
      </c>
      <c r="W187" s="262">
        <v>0</v>
      </c>
      <c r="X187" s="262">
        <v>0</v>
      </c>
      <c r="Y187" s="260">
        <v>0</v>
      </c>
      <c r="Z187" s="261">
        <f t="shared" si="71"/>
        <v>0</v>
      </c>
      <c r="AA187" s="261">
        <v>0</v>
      </c>
      <c r="AB187" s="261">
        <v>0</v>
      </c>
      <c r="AC187" s="261">
        <v>0</v>
      </c>
      <c r="AD187" s="257"/>
    </row>
    <row r="188" spans="1:30" s="17" customFormat="1" ht="86.25" customHeight="1" outlineLevel="1" x14ac:dyDescent="0.2">
      <c r="A188" s="276" t="s">
        <v>1257</v>
      </c>
      <c r="B188" s="259" t="s">
        <v>560</v>
      </c>
      <c r="C188" s="260">
        <f t="shared" si="63"/>
        <v>45</v>
      </c>
      <c r="D188" s="238">
        <f>F188+K188+P188+U188+Z188</f>
        <v>190000</v>
      </c>
      <c r="E188" s="237">
        <f>G188+L188+Q188+V188+AA188</f>
        <v>0</v>
      </c>
      <c r="F188" s="238">
        <f t="shared" si="69"/>
        <v>0</v>
      </c>
      <c r="G188" s="238">
        <v>0</v>
      </c>
      <c r="H188" s="238">
        <v>0</v>
      </c>
      <c r="I188" s="238">
        <v>0</v>
      </c>
      <c r="J188" s="260">
        <v>0</v>
      </c>
      <c r="K188" s="261">
        <f t="shared" si="67"/>
        <v>0</v>
      </c>
      <c r="L188" s="261">
        <v>0</v>
      </c>
      <c r="M188" s="261">
        <v>0</v>
      </c>
      <c r="N188" s="261">
        <v>0</v>
      </c>
      <c r="O188" s="260">
        <v>45</v>
      </c>
      <c r="P188" s="261">
        <f t="shared" si="70"/>
        <v>90000</v>
      </c>
      <c r="Q188" s="261">
        <v>0</v>
      </c>
      <c r="R188" s="261">
        <v>0</v>
      </c>
      <c r="S188" s="261">
        <v>90000</v>
      </c>
      <c r="T188" s="263">
        <v>0</v>
      </c>
      <c r="U188" s="262">
        <f>V188+W188+X188</f>
        <v>100000</v>
      </c>
      <c r="V188" s="262">
        <v>0</v>
      </c>
      <c r="W188" s="262">
        <v>0</v>
      </c>
      <c r="X188" s="262">
        <v>100000</v>
      </c>
      <c r="Y188" s="260">
        <v>0</v>
      </c>
      <c r="Z188" s="261">
        <f t="shared" si="71"/>
        <v>0</v>
      </c>
      <c r="AA188" s="261">
        <v>0</v>
      </c>
      <c r="AB188" s="261">
        <v>0</v>
      </c>
      <c r="AC188" s="261">
        <v>0</v>
      </c>
      <c r="AD188" s="257"/>
    </row>
    <row r="189" spans="1:30" s="18" customFormat="1" ht="18.75" customHeight="1" outlineLevel="1" x14ac:dyDescent="0.2">
      <c r="A189" s="258"/>
      <c r="B189" s="275" t="s">
        <v>220</v>
      </c>
      <c r="C189" s="223">
        <f t="shared" si="63"/>
        <v>0</v>
      </c>
      <c r="D189" s="276">
        <f>F189+K189+P189+U189+Z189+0.4</f>
        <v>15312.4</v>
      </c>
      <c r="E189" s="237">
        <v>0</v>
      </c>
      <c r="F189" s="273">
        <f>G189+H189+I189</f>
        <v>12277</v>
      </c>
      <c r="G189" s="273">
        <v>0</v>
      </c>
      <c r="H189" s="238">
        <f>11554+132+2+1</f>
        <v>11689</v>
      </c>
      <c r="I189" s="238">
        <f>583+7-3+1</f>
        <v>588</v>
      </c>
      <c r="J189" s="223">
        <v>0</v>
      </c>
      <c r="K189" s="261">
        <f t="shared" si="67"/>
        <v>0</v>
      </c>
      <c r="L189" s="261">
        <v>0</v>
      </c>
      <c r="M189" s="261">
        <v>0</v>
      </c>
      <c r="N189" s="261">
        <v>0</v>
      </c>
      <c r="O189" s="260">
        <v>0</v>
      </c>
      <c r="P189" s="261">
        <f t="shared" si="70"/>
        <v>3035</v>
      </c>
      <c r="Q189" s="261">
        <v>0</v>
      </c>
      <c r="R189" s="261">
        <v>2860</v>
      </c>
      <c r="S189" s="261">
        <v>175</v>
      </c>
      <c r="T189" s="260">
        <v>0</v>
      </c>
      <c r="U189" s="261">
        <v>0</v>
      </c>
      <c r="V189" s="261">
        <v>0</v>
      </c>
      <c r="W189" s="261">
        <v>0</v>
      </c>
      <c r="X189" s="261">
        <v>0</v>
      </c>
      <c r="Y189" s="260">
        <v>0</v>
      </c>
      <c r="Z189" s="261">
        <v>0</v>
      </c>
      <c r="AA189" s="261">
        <v>0</v>
      </c>
      <c r="AB189" s="261">
        <v>0</v>
      </c>
      <c r="AC189" s="261">
        <v>0</v>
      </c>
      <c r="AD189" s="264"/>
    </row>
    <row r="190" spans="1:30" s="18" customFormat="1" ht="30" customHeight="1" outlineLevel="1" x14ac:dyDescent="0.2">
      <c r="A190" s="444" t="s">
        <v>371</v>
      </c>
      <c r="B190" s="444"/>
      <c r="C190" s="444"/>
      <c r="D190" s="444"/>
      <c r="E190" s="444"/>
      <c r="F190" s="444"/>
      <c r="G190" s="444"/>
      <c r="H190" s="444"/>
      <c r="I190" s="444"/>
      <c r="J190" s="444"/>
      <c r="K190" s="444"/>
      <c r="L190" s="444"/>
      <c r="M190" s="444"/>
      <c r="N190" s="444"/>
      <c r="O190" s="444"/>
      <c r="P190" s="444"/>
      <c r="Q190" s="444"/>
      <c r="R190" s="444"/>
      <c r="S190" s="444"/>
      <c r="T190" s="444"/>
      <c r="U190" s="444"/>
      <c r="V190" s="444"/>
      <c r="W190" s="444"/>
      <c r="X190" s="444"/>
      <c r="Y190" s="444"/>
      <c r="Z190" s="444"/>
      <c r="AA190" s="444"/>
      <c r="AB190" s="444"/>
      <c r="AC190" s="444"/>
      <c r="AD190" s="264"/>
    </row>
    <row r="191" spans="1:30" s="17" customFormat="1" ht="39" customHeight="1" outlineLevel="1" x14ac:dyDescent="0.2">
      <c r="A191" s="258" t="s">
        <v>1258</v>
      </c>
      <c r="B191" s="280" t="s">
        <v>235</v>
      </c>
      <c r="C191" s="223">
        <f t="shared" ref="C191:C201" si="72">E191+J191+O191+T191+Y191</f>
        <v>33.700000000000003</v>
      </c>
      <c r="D191" s="276">
        <f t="shared" ref="D191:D201" si="73">F191+K191+P191+U191+Z191</f>
        <v>80424</v>
      </c>
      <c r="E191" s="223">
        <v>33.700000000000003</v>
      </c>
      <c r="F191" s="273">
        <f t="shared" ref="F191:F202" si="74">G191+H191+I191</f>
        <v>80424</v>
      </c>
      <c r="G191" s="273">
        <v>0</v>
      </c>
      <c r="H191" s="238">
        <v>76564</v>
      </c>
      <c r="I191" s="238">
        <v>3860</v>
      </c>
      <c r="J191" s="223">
        <v>0</v>
      </c>
      <c r="K191" s="261">
        <f>L191+M191+N191</f>
        <v>0</v>
      </c>
      <c r="L191" s="261">
        <v>0</v>
      </c>
      <c r="M191" s="261">
        <v>0</v>
      </c>
      <c r="N191" s="261">
        <v>0</v>
      </c>
      <c r="O191" s="260">
        <v>0</v>
      </c>
      <c r="P191" s="261">
        <f t="shared" ref="P191:P205" si="75">Q191+R191+S191</f>
        <v>0</v>
      </c>
      <c r="Q191" s="261">
        <v>0</v>
      </c>
      <c r="R191" s="261">
        <v>0</v>
      </c>
      <c r="S191" s="261">
        <v>0</v>
      </c>
      <c r="T191" s="260">
        <v>0</v>
      </c>
      <c r="U191" s="261">
        <f t="shared" ref="U191:U202" si="76">V191+W191+X191</f>
        <v>0</v>
      </c>
      <c r="V191" s="261">
        <v>0</v>
      </c>
      <c r="W191" s="261">
        <v>0</v>
      </c>
      <c r="X191" s="261">
        <v>0</v>
      </c>
      <c r="Y191" s="260">
        <v>0</v>
      </c>
      <c r="Z191" s="261">
        <f t="shared" ref="Z191:Z202" si="77">AA191+AB191+AC191</f>
        <v>0</v>
      </c>
      <c r="AA191" s="261">
        <v>0</v>
      </c>
      <c r="AB191" s="261">
        <v>0</v>
      </c>
      <c r="AC191" s="261">
        <v>0</v>
      </c>
      <c r="AD191" s="257"/>
    </row>
    <row r="192" spans="1:30" s="18" customFormat="1" ht="51" customHeight="1" outlineLevel="1" x14ac:dyDescent="0.2">
      <c r="A192" s="258" t="s">
        <v>1259</v>
      </c>
      <c r="B192" s="275" t="s">
        <v>204</v>
      </c>
      <c r="C192" s="223">
        <f t="shared" si="72"/>
        <v>14.33</v>
      </c>
      <c r="D192" s="276">
        <f t="shared" si="73"/>
        <v>31759</v>
      </c>
      <c r="E192" s="237">
        <v>14.33</v>
      </c>
      <c r="F192" s="273">
        <f t="shared" si="74"/>
        <v>31759</v>
      </c>
      <c r="G192" s="273">
        <v>0</v>
      </c>
      <c r="H192" s="238">
        <v>30235</v>
      </c>
      <c r="I192" s="273">
        <v>1524</v>
      </c>
      <c r="J192" s="223">
        <v>0</v>
      </c>
      <c r="K192" s="261">
        <f t="shared" ref="K192:K238" si="78">L192+M192+N192</f>
        <v>0</v>
      </c>
      <c r="L192" s="261">
        <v>0</v>
      </c>
      <c r="M192" s="261">
        <v>0</v>
      </c>
      <c r="N192" s="261">
        <v>0</v>
      </c>
      <c r="O192" s="260">
        <v>0</v>
      </c>
      <c r="P192" s="261">
        <f t="shared" si="75"/>
        <v>0</v>
      </c>
      <c r="Q192" s="261">
        <v>0</v>
      </c>
      <c r="R192" s="261">
        <v>0</v>
      </c>
      <c r="S192" s="261">
        <v>0</v>
      </c>
      <c r="T192" s="260">
        <v>0</v>
      </c>
      <c r="U192" s="261">
        <f t="shared" si="76"/>
        <v>0</v>
      </c>
      <c r="V192" s="261">
        <v>0</v>
      </c>
      <c r="W192" s="261">
        <v>0</v>
      </c>
      <c r="X192" s="261">
        <v>0</v>
      </c>
      <c r="Y192" s="260">
        <v>0</v>
      </c>
      <c r="Z192" s="261">
        <f t="shared" si="77"/>
        <v>0</v>
      </c>
      <c r="AA192" s="261">
        <v>0</v>
      </c>
      <c r="AB192" s="261">
        <v>0</v>
      </c>
      <c r="AC192" s="261">
        <v>0</v>
      </c>
      <c r="AD192" s="264"/>
    </row>
    <row r="193" spans="1:30" s="17" customFormat="1" ht="63.6" customHeight="1" outlineLevel="1" x14ac:dyDescent="0.2">
      <c r="A193" s="258" t="s">
        <v>1260</v>
      </c>
      <c r="B193" s="280" t="s">
        <v>236</v>
      </c>
      <c r="C193" s="223">
        <f t="shared" si="72"/>
        <v>12.3</v>
      </c>
      <c r="D193" s="276">
        <f t="shared" si="73"/>
        <v>24595</v>
      </c>
      <c r="E193" s="281">
        <v>12.3</v>
      </c>
      <c r="F193" s="273">
        <f t="shared" si="74"/>
        <v>24595</v>
      </c>
      <c r="G193" s="273">
        <v>0</v>
      </c>
      <c r="H193" s="238">
        <v>23414</v>
      </c>
      <c r="I193" s="238">
        <v>1181</v>
      </c>
      <c r="J193" s="223">
        <v>0</v>
      </c>
      <c r="K193" s="261">
        <f t="shared" si="78"/>
        <v>0</v>
      </c>
      <c r="L193" s="261">
        <v>0</v>
      </c>
      <c r="M193" s="261">
        <v>0</v>
      </c>
      <c r="N193" s="261">
        <v>0</v>
      </c>
      <c r="O193" s="260">
        <v>0</v>
      </c>
      <c r="P193" s="261">
        <f t="shared" si="75"/>
        <v>0</v>
      </c>
      <c r="Q193" s="261">
        <v>0</v>
      </c>
      <c r="R193" s="261">
        <v>0</v>
      </c>
      <c r="S193" s="261">
        <v>0</v>
      </c>
      <c r="T193" s="260">
        <v>0</v>
      </c>
      <c r="U193" s="261">
        <f t="shared" si="76"/>
        <v>0</v>
      </c>
      <c r="V193" s="261">
        <v>0</v>
      </c>
      <c r="W193" s="261">
        <v>0</v>
      </c>
      <c r="X193" s="261">
        <v>0</v>
      </c>
      <c r="Y193" s="260">
        <v>0</v>
      </c>
      <c r="Z193" s="261">
        <f t="shared" si="77"/>
        <v>0</v>
      </c>
      <c r="AA193" s="261">
        <v>0</v>
      </c>
      <c r="AB193" s="261">
        <v>0</v>
      </c>
      <c r="AC193" s="261">
        <v>0</v>
      </c>
      <c r="AD193" s="257"/>
    </row>
    <row r="194" spans="1:30" s="17" customFormat="1" ht="84" customHeight="1" outlineLevel="1" x14ac:dyDescent="0.2">
      <c r="A194" s="258" t="s">
        <v>1261</v>
      </c>
      <c r="B194" s="280" t="s">
        <v>237</v>
      </c>
      <c r="C194" s="223">
        <f t="shared" si="72"/>
        <v>39.11</v>
      </c>
      <c r="D194" s="276">
        <f t="shared" si="73"/>
        <v>90005</v>
      </c>
      <c r="E194" s="281">
        <v>39.11</v>
      </c>
      <c r="F194" s="273">
        <f t="shared" si="74"/>
        <v>90005</v>
      </c>
      <c r="G194" s="273">
        <v>0</v>
      </c>
      <c r="H194" s="238">
        <v>85685</v>
      </c>
      <c r="I194" s="238">
        <v>4320</v>
      </c>
      <c r="J194" s="223">
        <v>0</v>
      </c>
      <c r="K194" s="261">
        <f t="shared" si="78"/>
        <v>0</v>
      </c>
      <c r="L194" s="261">
        <v>0</v>
      </c>
      <c r="M194" s="261">
        <v>0</v>
      </c>
      <c r="N194" s="261">
        <v>0</v>
      </c>
      <c r="O194" s="260">
        <v>0</v>
      </c>
      <c r="P194" s="261">
        <f t="shared" si="75"/>
        <v>0</v>
      </c>
      <c r="Q194" s="261">
        <v>0</v>
      </c>
      <c r="R194" s="261">
        <v>0</v>
      </c>
      <c r="S194" s="261">
        <v>0</v>
      </c>
      <c r="T194" s="260">
        <v>0</v>
      </c>
      <c r="U194" s="261">
        <f t="shared" si="76"/>
        <v>0</v>
      </c>
      <c r="V194" s="261">
        <v>0</v>
      </c>
      <c r="W194" s="261">
        <v>0</v>
      </c>
      <c r="X194" s="261">
        <v>0</v>
      </c>
      <c r="Y194" s="260">
        <v>0</v>
      </c>
      <c r="Z194" s="261">
        <f t="shared" si="77"/>
        <v>0</v>
      </c>
      <c r="AA194" s="261">
        <v>0</v>
      </c>
      <c r="AB194" s="261">
        <v>0</v>
      </c>
      <c r="AC194" s="261">
        <v>0</v>
      </c>
      <c r="AD194" s="257"/>
    </row>
    <row r="195" spans="1:30" s="18" customFormat="1" ht="36" customHeight="1" outlineLevel="1" x14ac:dyDescent="0.2">
      <c r="A195" s="258" t="s">
        <v>1262</v>
      </c>
      <c r="B195" s="275" t="s">
        <v>207</v>
      </c>
      <c r="C195" s="223">
        <f t="shared" si="72"/>
        <v>6.66</v>
      </c>
      <c r="D195" s="276">
        <f t="shared" si="73"/>
        <v>14226</v>
      </c>
      <c r="E195" s="237">
        <v>6.66</v>
      </c>
      <c r="F195" s="273">
        <f t="shared" si="74"/>
        <v>14226</v>
      </c>
      <c r="G195" s="273">
        <v>0</v>
      </c>
      <c r="H195" s="238">
        <v>13543</v>
      </c>
      <c r="I195" s="273">
        <v>683</v>
      </c>
      <c r="J195" s="223">
        <v>0</v>
      </c>
      <c r="K195" s="261">
        <f t="shared" si="78"/>
        <v>0</v>
      </c>
      <c r="L195" s="261">
        <v>0</v>
      </c>
      <c r="M195" s="261">
        <v>0</v>
      </c>
      <c r="N195" s="261">
        <v>0</v>
      </c>
      <c r="O195" s="260">
        <v>0</v>
      </c>
      <c r="P195" s="261">
        <f t="shared" si="75"/>
        <v>0</v>
      </c>
      <c r="Q195" s="261">
        <v>0</v>
      </c>
      <c r="R195" s="261">
        <v>0</v>
      </c>
      <c r="S195" s="261">
        <v>0</v>
      </c>
      <c r="T195" s="260">
        <v>0</v>
      </c>
      <c r="U195" s="261">
        <f t="shared" si="76"/>
        <v>0</v>
      </c>
      <c r="V195" s="261">
        <v>0</v>
      </c>
      <c r="W195" s="261">
        <v>0</v>
      </c>
      <c r="X195" s="261">
        <v>0</v>
      </c>
      <c r="Y195" s="260">
        <v>0</v>
      </c>
      <c r="Z195" s="261">
        <f t="shared" si="77"/>
        <v>0</v>
      </c>
      <c r="AA195" s="261">
        <v>0</v>
      </c>
      <c r="AB195" s="261">
        <v>0</v>
      </c>
      <c r="AC195" s="261">
        <v>0</v>
      </c>
      <c r="AD195" s="264"/>
    </row>
    <row r="196" spans="1:30" s="17" customFormat="1" ht="49.15" customHeight="1" outlineLevel="1" x14ac:dyDescent="0.2">
      <c r="A196" s="258" t="s">
        <v>1263</v>
      </c>
      <c r="B196" s="280" t="s">
        <v>238</v>
      </c>
      <c r="C196" s="223">
        <f t="shared" si="72"/>
        <v>26.66</v>
      </c>
      <c r="D196" s="276">
        <f t="shared" si="73"/>
        <v>67036</v>
      </c>
      <c r="E196" s="281">
        <v>26.66</v>
      </c>
      <c r="F196" s="273">
        <f t="shared" si="74"/>
        <v>67036</v>
      </c>
      <c r="G196" s="273">
        <v>0</v>
      </c>
      <c r="H196" s="238">
        <v>63818</v>
      </c>
      <c r="I196" s="238">
        <v>3218</v>
      </c>
      <c r="J196" s="223">
        <v>0</v>
      </c>
      <c r="K196" s="261">
        <f t="shared" si="78"/>
        <v>0</v>
      </c>
      <c r="L196" s="261">
        <v>0</v>
      </c>
      <c r="M196" s="261">
        <v>0</v>
      </c>
      <c r="N196" s="261">
        <v>0</v>
      </c>
      <c r="O196" s="260">
        <v>0</v>
      </c>
      <c r="P196" s="261">
        <f t="shared" si="75"/>
        <v>0</v>
      </c>
      <c r="Q196" s="261">
        <v>0</v>
      </c>
      <c r="R196" s="261">
        <v>0</v>
      </c>
      <c r="S196" s="261">
        <v>0</v>
      </c>
      <c r="T196" s="260">
        <v>0</v>
      </c>
      <c r="U196" s="261">
        <f t="shared" si="76"/>
        <v>0</v>
      </c>
      <c r="V196" s="261">
        <v>0</v>
      </c>
      <c r="W196" s="261">
        <v>0</v>
      </c>
      <c r="X196" s="261">
        <v>0</v>
      </c>
      <c r="Y196" s="260">
        <v>0</v>
      </c>
      <c r="Z196" s="261">
        <f t="shared" si="77"/>
        <v>0</v>
      </c>
      <c r="AA196" s="261">
        <v>0</v>
      </c>
      <c r="AB196" s="261">
        <v>0</v>
      </c>
      <c r="AC196" s="261">
        <v>0</v>
      </c>
      <c r="AD196" s="257"/>
    </row>
    <row r="197" spans="1:30" s="17" customFormat="1" ht="53.45" customHeight="1" outlineLevel="1" x14ac:dyDescent="0.2">
      <c r="A197" s="258" t="s">
        <v>1264</v>
      </c>
      <c r="B197" s="280" t="s">
        <v>206</v>
      </c>
      <c r="C197" s="223">
        <f t="shared" si="72"/>
        <v>51.6</v>
      </c>
      <c r="D197" s="276">
        <f t="shared" si="73"/>
        <v>106911</v>
      </c>
      <c r="E197" s="281">
        <v>51.6</v>
      </c>
      <c r="F197" s="273">
        <f t="shared" si="74"/>
        <v>106911</v>
      </c>
      <c r="G197" s="273">
        <v>0</v>
      </c>
      <c r="H197" s="238">
        <v>101779</v>
      </c>
      <c r="I197" s="238">
        <v>5132</v>
      </c>
      <c r="J197" s="223">
        <v>0</v>
      </c>
      <c r="K197" s="261">
        <f t="shared" si="78"/>
        <v>0</v>
      </c>
      <c r="L197" s="261">
        <v>0</v>
      </c>
      <c r="M197" s="261">
        <v>0</v>
      </c>
      <c r="N197" s="261">
        <v>0</v>
      </c>
      <c r="O197" s="260">
        <v>0</v>
      </c>
      <c r="P197" s="261">
        <f t="shared" si="75"/>
        <v>0</v>
      </c>
      <c r="Q197" s="261">
        <v>0</v>
      </c>
      <c r="R197" s="261">
        <v>0</v>
      </c>
      <c r="S197" s="261">
        <v>0</v>
      </c>
      <c r="T197" s="260">
        <v>0</v>
      </c>
      <c r="U197" s="261">
        <f t="shared" si="76"/>
        <v>0</v>
      </c>
      <c r="V197" s="261">
        <v>0</v>
      </c>
      <c r="W197" s="261">
        <v>0</v>
      </c>
      <c r="X197" s="261">
        <v>0</v>
      </c>
      <c r="Y197" s="260">
        <v>0</v>
      </c>
      <c r="Z197" s="261">
        <f t="shared" si="77"/>
        <v>0</v>
      </c>
      <c r="AA197" s="261">
        <v>0</v>
      </c>
      <c r="AB197" s="261">
        <v>0</v>
      </c>
      <c r="AC197" s="261">
        <v>0</v>
      </c>
      <c r="AD197" s="257"/>
    </row>
    <row r="198" spans="1:30" s="17" customFormat="1" ht="47.45" customHeight="1" outlineLevel="1" x14ac:dyDescent="0.2">
      <c r="A198" s="258" t="s">
        <v>1265</v>
      </c>
      <c r="B198" s="280" t="s">
        <v>688</v>
      </c>
      <c r="C198" s="223">
        <f t="shared" si="72"/>
        <v>29.7</v>
      </c>
      <c r="D198" s="276">
        <f t="shared" si="73"/>
        <v>76629</v>
      </c>
      <c r="E198" s="223">
        <v>29.7</v>
      </c>
      <c r="F198" s="273">
        <f t="shared" si="74"/>
        <v>76629</v>
      </c>
      <c r="G198" s="273">
        <v>0</v>
      </c>
      <c r="H198" s="238">
        <v>72951</v>
      </c>
      <c r="I198" s="238">
        <v>3678</v>
      </c>
      <c r="J198" s="223">
        <v>0</v>
      </c>
      <c r="K198" s="261">
        <f t="shared" si="78"/>
        <v>0</v>
      </c>
      <c r="L198" s="261">
        <v>0</v>
      </c>
      <c r="M198" s="261">
        <v>0</v>
      </c>
      <c r="N198" s="261">
        <v>0</v>
      </c>
      <c r="O198" s="260">
        <v>0</v>
      </c>
      <c r="P198" s="261">
        <f t="shared" si="75"/>
        <v>0</v>
      </c>
      <c r="Q198" s="261">
        <v>0</v>
      </c>
      <c r="R198" s="261">
        <v>0</v>
      </c>
      <c r="S198" s="261">
        <v>0</v>
      </c>
      <c r="T198" s="260">
        <v>0</v>
      </c>
      <c r="U198" s="261">
        <f t="shared" si="76"/>
        <v>0</v>
      </c>
      <c r="V198" s="261">
        <v>0</v>
      </c>
      <c r="W198" s="261">
        <v>0</v>
      </c>
      <c r="X198" s="261">
        <v>0</v>
      </c>
      <c r="Y198" s="260">
        <v>0</v>
      </c>
      <c r="Z198" s="261">
        <f t="shared" si="77"/>
        <v>0</v>
      </c>
      <c r="AA198" s="261">
        <v>0</v>
      </c>
      <c r="AB198" s="261">
        <v>0</v>
      </c>
      <c r="AC198" s="261">
        <v>0</v>
      </c>
      <c r="AD198" s="257"/>
    </row>
    <row r="199" spans="1:30" s="17" customFormat="1" ht="28.5" customHeight="1" outlineLevel="1" x14ac:dyDescent="0.2">
      <c r="A199" s="258" t="s">
        <v>1266</v>
      </c>
      <c r="B199" s="280" t="s">
        <v>239</v>
      </c>
      <c r="C199" s="223">
        <f t="shared" si="72"/>
        <v>32.51</v>
      </c>
      <c r="D199" s="276">
        <f t="shared" si="73"/>
        <v>109670</v>
      </c>
      <c r="E199" s="281">
        <v>32.51</v>
      </c>
      <c r="F199" s="273">
        <f t="shared" si="74"/>
        <v>109670</v>
      </c>
      <c r="G199" s="273">
        <v>0</v>
      </c>
      <c r="H199" s="238">
        <v>104406</v>
      </c>
      <c r="I199" s="238">
        <v>5264</v>
      </c>
      <c r="J199" s="223">
        <v>0</v>
      </c>
      <c r="K199" s="261">
        <f t="shared" si="78"/>
        <v>0</v>
      </c>
      <c r="L199" s="261">
        <v>0</v>
      </c>
      <c r="M199" s="261">
        <v>0</v>
      </c>
      <c r="N199" s="261">
        <v>0</v>
      </c>
      <c r="O199" s="260">
        <v>0</v>
      </c>
      <c r="P199" s="261">
        <f t="shared" si="75"/>
        <v>0</v>
      </c>
      <c r="Q199" s="261">
        <v>0</v>
      </c>
      <c r="R199" s="261">
        <v>0</v>
      </c>
      <c r="S199" s="261">
        <v>0</v>
      </c>
      <c r="T199" s="260">
        <v>0</v>
      </c>
      <c r="U199" s="261">
        <f t="shared" si="76"/>
        <v>0</v>
      </c>
      <c r="V199" s="261">
        <v>0</v>
      </c>
      <c r="W199" s="261">
        <v>0</v>
      </c>
      <c r="X199" s="261">
        <v>0</v>
      </c>
      <c r="Y199" s="260">
        <v>0</v>
      </c>
      <c r="Z199" s="261">
        <f t="shared" si="77"/>
        <v>0</v>
      </c>
      <c r="AA199" s="261">
        <v>0</v>
      </c>
      <c r="AB199" s="261">
        <v>0</v>
      </c>
      <c r="AC199" s="261">
        <v>0</v>
      </c>
      <c r="AD199" s="257"/>
    </row>
    <row r="200" spans="1:30" s="18" customFormat="1" ht="30" customHeight="1" outlineLevel="1" x14ac:dyDescent="0.2">
      <c r="A200" s="258" t="s">
        <v>1267</v>
      </c>
      <c r="B200" s="275" t="s">
        <v>240</v>
      </c>
      <c r="C200" s="223">
        <f t="shared" si="72"/>
        <v>2.0699999999999998</v>
      </c>
      <c r="D200" s="276">
        <f t="shared" si="73"/>
        <v>3457</v>
      </c>
      <c r="E200" s="237">
        <v>2.0699999999999998</v>
      </c>
      <c r="F200" s="273">
        <f t="shared" si="74"/>
        <v>3457</v>
      </c>
      <c r="G200" s="273">
        <v>0</v>
      </c>
      <c r="H200" s="238">
        <v>3291</v>
      </c>
      <c r="I200" s="273">
        <v>166</v>
      </c>
      <c r="J200" s="223">
        <v>0</v>
      </c>
      <c r="K200" s="261">
        <f t="shared" si="78"/>
        <v>0</v>
      </c>
      <c r="L200" s="261">
        <v>0</v>
      </c>
      <c r="M200" s="261">
        <v>0</v>
      </c>
      <c r="N200" s="261">
        <v>0</v>
      </c>
      <c r="O200" s="260">
        <v>0</v>
      </c>
      <c r="P200" s="261">
        <f t="shared" si="75"/>
        <v>0</v>
      </c>
      <c r="Q200" s="261">
        <v>0</v>
      </c>
      <c r="R200" s="261">
        <v>0</v>
      </c>
      <c r="S200" s="261">
        <v>0</v>
      </c>
      <c r="T200" s="260">
        <v>0</v>
      </c>
      <c r="U200" s="261">
        <f t="shared" si="76"/>
        <v>0</v>
      </c>
      <c r="V200" s="261">
        <v>0</v>
      </c>
      <c r="W200" s="261">
        <v>0</v>
      </c>
      <c r="X200" s="261">
        <v>0</v>
      </c>
      <c r="Y200" s="260">
        <v>0</v>
      </c>
      <c r="Z200" s="261">
        <f t="shared" si="77"/>
        <v>0</v>
      </c>
      <c r="AA200" s="261">
        <v>0</v>
      </c>
      <c r="AB200" s="261">
        <v>0</v>
      </c>
      <c r="AC200" s="261">
        <v>0</v>
      </c>
      <c r="AD200" s="264"/>
    </row>
    <row r="201" spans="1:30" s="18" customFormat="1" ht="61.5" customHeight="1" outlineLevel="1" x14ac:dyDescent="0.2">
      <c r="A201" s="258" t="s">
        <v>1268</v>
      </c>
      <c r="B201" s="275" t="s">
        <v>366</v>
      </c>
      <c r="C201" s="223">
        <f t="shared" si="72"/>
        <v>95.759999999999991</v>
      </c>
      <c r="D201" s="276">
        <f t="shared" si="73"/>
        <v>153358</v>
      </c>
      <c r="E201" s="237">
        <v>45.6</v>
      </c>
      <c r="F201" s="273">
        <f t="shared" si="74"/>
        <v>74058</v>
      </c>
      <c r="G201" s="273">
        <v>0</v>
      </c>
      <c r="H201" s="238">
        <v>70503</v>
      </c>
      <c r="I201" s="273">
        <v>3555</v>
      </c>
      <c r="J201" s="223">
        <v>50.16</v>
      </c>
      <c r="K201" s="261">
        <f t="shared" si="78"/>
        <v>79300</v>
      </c>
      <c r="L201" s="261">
        <v>0</v>
      </c>
      <c r="M201" s="261">
        <v>74701</v>
      </c>
      <c r="N201" s="261">
        <v>4599</v>
      </c>
      <c r="O201" s="260">
        <v>0</v>
      </c>
      <c r="P201" s="261">
        <f t="shared" si="75"/>
        <v>0</v>
      </c>
      <c r="Q201" s="261">
        <v>0</v>
      </c>
      <c r="R201" s="261">
        <v>0</v>
      </c>
      <c r="S201" s="261">
        <v>0</v>
      </c>
      <c r="T201" s="260">
        <v>0</v>
      </c>
      <c r="U201" s="261">
        <f t="shared" si="76"/>
        <v>0</v>
      </c>
      <c r="V201" s="261">
        <v>0</v>
      </c>
      <c r="W201" s="261">
        <v>0</v>
      </c>
      <c r="X201" s="261">
        <v>0</v>
      </c>
      <c r="Y201" s="260">
        <v>0</v>
      </c>
      <c r="Z201" s="261">
        <f t="shared" si="77"/>
        <v>0</v>
      </c>
      <c r="AA201" s="261">
        <v>0</v>
      </c>
      <c r="AB201" s="261">
        <v>0</v>
      </c>
      <c r="AC201" s="261">
        <v>0</v>
      </c>
      <c r="AD201" s="264"/>
    </row>
    <row r="202" spans="1:30" s="18" customFormat="1" ht="36.75" customHeight="1" outlineLevel="1" x14ac:dyDescent="0.2">
      <c r="A202" s="258" t="s">
        <v>1269</v>
      </c>
      <c r="B202" s="275" t="s">
        <v>205</v>
      </c>
      <c r="C202" s="223">
        <f t="shared" ref="C202:D204" si="79">E202+J202+O202+T202+Y202</f>
        <v>1.59</v>
      </c>
      <c r="D202" s="276">
        <f t="shared" si="79"/>
        <v>3910</v>
      </c>
      <c r="E202" s="237">
        <v>1.59</v>
      </c>
      <c r="F202" s="273">
        <f t="shared" si="74"/>
        <v>3910</v>
      </c>
      <c r="G202" s="273">
        <v>0</v>
      </c>
      <c r="H202" s="238">
        <v>3722</v>
      </c>
      <c r="I202" s="273">
        <v>188</v>
      </c>
      <c r="J202" s="223">
        <v>0</v>
      </c>
      <c r="K202" s="261">
        <f t="shared" si="78"/>
        <v>0</v>
      </c>
      <c r="L202" s="261">
        <v>0</v>
      </c>
      <c r="M202" s="261">
        <v>0</v>
      </c>
      <c r="N202" s="261">
        <v>0</v>
      </c>
      <c r="O202" s="260">
        <v>0</v>
      </c>
      <c r="P202" s="261">
        <f t="shared" si="75"/>
        <v>0</v>
      </c>
      <c r="Q202" s="261">
        <v>0</v>
      </c>
      <c r="R202" s="261">
        <v>0</v>
      </c>
      <c r="S202" s="261">
        <v>0</v>
      </c>
      <c r="T202" s="260">
        <v>0</v>
      </c>
      <c r="U202" s="261">
        <f t="shared" si="76"/>
        <v>0</v>
      </c>
      <c r="V202" s="261">
        <v>0</v>
      </c>
      <c r="W202" s="261">
        <v>0</v>
      </c>
      <c r="X202" s="261">
        <v>0</v>
      </c>
      <c r="Y202" s="260">
        <v>0</v>
      </c>
      <c r="Z202" s="261">
        <f t="shared" si="77"/>
        <v>0</v>
      </c>
      <c r="AA202" s="261">
        <v>0</v>
      </c>
      <c r="AB202" s="261">
        <v>0</v>
      </c>
      <c r="AC202" s="261">
        <v>0</v>
      </c>
      <c r="AD202" s="264"/>
    </row>
    <row r="203" spans="1:30" s="18" customFormat="1" ht="27.75" customHeight="1" outlineLevel="1" x14ac:dyDescent="0.2">
      <c r="A203" s="258" t="s">
        <v>1270</v>
      </c>
      <c r="B203" s="275" t="s">
        <v>397</v>
      </c>
      <c r="C203" s="223">
        <f t="shared" si="79"/>
        <v>34.46</v>
      </c>
      <c r="D203" s="276">
        <f t="shared" si="79"/>
        <v>104044</v>
      </c>
      <c r="E203" s="237">
        <v>0</v>
      </c>
      <c r="F203" s="273">
        <f>G203+H203+I203</f>
        <v>0</v>
      </c>
      <c r="G203" s="273">
        <v>0</v>
      </c>
      <c r="H203" s="238">
        <v>0</v>
      </c>
      <c r="I203" s="238">
        <v>0</v>
      </c>
      <c r="J203" s="223">
        <v>0</v>
      </c>
      <c r="K203" s="261">
        <f>L203+M203+N203</f>
        <v>0</v>
      </c>
      <c r="L203" s="261">
        <v>0</v>
      </c>
      <c r="M203" s="261">
        <v>0</v>
      </c>
      <c r="N203" s="261">
        <v>0</v>
      </c>
      <c r="O203" s="260">
        <v>34.46</v>
      </c>
      <c r="P203" s="261">
        <f t="shared" si="75"/>
        <v>104044</v>
      </c>
      <c r="Q203" s="261">
        <v>0</v>
      </c>
      <c r="R203" s="261">
        <f>55264+42745</f>
        <v>98009</v>
      </c>
      <c r="S203" s="261">
        <f>3403+2632</f>
        <v>6035</v>
      </c>
      <c r="T203" s="223">
        <v>0</v>
      </c>
      <c r="U203" s="261">
        <f>V203+W203+X203</f>
        <v>0</v>
      </c>
      <c r="V203" s="261">
        <v>0</v>
      </c>
      <c r="W203" s="261">
        <v>0</v>
      </c>
      <c r="X203" s="261">
        <v>0</v>
      </c>
      <c r="Y203" s="260">
        <v>0</v>
      </c>
      <c r="Z203" s="261">
        <v>0</v>
      </c>
      <c r="AA203" s="261">
        <v>0</v>
      </c>
      <c r="AB203" s="261">
        <v>0</v>
      </c>
      <c r="AC203" s="261">
        <v>0</v>
      </c>
      <c r="AD203" s="264"/>
    </row>
    <row r="204" spans="1:30" s="18" customFormat="1" ht="27.75" customHeight="1" outlineLevel="1" x14ac:dyDescent="0.2">
      <c r="A204" s="258" t="s">
        <v>1271</v>
      </c>
      <c r="B204" s="275" t="s">
        <v>396</v>
      </c>
      <c r="C204" s="223">
        <f>E204+J204+O204+T204+Y204</f>
        <v>16.23</v>
      </c>
      <c r="D204" s="276">
        <f t="shared" si="79"/>
        <v>55332</v>
      </c>
      <c r="E204" s="237">
        <v>0</v>
      </c>
      <c r="F204" s="273">
        <f>G204+H204+I204</f>
        <v>0</v>
      </c>
      <c r="G204" s="273">
        <v>0</v>
      </c>
      <c r="H204" s="238">
        <v>0</v>
      </c>
      <c r="I204" s="238">
        <v>0</v>
      </c>
      <c r="J204" s="223">
        <v>0</v>
      </c>
      <c r="K204" s="261">
        <f>L204+M204+N204</f>
        <v>0</v>
      </c>
      <c r="L204" s="261">
        <v>0</v>
      </c>
      <c r="M204" s="261">
        <v>0</v>
      </c>
      <c r="N204" s="261">
        <v>0</v>
      </c>
      <c r="O204" s="260">
        <v>16.23</v>
      </c>
      <c r="P204" s="261">
        <f t="shared" si="75"/>
        <v>55332</v>
      </c>
      <c r="Q204" s="261">
        <v>0</v>
      </c>
      <c r="R204" s="261">
        <f>108637-56514</f>
        <v>52123</v>
      </c>
      <c r="S204" s="261">
        <f>6689-3480</f>
        <v>3209</v>
      </c>
      <c r="T204" s="223">
        <v>0</v>
      </c>
      <c r="U204" s="261">
        <f>V204+W204+X204</f>
        <v>0</v>
      </c>
      <c r="V204" s="261">
        <v>0</v>
      </c>
      <c r="W204" s="261">
        <v>0</v>
      </c>
      <c r="X204" s="261">
        <v>0</v>
      </c>
      <c r="Y204" s="260">
        <v>0</v>
      </c>
      <c r="Z204" s="261">
        <v>0</v>
      </c>
      <c r="AA204" s="261">
        <v>0</v>
      </c>
      <c r="AB204" s="261">
        <v>0</v>
      </c>
      <c r="AC204" s="261">
        <v>0</v>
      </c>
      <c r="AD204" s="264"/>
    </row>
    <row r="205" spans="1:30" s="18" customFormat="1" ht="27.75" customHeight="1" outlineLevel="1" x14ac:dyDescent="0.2">
      <c r="A205" s="258" t="s">
        <v>1272</v>
      </c>
      <c r="B205" s="275" t="s">
        <v>309</v>
      </c>
      <c r="C205" s="223">
        <f t="shared" ref="C205:C210" si="80">E205+J205+O205+T205+Y205</f>
        <v>26.05</v>
      </c>
      <c r="D205" s="276">
        <f t="shared" ref="D205:D210" si="81">F205+K205+P205+U205+Z205</f>
        <v>70285</v>
      </c>
      <c r="E205" s="237">
        <v>0</v>
      </c>
      <c r="F205" s="273">
        <f t="shared" ref="F205:F210" si="82">G205+H205+I205</f>
        <v>0</v>
      </c>
      <c r="G205" s="273">
        <v>0</v>
      </c>
      <c r="H205" s="238">
        <v>0</v>
      </c>
      <c r="I205" s="238">
        <v>0</v>
      </c>
      <c r="J205" s="223">
        <v>26.05</v>
      </c>
      <c r="K205" s="261">
        <f t="shared" si="78"/>
        <v>70285</v>
      </c>
      <c r="L205" s="261">
        <v>0</v>
      </c>
      <c r="M205" s="261">
        <v>66208</v>
      </c>
      <c r="N205" s="261">
        <v>4077</v>
      </c>
      <c r="O205" s="260">
        <v>0</v>
      </c>
      <c r="P205" s="261">
        <f t="shared" si="75"/>
        <v>0</v>
      </c>
      <c r="Q205" s="261">
        <v>0</v>
      </c>
      <c r="R205" s="261">
        <v>0</v>
      </c>
      <c r="S205" s="261">
        <v>0</v>
      </c>
      <c r="T205" s="260">
        <v>0</v>
      </c>
      <c r="U205" s="261">
        <f t="shared" ref="U205:U210" si="83">V205+W205+X205</f>
        <v>0</v>
      </c>
      <c r="V205" s="261">
        <v>0</v>
      </c>
      <c r="W205" s="261">
        <v>0</v>
      </c>
      <c r="X205" s="261">
        <v>0</v>
      </c>
      <c r="Y205" s="260">
        <v>0</v>
      </c>
      <c r="Z205" s="261">
        <f t="shared" ref="Z205:Z210" si="84">AA205+AB205+AC205</f>
        <v>0</v>
      </c>
      <c r="AA205" s="261">
        <v>0</v>
      </c>
      <c r="AB205" s="261">
        <v>0</v>
      </c>
      <c r="AC205" s="261">
        <v>0</v>
      </c>
      <c r="AD205" s="264"/>
    </row>
    <row r="206" spans="1:30" s="18" customFormat="1" ht="33" customHeight="1" outlineLevel="1" x14ac:dyDescent="0.2">
      <c r="A206" s="258" t="s">
        <v>1273</v>
      </c>
      <c r="B206" s="275" t="s">
        <v>310</v>
      </c>
      <c r="C206" s="223">
        <f t="shared" si="80"/>
        <v>62.48</v>
      </c>
      <c r="D206" s="276">
        <f t="shared" si="81"/>
        <v>179685</v>
      </c>
      <c r="E206" s="237">
        <v>0</v>
      </c>
      <c r="F206" s="273">
        <f t="shared" si="82"/>
        <v>0</v>
      </c>
      <c r="G206" s="273">
        <v>0</v>
      </c>
      <c r="H206" s="238">
        <v>0</v>
      </c>
      <c r="I206" s="238">
        <v>0</v>
      </c>
      <c r="J206" s="223">
        <v>62.48</v>
      </c>
      <c r="K206" s="261">
        <f t="shared" si="78"/>
        <v>179685</v>
      </c>
      <c r="L206" s="261">
        <v>0</v>
      </c>
      <c r="M206" s="261">
        <v>169263</v>
      </c>
      <c r="N206" s="261">
        <v>10422</v>
      </c>
      <c r="O206" s="260">
        <v>0</v>
      </c>
      <c r="P206" s="261">
        <v>0</v>
      </c>
      <c r="Q206" s="261">
        <v>0</v>
      </c>
      <c r="R206" s="261">
        <v>0</v>
      </c>
      <c r="S206" s="261">
        <v>0</v>
      </c>
      <c r="T206" s="260">
        <v>0</v>
      </c>
      <c r="U206" s="261">
        <f t="shared" si="83"/>
        <v>0</v>
      </c>
      <c r="V206" s="261">
        <v>0</v>
      </c>
      <c r="W206" s="261">
        <v>0</v>
      </c>
      <c r="X206" s="261">
        <v>0</v>
      </c>
      <c r="Y206" s="260">
        <v>0</v>
      </c>
      <c r="Z206" s="261">
        <f t="shared" si="84"/>
        <v>0</v>
      </c>
      <c r="AA206" s="261">
        <v>0</v>
      </c>
      <c r="AB206" s="261">
        <v>0</v>
      </c>
      <c r="AC206" s="261">
        <v>0</v>
      </c>
      <c r="AD206" s="264"/>
    </row>
    <row r="207" spans="1:30" s="18" customFormat="1" ht="41.25" customHeight="1" outlineLevel="1" x14ac:dyDescent="0.2">
      <c r="A207" s="258" t="s">
        <v>1274</v>
      </c>
      <c r="B207" s="275" t="s">
        <v>311</v>
      </c>
      <c r="C207" s="223">
        <f t="shared" si="80"/>
        <v>10.210000000000001</v>
      </c>
      <c r="D207" s="276">
        <f t="shared" si="81"/>
        <v>27965</v>
      </c>
      <c r="E207" s="237">
        <v>0</v>
      </c>
      <c r="F207" s="273">
        <f t="shared" si="82"/>
        <v>0</v>
      </c>
      <c r="G207" s="273">
        <v>0</v>
      </c>
      <c r="H207" s="238">
        <v>0</v>
      </c>
      <c r="I207" s="238">
        <v>0</v>
      </c>
      <c r="J207" s="223">
        <v>10.210000000000001</v>
      </c>
      <c r="K207" s="261">
        <f t="shared" si="78"/>
        <v>27965</v>
      </c>
      <c r="L207" s="261">
        <v>0</v>
      </c>
      <c r="M207" s="261">
        <v>26343</v>
      </c>
      <c r="N207" s="261">
        <v>1622</v>
      </c>
      <c r="O207" s="260">
        <v>0</v>
      </c>
      <c r="P207" s="261">
        <f>Q207+R207+S207</f>
        <v>0</v>
      </c>
      <c r="Q207" s="261">
        <v>0</v>
      </c>
      <c r="R207" s="261">
        <v>0</v>
      </c>
      <c r="S207" s="261">
        <v>0</v>
      </c>
      <c r="T207" s="260">
        <v>0</v>
      </c>
      <c r="U207" s="261">
        <f t="shared" si="83"/>
        <v>0</v>
      </c>
      <c r="V207" s="261">
        <v>0</v>
      </c>
      <c r="W207" s="261">
        <v>0</v>
      </c>
      <c r="X207" s="261">
        <v>0</v>
      </c>
      <c r="Y207" s="260">
        <v>0</v>
      </c>
      <c r="Z207" s="261">
        <f t="shared" si="84"/>
        <v>0</v>
      </c>
      <c r="AA207" s="261">
        <v>0</v>
      </c>
      <c r="AB207" s="261">
        <v>0</v>
      </c>
      <c r="AC207" s="261">
        <v>0</v>
      </c>
      <c r="AD207" s="264"/>
    </row>
    <row r="208" spans="1:30" s="18" customFormat="1" ht="25.5" customHeight="1" outlineLevel="1" x14ac:dyDescent="0.2">
      <c r="A208" s="258" t="s">
        <v>512</v>
      </c>
      <c r="B208" s="275" t="s">
        <v>689</v>
      </c>
      <c r="C208" s="223">
        <f t="shared" si="80"/>
        <v>41.93</v>
      </c>
      <c r="D208" s="276">
        <f t="shared" si="81"/>
        <v>105508</v>
      </c>
      <c r="E208" s="237">
        <v>0</v>
      </c>
      <c r="F208" s="273">
        <f t="shared" si="82"/>
        <v>0</v>
      </c>
      <c r="G208" s="273">
        <v>0</v>
      </c>
      <c r="H208" s="238">
        <v>0</v>
      </c>
      <c r="I208" s="238">
        <v>0</v>
      </c>
      <c r="J208" s="223">
        <v>41.93</v>
      </c>
      <c r="K208" s="261">
        <f t="shared" si="78"/>
        <v>105508</v>
      </c>
      <c r="L208" s="261">
        <v>0</v>
      </c>
      <c r="M208" s="261">
        <v>99388</v>
      </c>
      <c r="N208" s="261">
        <v>6120</v>
      </c>
      <c r="O208" s="260">
        <v>0</v>
      </c>
      <c r="P208" s="261">
        <f>Q208+R208+S208</f>
        <v>0</v>
      </c>
      <c r="Q208" s="261">
        <v>0</v>
      </c>
      <c r="R208" s="261">
        <v>0</v>
      </c>
      <c r="S208" s="261">
        <v>0</v>
      </c>
      <c r="T208" s="260">
        <v>0</v>
      </c>
      <c r="U208" s="261">
        <f t="shared" si="83"/>
        <v>0</v>
      </c>
      <c r="V208" s="261">
        <v>0</v>
      </c>
      <c r="W208" s="261">
        <v>0</v>
      </c>
      <c r="X208" s="261">
        <v>0</v>
      </c>
      <c r="Y208" s="260">
        <v>0</v>
      </c>
      <c r="Z208" s="261">
        <f t="shared" si="84"/>
        <v>0</v>
      </c>
      <c r="AA208" s="261">
        <v>0</v>
      </c>
      <c r="AB208" s="261">
        <v>0</v>
      </c>
      <c r="AC208" s="261">
        <v>0</v>
      </c>
      <c r="AD208" s="264"/>
    </row>
    <row r="209" spans="1:30" s="18" customFormat="1" ht="28.5" customHeight="1" outlineLevel="1" x14ac:dyDescent="0.2">
      <c r="A209" s="258" t="s">
        <v>1275</v>
      </c>
      <c r="B209" s="275" t="s">
        <v>312</v>
      </c>
      <c r="C209" s="223">
        <f t="shared" si="80"/>
        <v>10.67</v>
      </c>
      <c r="D209" s="276">
        <f t="shared" si="81"/>
        <v>24936</v>
      </c>
      <c r="E209" s="237">
        <v>0</v>
      </c>
      <c r="F209" s="273">
        <f t="shared" si="82"/>
        <v>0</v>
      </c>
      <c r="G209" s="273">
        <v>0</v>
      </c>
      <c r="H209" s="238">
        <v>0</v>
      </c>
      <c r="I209" s="238">
        <v>0</v>
      </c>
      <c r="J209" s="223">
        <v>10.67</v>
      </c>
      <c r="K209" s="261">
        <f t="shared" si="78"/>
        <v>24936</v>
      </c>
      <c r="L209" s="261">
        <v>0</v>
      </c>
      <c r="M209" s="261">
        <v>23490</v>
      </c>
      <c r="N209" s="261">
        <v>1446</v>
      </c>
      <c r="O209" s="260">
        <v>0</v>
      </c>
      <c r="P209" s="261">
        <f>Q209+R209+S209</f>
        <v>0</v>
      </c>
      <c r="Q209" s="261">
        <v>0</v>
      </c>
      <c r="R209" s="261">
        <v>0</v>
      </c>
      <c r="S209" s="261">
        <v>0</v>
      </c>
      <c r="T209" s="260">
        <v>0</v>
      </c>
      <c r="U209" s="261">
        <f t="shared" si="83"/>
        <v>0</v>
      </c>
      <c r="V209" s="261">
        <v>0</v>
      </c>
      <c r="W209" s="261">
        <v>0</v>
      </c>
      <c r="X209" s="261">
        <v>0</v>
      </c>
      <c r="Y209" s="260">
        <v>0</v>
      </c>
      <c r="Z209" s="261">
        <f t="shared" si="84"/>
        <v>0</v>
      </c>
      <c r="AA209" s="261">
        <v>0</v>
      </c>
      <c r="AB209" s="261">
        <v>0</v>
      </c>
      <c r="AC209" s="261">
        <v>0</v>
      </c>
      <c r="AD209" s="264"/>
    </row>
    <row r="210" spans="1:30" s="18" customFormat="1" ht="31.5" customHeight="1" outlineLevel="1" x14ac:dyDescent="0.2">
      <c r="A210" s="258" t="s">
        <v>1276</v>
      </c>
      <c r="B210" s="275" t="s">
        <v>313</v>
      </c>
      <c r="C210" s="223">
        <f t="shared" si="80"/>
        <v>7.85</v>
      </c>
      <c r="D210" s="276">
        <f t="shared" si="81"/>
        <v>22609</v>
      </c>
      <c r="E210" s="237">
        <v>0</v>
      </c>
      <c r="F210" s="273">
        <f t="shared" si="82"/>
        <v>0</v>
      </c>
      <c r="G210" s="273">
        <v>0</v>
      </c>
      <c r="H210" s="238">
        <v>0</v>
      </c>
      <c r="I210" s="238">
        <v>0</v>
      </c>
      <c r="J210" s="223">
        <v>7.85</v>
      </c>
      <c r="K210" s="261">
        <f t="shared" si="78"/>
        <v>22609</v>
      </c>
      <c r="L210" s="261">
        <v>0</v>
      </c>
      <c r="M210" s="261">
        <v>21298</v>
      </c>
      <c r="N210" s="261">
        <v>1311</v>
      </c>
      <c r="O210" s="260">
        <v>0</v>
      </c>
      <c r="P210" s="261">
        <f>Q210+R210+S210</f>
        <v>0</v>
      </c>
      <c r="Q210" s="261">
        <v>0</v>
      </c>
      <c r="R210" s="261">
        <v>0</v>
      </c>
      <c r="S210" s="261">
        <v>0</v>
      </c>
      <c r="T210" s="260">
        <v>0</v>
      </c>
      <c r="U210" s="261">
        <f t="shared" si="83"/>
        <v>0</v>
      </c>
      <c r="V210" s="261">
        <v>0</v>
      </c>
      <c r="W210" s="261">
        <v>0</v>
      </c>
      <c r="X210" s="261">
        <v>0</v>
      </c>
      <c r="Y210" s="260">
        <v>0</v>
      </c>
      <c r="Z210" s="261">
        <f t="shared" si="84"/>
        <v>0</v>
      </c>
      <c r="AA210" s="261">
        <v>0</v>
      </c>
      <c r="AB210" s="261">
        <v>0</v>
      </c>
      <c r="AC210" s="261">
        <v>0</v>
      </c>
      <c r="AD210" s="264"/>
    </row>
    <row r="211" spans="1:30" s="18" customFormat="1" ht="46.9" customHeight="1" outlineLevel="1" x14ac:dyDescent="0.2">
      <c r="A211" s="258" t="s">
        <v>1277</v>
      </c>
      <c r="B211" s="275" t="s">
        <v>314</v>
      </c>
      <c r="C211" s="223">
        <f t="shared" ref="C211:C218" si="85">E211+J211+O211+T211+Y211</f>
        <v>5.65</v>
      </c>
      <c r="D211" s="276">
        <f t="shared" ref="D211:D218" si="86">F211+K211+P211+U211+Z211</f>
        <v>15130</v>
      </c>
      <c r="E211" s="237">
        <v>0</v>
      </c>
      <c r="F211" s="273">
        <f t="shared" ref="F211:F218" si="87">G211+H211+I211</f>
        <v>0</v>
      </c>
      <c r="G211" s="273">
        <v>0</v>
      </c>
      <c r="H211" s="238">
        <v>0</v>
      </c>
      <c r="I211" s="238">
        <v>0</v>
      </c>
      <c r="J211" s="223">
        <v>5.65</v>
      </c>
      <c r="K211" s="261">
        <f t="shared" si="78"/>
        <v>15130</v>
      </c>
      <c r="L211" s="261">
        <v>0</v>
      </c>
      <c r="M211" s="261">
        <v>14253</v>
      </c>
      <c r="N211" s="261">
        <v>877</v>
      </c>
      <c r="O211" s="260">
        <v>0</v>
      </c>
      <c r="P211" s="261">
        <f t="shared" ref="P211:P218" si="88">Q211+R211+S211</f>
        <v>0</v>
      </c>
      <c r="Q211" s="261">
        <v>0</v>
      </c>
      <c r="R211" s="261">
        <v>0</v>
      </c>
      <c r="S211" s="261">
        <v>0</v>
      </c>
      <c r="T211" s="260">
        <v>0</v>
      </c>
      <c r="U211" s="261">
        <f t="shared" ref="U211:U218" si="89">V211+W211+X211</f>
        <v>0</v>
      </c>
      <c r="V211" s="261">
        <v>0</v>
      </c>
      <c r="W211" s="261">
        <v>0</v>
      </c>
      <c r="X211" s="261">
        <v>0</v>
      </c>
      <c r="Y211" s="260">
        <v>0</v>
      </c>
      <c r="Z211" s="261">
        <f t="shared" ref="Z211:Z218" si="90">AA211+AB211+AC211</f>
        <v>0</v>
      </c>
      <c r="AA211" s="261">
        <v>0</v>
      </c>
      <c r="AB211" s="261">
        <v>0</v>
      </c>
      <c r="AC211" s="261">
        <v>0</v>
      </c>
      <c r="AD211" s="264"/>
    </row>
    <row r="212" spans="1:30" s="18" customFormat="1" ht="40.5" customHeight="1" outlineLevel="1" x14ac:dyDescent="0.2">
      <c r="A212" s="258" t="s">
        <v>1278</v>
      </c>
      <c r="B212" s="275" t="s">
        <v>365</v>
      </c>
      <c r="C212" s="223">
        <f>E212+J212+O212+T212+Y212</f>
        <v>4.07</v>
      </c>
      <c r="D212" s="276">
        <f>F212+K212+P212+U212+Z212</f>
        <v>7603</v>
      </c>
      <c r="E212" s="237">
        <v>0</v>
      </c>
      <c r="F212" s="273">
        <f>G212+H212+I212</f>
        <v>0</v>
      </c>
      <c r="G212" s="273">
        <v>0</v>
      </c>
      <c r="H212" s="238">
        <v>0</v>
      </c>
      <c r="I212" s="238">
        <v>0</v>
      </c>
      <c r="J212" s="223">
        <v>4.07</v>
      </c>
      <c r="K212" s="261">
        <f t="shared" si="78"/>
        <v>7603</v>
      </c>
      <c r="L212" s="261">
        <v>0</v>
      </c>
      <c r="M212" s="261">
        <v>7162</v>
      </c>
      <c r="N212" s="261">
        <v>441</v>
      </c>
      <c r="O212" s="260">
        <v>0</v>
      </c>
      <c r="P212" s="261">
        <f>Q212+R212+S212</f>
        <v>0</v>
      </c>
      <c r="Q212" s="261">
        <v>0</v>
      </c>
      <c r="R212" s="261">
        <v>0</v>
      </c>
      <c r="S212" s="261">
        <v>0</v>
      </c>
      <c r="T212" s="260">
        <v>0</v>
      </c>
      <c r="U212" s="261">
        <f>V212+W212+X212</f>
        <v>0</v>
      </c>
      <c r="V212" s="261">
        <v>0</v>
      </c>
      <c r="W212" s="261">
        <v>0</v>
      </c>
      <c r="X212" s="261">
        <v>0</v>
      </c>
      <c r="Y212" s="260">
        <v>0</v>
      </c>
      <c r="Z212" s="261">
        <f>AA212+AB212+AC212</f>
        <v>0</v>
      </c>
      <c r="AA212" s="261">
        <v>0</v>
      </c>
      <c r="AB212" s="261">
        <v>0</v>
      </c>
      <c r="AC212" s="261">
        <v>0</v>
      </c>
      <c r="AD212" s="264"/>
    </row>
    <row r="213" spans="1:30" s="18" customFormat="1" ht="33" customHeight="1" outlineLevel="1" x14ac:dyDescent="0.2">
      <c r="A213" s="258" t="s">
        <v>1279</v>
      </c>
      <c r="B213" s="275" t="s">
        <v>315</v>
      </c>
      <c r="C213" s="223">
        <f t="shared" si="85"/>
        <v>0</v>
      </c>
      <c r="D213" s="276">
        <f t="shared" si="86"/>
        <v>0</v>
      </c>
      <c r="E213" s="237">
        <v>0</v>
      </c>
      <c r="F213" s="273">
        <f t="shared" si="87"/>
        <v>0</v>
      </c>
      <c r="G213" s="273">
        <v>0</v>
      </c>
      <c r="H213" s="238">
        <v>0</v>
      </c>
      <c r="I213" s="238">
        <v>0</v>
      </c>
      <c r="J213" s="223">
        <v>0</v>
      </c>
      <c r="K213" s="261">
        <f t="shared" si="78"/>
        <v>0</v>
      </c>
      <c r="L213" s="261">
        <v>0</v>
      </c>
      <c r="M213" s="261">
        <v>0</v>
      </c>
      <c r="N213" s="261">
        <v>0</v>
      </c>
      <c r="O213" s="260">
        <v>0</v>
      </c>
      <c r="P213" s="261">
        <f t="shared" si="88"/>
        <v>0</v>
      </c>
      <c r="Q213" s="261">
        <v>0</v>
      </c>
      <c r="R213" s="261">
        <v>0</v>
      </c>
      <c r="S213" s="261">
        <v>0</v>
      </c>
      <c r="T213" s="260">
        <v>0</v>
      </c>
      <c r="U213" s="261">
        <f t="shared" si="89"/>
        <v>0</v>
      </c>
      <c r="V213" s="261">
        <v>0</v>
      </c>
      <c r="W213" s="261">
        <v>0</v>
      </c>
      <c r="X213" s="261">
        <v>0</v>
      </c>
      <c r="Y213" s="260">
        <v>0</v>
      </c>
      <c r="Z213" s="261">
        <f t="shared" si="90"/>
        <v>0</v>
      </c>
      <c r="AA213" s="261">
        <v>0</v>
      </c>
      <c r="AB213" s="261">
        <v>0</v>
      </c>
      <c r="AC213" s="261">
        <v>0</v>
      </c>
      <c r="AD213" s="264"/>
    </row>
    <row r="214" spans="1:30" s="18" customFormat="1" ht="31.9" customHeight="1" outlineLevel="1" x14ac:dyDescent="0.2">
      <c r="A214" s="258" t="s">
        <v>1280</v>
      </c>
      <c r="B214" s="275" t="s">
        <v>547</v>
      </c>
      <c r="C214" s="223">
        <f t="shared" si="85"/>
        <v>39.380000000000003</v>
      </c>
      <c r="D214" s="276">
        <f t="shared" si="86"/>
        <v>156042</v>
      </c>
      <c r="E214" s="237">
        <v>0</v>
      </c>
      <c r="F214" s="273">
        <f t="shared" si="87"/>
        <v>0</v>
      </c>
      <c r="G214" s="273">
        <v>0</v>
      </c>
      <c r="H214" s="238">
        <v>0</v>
      </c>
      <c r="I214" s="238">
        <v>0</v>
      </c>
      <c r="J214" s="223">
        <v>0</v>
      </c>
      <c r="K214" s="261">
        <f t="shared" si="78"/>
        <v>0</v>
      </c>
      <c r="L214" s="261">
        <v>0</v>
      </c>
      <c r="M214" s="261">
        <v>0</v>
      </c>
      <c r="N214" s="261">
        <v>0</v>
      </c>
      <c r="O214" s="260">
        <v>39.380000000000003</v>
      </c>
      <c r="P214" s="261">
        <f>Q214+R214+S214</f>
        <v>156042</v>
      </c>
      <c r="Q214" s="261">
        <v>0</v>
      </c>
      <c r="R214" s="261">
        <f>143483+3508</f>
        <v>146991</v>
      </c>
      <c r="S214" s="261">
        <f>8835+216</f>
        <v>9051</v>
      </c>
      <c r="T214" s="260">
        <v>0</v>
      </c>
      <c r="U214" s="261">
        <f t="shared" si="89"/>
        <v>0</v>
      </c>
      <c r="V214" s="261">
        <v>0</v>
      </c>
      <c r="W214" s="261">
        <v>0</v>
      </c>
      <c r="X214" s="261">
        <v>0</v>
      </c>
      <c r="Y214" s="260">
        <v>0</v>
      </c>
      <c r="Z214" s="261">
        <f t="shared" si="90"/>
        <v>0</v>
      </c>
      <c r="AA214" s="261">
        <v>0</v>
      </c>
      <c r="AB214" s="261">
        <v>0</v>
      </c>
      <c r="AC214" s="261">
        <v>0</v>
      </c>
      <c r="AD214" s="264"/>
    </row>
    <row r="215" spans="1:30" s="18" customFormat="1" ht="39.75" customHeight="1" outlineLevel="1" x14ac:dyDescent="0.2">
      <c r="A215" s="258" t="s">
        <v>1281</v>
      </c>
      <c r="B215" s="275" t="s">
        <v>408</v>
      </c>
      <c r="C215" s="223">
        <f t="shared" si="85"/>
        <v>26</v>
      </c>
      <c r="D215" s="276">
        <f>F215+K215+P215+U215+Z215</f>
        <v>92646</v>
      </c>
      <c r="E215" s="237">
        <v>0</v>
      </c>
      <c r="F215" s="273">
        <f t="shared" si="87"/>
        <v>0</v>
      </c>
      <c r="G215" s="273">
        <v>0</v>
      </c>
      <c r="H215" s="238">
        <v>0</v>
      </c>
      <c r="I215" s="238">
        <v>0</v>
      </c>
      <c r="J215" s="223">
        <v>0</v>
      </c>
      <c r="K215" s="261">
        <f t="shared" si="78"/>
        <v>0</v>
      </c>
      <c r="L215" s="261">
        <v>0</v>
      </c>
      <c r="M215" s="261">
        <v>0</v>
      </c>
      <c r="N215" s="261">
        <v>0</v>
      </c>
      <c r="O215" s="260">
        <v>26</v>
      </c>
      <c r="P215" s="261">
        <f t="shared" si="88"/>
        <v>92646</v>
      </c>
      <c r="Q215" s="261">
        <v>0</v>
      </c>
      <c r="R215" s="261">
        <f>88295-1022</f>
        <v>87273</v>
      </c>
      <c r="S215" s="261">
        <f>5436-63</f>
        <v>5373</v>
      </c>
      <c r="T215" s="260">
        <v>0</v>
      </c>
      <c r="U215" s="261">
        <f t="shared" si="89"/>
        <v>0</v>
      </c>
      <c r="V215" s="261">
        <v>0</v>
      </c>
      <c r="W215" s="261">
        <v>0</v>
      </c>
      <c r="X215" s="261">
        <v>0</v>
      </c>
      <c r="Y215" s="260">
        <v>0</v>
      </c>
      <c r="Z215" s="261">
        <f t="shared" si="90"/>
        <v>0</v>
      </c>
      <c r="AA215" s="261">
        <v>0</v>
      </c>
      <c r="AB215" s="261">
        <v>0</v>
      </c>
      <c r="AC215" s="261">
        <v>0</v>
      </c>
      <c r="AD215" s="264"/>
    </row>
    <row r="216" spans="1:30" s="18" customFormat="1" ht="37.9" customHeight="1" outlineLevel="1" x14ac:dyDescent="0.2">
      <c r="A216" s="258" t="s">
        <v>1282</v>
      </c>
      <c r="B216" s="275" t="s">
        <v>316</v>
      </c>
      <c r="C216" s="223">
        <f t="shared" si="85"/>
        <v>4.7</v>
      </c>
      <c r="D216" s="276">
        <f t="shared" si="86"/>
        <v>19178</v>
      </c>
      <c r="E216" s="237">
        <v>0</v>
      </c>
      <c r="F216" s="273">
        <f t="shared" si="87"/>
        <v>0</v>
      </c>
      <c r="G216" s="273">
        <v>0</v>
      </c>
      <c r="H216" s="238">
        <v>0</v>
      </c>
      <c r="I216" s="238">
        <v>0</v>
      </c>
      <c r="J216" s="223">
        <v>0</v>
      </c>
      <c r="K216" s="261">
        <f t="shared" si="78"/>
        <v>0</v>
      </c>
      <c r="L216" s="261">
        <v>0</v>
      </c>
      <c r="M216" s="261">
        <v>0</v>
      </c>
      <c r="N216" s="261">
        <v>0</v>
      </c>
      <c r="O216" s="260">
        <v>4.7</v>
      </c>
      <c r="P216" s="261">
        <f t="shared" si="88"/>
        <v>19178</v>
      </c>
      <c r="Q216" s="261">
        <v>0</v>
      </c>
      <c r="R216" s="261">
        <f>17556+510</f>
        <v>18066</v>
      </c>
      <c r="S216" s="261">
        <f>1081+31</f>
        <v>1112</v>
      </c>
      <c r="T216" s="260">
        <v>0</v>
      </c>
      <c r="U216" s="261">
        <f t="shared" si="89"/>
        <v>0</v>
      </c>
      <c r="V216" s="261">
        <v>0</v>
      </c>
      <c r="W216" s="261">
        <v>0</v>
      </c>
      <c r="X216" s="261">
        <v>0</v>
      </c>
      <c r="Y216" s="260">
        <v>0</v>
      </c>
      <c r="Z216" s="261">
        <f t="shared" si="90"/>
        <v>0</v>
      </c>
      <c r="AA216" s="261">
        <v>0</v>
      </c>
      <c r="AB216" s="261">
        <v>0</v>
      </c>
      <c r="AC216" s="261">
        <v>0</v>
      </c>
      <c r="AD216" s="264"/>
    </row>
    <row r="217" spans="1:30" s="18" customFormat="1" ht="33" customHeight="1" outlineLevel="1" x14ac:dyDescent="0.2">
      <c r="A217" s="258" t="s">
        <v>1283</v>
      </c>
      <c r="B217" s="275" t="s">
        <v>317</v>
      </c>
      <c r="C217" s="223">
        <f t="shared" si="85"/>
        <v>0</v>
      </c>
      <c r="D217" s="276">
        <f t="shared" si="86"/>
        <v>0</v>
      </c>
      <c r="E217" s="237">
        <v>0</v>
      </c>
      <c r="F217" s="273">
        <f t="shared" si="87"/>
        <v>0</v>
      </c>
      <c r="G217" s="273">
        <v>0</v>
      </c>
      <c r="H217" s="238">
        <v>0</v>
      </c>
      <c r="I217" s="238">
        <v>0</v>
      </c>
      <c r="J217" s="223">
        <v>0</v>
      </c>
      <c r="K217" s="261">
        <f t="shared" si="78"/>
        <v>0</v>
      </c>
      <c r="L217" s="261">
        <v>0</v>
      </c>
      <c r="M217" s="261">
        <v>0</v>
      </c>
      <c r="N217" s="261">
        <v>0</v>
      </c>
      <c r="O217" s="260">
        <v>0</v>
      </c>
      <c r="P217" s="261">
        <f t="shared" si="88"/>
        <v>0</v>
      </c>
      <c r="Q217" s="261">
        <v>0</v>
      </c>
      <c r="R217" s="261">
        <v>0</v>
      </c>
      <c r="S217" s="261">
        <v>0</v>
      </c>
      <c r="T217" s="260">
        <v>0</v>
      </c>
      <c r="U217" s="261">
        <f t="shared" si="89"/>
        <v>0</v>
      </c>
      <c r="V217" s="261">
        <v>0</v>
      </c>
      <c r="W217" s="261">
        <v>0</v>
      </c>
      <c r="X217" s="261">
        <v>0</v>
      </c>
      <c r="Y217" s="260">
        <v>0</v>
      </c>
      <c r="Z217" s="261">
        <f t="shared" si="90"/>
        <v>0</v>
      </c>
      <c r="AA217" s="261">
        <v>0</v>
      </c>
      <c r="AB217" s="261">
        <v>0</v>
      </c>
      <c r="AC217" s="261">
        <v>0</v>
      </c>
      <c r="AD217" s="264"/>
    </row>
    <row r="218" spans="1:30" s="18" customFormat="1" ht="36" customHeight="1" outlineLevel="1" x14ac:dyDescent="0.2">
      <c r="A218" s="258" t="s">
        <v>1284</v>
      </c>
      <c r="B218" s="275" t="s">
        <v>318</v>
      </c>
      <c r="C218" s="223">
        <f t="shared" si="85"/>
        <v>10.91</v>
      </c>
      <c r="D218" s="276">
        <f t="shared" si="86"/>
        <v>39339</v>
      </c>
      <c r="E218" s="237">
        <v>0</v>
      </c>
      <c r="F218" s="273">
        <f t="shared" si="87"/>
        <v>0</v>
      </c>
      <c r="G218" s="273">
        <v>0</v>
      </c>
      <c r="H218" s="238">
        <v>0</v>
      </c>
      <c r="I218" s="238">
        <v>0</v>
      </c>
      <c r="J218" s="223">
        <v>0</v>
      </c>
      <c r="K218" s="261">
        <f t="shared" si="78"/>
        <v>0</v>
      </c>
      <c r="L218" s="261">
        <v>0</v>
      </c>
      <c r="M218" s="261">
        <v>0</v>
      </c>
      <c r="N218" s="261">
        <v>0</v>
      </c>
      <c r="O218" s="260">
        <v>10.91</v>
      </c>
      <c r="P218" s="261">
        <f t="shared" si="88"/>
        <v>39339</v>
      </c>
      <c r="Q218" s="261">
        <v>0</v>
      </c>
      <c r="R218" s="261">
        <f>38996-1939</f>
        <v>37057</v>
      </c>
      <c r="S218" s="261">
        <f>2401-119</f>
        <v>2282</v>
      </c>
      <c r="T218" s="260">
        <v>0</v>
      </c>
      <c r="U218" s="261">
        <f t="shared" si="89"/>
        <v>0</v>
      </c>
      <c r="V218" s="261">
        <v>0</v>
      </c>
      <c r="W218" s="261">
        <v>0</v>
      </c>
      <c r="X218" s="261">
        <v>0</v>
      </c>
      <c r="Y218" s="260">
        <v>0</v>
      </c>
      <c r="Z218" s="261">
        <f t="shared" si="90"/>
        <v>0</v>
      </c>
      <c r="AA218" s="261">
        <v>0</v>
      </c>
      <c r="AB218" s="261">
        <v>0</v>
      </c>
      <c r="AC218" s="261">
        <v>0</v>
      </c>
      <c r="AD218" s="264">
        <f>W219+W220+W221+W222+W235+W236+W238</f>
        <v>700000</v>
      </c>
    </row>
    <row r="219" spans="1:30" s="18" customFormat="1" ht="36" customHeight="1" outlineLevel="1" x14ac:dyDescent="0.2">
      <c r="A219" s="258" t="s">
        <v>1285</v>
      </c>
      <c r="B219" s="275" t="s">
        <v>609</v>
      </c>
      <c r="C219" s="223">
        <f t="shared" ref="C219:C238" si="91">E219+J219+O219+T219+Y219</f>
        <v>1.3</v>
      </c>
      <c r="D219" s="276">
        <f t="shared" ref="D219:D236" si="92">F219+K219+P219+U219+Z219</f>
        <v>33737</v>
      </c>
      <c r="E219" s="237">
        <v>0</v>
      </c>
      <c r="F219" s="273">
        <f t="shared" ref="F219:F234" si="93">G219+H219+I219</f>
        <v>0</v>
      </c>
      <c r="G219" s="273">
        <v>0</v>
      </c>
      <c r="H219" s="238">
        <v>0</v>
      </c>
      <c r="I219" s="238">
        <v>0</v>
      </c>
      <c r="J219" s="223">
        <v>0</v>
      </c>
      <c r="K219" s="261">
        <f t="shared" ref="K219:K236" si="94">L219+M219+N219</f>
        <v>0</v>
      </c>
      <c r="L219" s="261">
        <v>0</v>
      </c>
      <c r="M219" s="261">
        <v>0</v>
      </c>
      <c r="N219" s="261">
        <v>0</v>
      </c>
      <c r="O219" s="260">
        <v>0</v>
      </c>
      <c r="P219" s="261">
        <f t="shared" ref="P219:P238" si="95">Q219+R219+S219</f>
        <v>0</v>
      </c>
      <c r="Q219" s="261">
        <v>0</v>
      </c>
      <c r="R219" s="261">
        <v>0</v>
      </c>
      <c r="S219" s="261">
        <v>0</v>
      </c>
      <c r="T219" s="260">
        <v>1.3</v>
      </c>
      <c r="U219" s="261">
        <f t="shared" ref="U219:U238" si="96">V219+W219+X219</f>
        <v>33737</v>
      </c>
      <c r="V219" s="261">
        <v>0</v>
      </c>
      <c r="W219" s="261">
        <v>32725</v>
      </c>
      <c r="X219" s="261">
        <v>1012</v>
      </c>
      <c r="Y219" s="260">
        <v>0</v>
      </c>
      <c r="Z219" s="261">
        <f t="shared" ref="Z219:Z238" si="97">AA219+AB219+AC219</f>
        <v>0</v>
      </c>
      <c r="AA219" s="261">
        <v>0</v>
      </c>
      <c r="AB219" s="261">
        <v>0</v>
      </c>
      <c r="AC219" s="261">
        <v>0</v>
      </c>
      <c r="AD219" s="264">
        <f>U219+U220+U221+U222+U235+U236+U238</f>
        <v>721650</v>
      </c>
    </row>
    <row r="220" spans="1:30" s="18" customFormat="1" ht="36" customHeight="1" outlineLevel="1" x14ac:dyDescent="0.2">
      <c r="A220" s="258" t="s">
        <v>1286</v>
      </c>
      <c r="B220" s="275" t="s">
        <v>610</v>
      </c>
      <c r="C220" s="223">
        <f t="shared" si="91"/>
        <v>1.9</v>
      </c>
      <c r="D220" s="276">
        <f t="shared" si="92"/>
        <v>108761</v>
      </c>
      <c r="E220" s="237">
        <v>0</v>
      </c>
      <c r="F220" s="273">
        <f t="shared" si="93"/>
        <v>0</v>
      </c>
      <c r="G220" s="273">
        <v>0</v>
      </c>
      <c r="H220" s="238">
        <v>0</v>
      </c>
      <c r="I220" s="238">
        <v>0</v>
      </c>
      <c r="J220" s="223">
        <v>0</v>
      </c>
      <c r="K220" s="261">
        <f t="shared" si="94"/>
        <v>0</v>
      </c>
      <c r="L220" s="261">
        <v>0</v>
      </c>
      <c r="M220" s="261">
        <v>0</v>
      </c>
      <c r="N220" s="261">
        <v>0</v>
      </c>
      <c r="O220" s="260">
        <v>0</v>
      </c>
      <c r="P220" s="261">
        <f t="shared" si="95"/>
        <v>0</v>
      </c>
      <c r="Q220" s="261">
        <v>0</v>
      </c>
      <c r="R220" s="261">
        <v>0</v>
      </c>
      <c r="S220" s="261">
        <v>0</v>
      </c>
      <c r="T220" s="260">
        <v>1.9</v>
      </c>
      <c r="U220" s="261">
        <f t="shared" si="96"/>
        <v>108761</v>
      </c>
      <c r="V220" s="261">
        <v>0</v>
      </c>
      <c r="W220" s="261">
        <v>105498</v>
      </c>
      <c r="X220" s="261">
        <v>3263</v>
      </c>
      <c r="Y220" s="260">
        <v>0</v>
      </c>
      <c r="Z220" s="261">
        <f t="shared" si="97"/>
        <v>0</v>
      </c>
      <c r="AA220" s="261">
        <v>0</v>
      </c>
      <c r="AB220" s="261">
        <v>0</v>
      </c>
      <c r="AC220" s="261">
        <v>0</v>
      </c>
      <c r="AD220" s="264"/>
    </row>
    <row r="221" spans="1:30" s="18" customFormat="1" ht="36" customHeight="1" outlineLevel="1" x14ac:dyDescent="0.2">
      <c r="A221" s="258" t="s">
        <v>1287</v>
      </c>
      <c r="B221" s="275" t="s">
        <v>611</v>
      </c>
      <c r="C221" s="223">
        <f t="shared" si="91"/>
        <v>1.9</v>
      </c>
      <c r="D221" s="276">
        <f t="shared" si="92"/>
        <v>218742</v>
      </c>
      <c r="E221" s="237">
        <v>0</v>
      </c>
      <c r="F221" s="273">
        <f t="shared" si="93"/>
        <v>0</v>
      </c>
      <c r="G221" s="273">
        <v>0</v>
      </c>
      <c r="H221" s="238">
        <v>0</v>
      </c>
      <c r="I221" s="238">
        <v>0</v>
      </c>
      <c r="J221" s="223">
        <v>0</v>
      </c>
      <c r="K221" s="261">
        <f t="shared" si="94"/>
        <v>0</v>
      </c>
      <c r="L221" s="261">
        <v>0</v>
      </c>
      <c r="M221" s="261">
        <v>0</v>
      </c>
      <c r="N221" s="261">
        <v>0</v>
      </c>
      <c r="O221" s="260">
        <v>0</v>
      </c>
      <c r="P221" s="261">
        <f t="shared" si="95"/>
        <v>0</v>
      </c>
      <c r="Q221" s="261">
        <v>0</v>
      </c>
      <c r="R221" s="261">
        <v>0</v>
      </c>
      <c r="S221" s="261">
        <v>0</v>
      </c>
      <c r="T221" s="260">
        <v>1.9</v>
      </c>
      <c r="U221" s="261">
        <f t="shared" si="96"/>
        <v>218742</v>
      </c>
      <c r="V221" s="261">
        <v>0</v>
      </c>
      <c r="W221" s="261">
        <v>212180</v>
      </c>
      <c r="X221" s="261">
        <v>6562</v>
      </c>
      <c r="Y221" s="260">
        <v>0</v>
      </c>
      <c r="Z221" s="261">
        <f t="shared" si="97"/>
        <v>0</v>
      </c>
      <c r="AA221" s="261">
        <v>0</v>
      </c>
      <c r="AB221" s="261">
        <v>0</v>
      </c>
      <c r="AC221" s="261">
        <v>0</v>
      </c>
      <c r="AD221" s="264"/>
    </row>
    <row r="222" spans="1:30" s="18" customFormat="1" ht="52.5" customHeight="1" outlineLevel="1" x14ac:dyDescent="0.2">
      <c r="A222" s="258" t="s">
        <v>1288</v>
      </c>
      <c r="B222" s="275" t="s">
        <v>608</v>
      </c>
      <c r="C222" s="223">
        <f t="shared" si="91"/>
        <v>5.7</v>
      </c>
      <c r="D222" s="276">
        <f t="shared" si="92"/>
        <v>194910</v>
      </c>
      <c r="E222" s="237">
        <v>0</v>
      </c>
      <c r="F222" s="273">
        <f t="shared" si="93"/>
        <v>0</v>
      </c>
      <c r="G222" s="273">
        <v>0</v>
      </c>
      <c r="H222" s="238">
        <v>0</v>
      </c>
      <c r="I222" s="238">
        <v>0</v>
      </c>
      <c r="J222" s="223">
        <v>0</v>
      </c>
      <c r="K222" s="261">
        <f t="shared" si="94"/>
        <v>0</v>
      </c>
      <c r="L222" s="261">
        <v>0</v>
      </c>
      <c r="M222" s="261">
        <v>0</v>
      </c>
      <c r="N222" s="261">
        <v>0</v>
      </c>
      <c r="O222" s="260">
        <v>0</v>
      </c>
      <c r="P222" s="261">
        <f t="shared" si="95"/>
        <v>0</v>
      </c>
      <c r="Q222" s="261">
        <v>0</v>
      </c>
      <c r="R222" s="261">
        <v>0</v>
      </c>
      <c r="S222" s="261">
        <v>0</v>
      </c>
      <c r="T222" s="260">
        <v>5.7</v>
      </c>
      <c r="U222" s="261">
        <f t="shared" si="96"/>
        <v>194910</v>
      </c>
      <c r="V222" s="261">
        <v>0</v>
      </c>
      <c r="W222" s="261">
        <v>189063</v>
      </c>
      <c r="X222" s="283">
        <v>5847</v>
      </c>
      <c r="Y222" s="260">
        <v>0</v>
      </c>
      <c r="Z222" s="261">
        <f t="shared" si="97"/>
        <v>0</v>
      </c>
      <c r="AA222" s="261">
        <v>0</v>
      </c>
      <c r="AB222" s="261">
        <v>0</v>
      </c>
      <c r="AC222" s="261">
        <v>0</v>
      </c>
      <c r="AD222" s="264"/>
    </row>
    <row r="223" spans="1:30" s="18" customFormat="1" ht="96" customHeight="1" outlineLevel="1" x14ac:dyDescent="0.2">
      <c r="A223" s="258" t="s">
        <v>1289</v>
      </c>
      <c r="B223" s="284" t="s">
        <v>386</v>
      </c>
      <c r="C223" s="223">
        <f t="shared" si="91"/>
        <v>0</v>
      </c>
      <c r="D223" s="276">
        <f t="shared" si="92"/>
        <v>0</v>
      </c>
      <c r="E223" s="237">
        <v>0</v>
      </c>
      <c r="F223" s="273">
        <f t="shared" si="93"/>
        <v>0</v>
      </c>
      <c r="G223" s="273">
        <v>0</v>
      </c>
      <c r="H223" s="238">
        <v>0</v>
      </c>
      <c r="I223" s="238">
        <v>0</v>
      </c>
      <c r="J223" s="223">
        <v>0</v>
      </c>
      <c r="K223" s="261">
        <f t="shared" si="94"/>
        <v>0</v>
      </c>
      <c r="L223" s="261">
        <v>0</v>
      </c>
      <c r="M223" s="261">
        <v>0</v>
      </c>
      <c r="N223" s="261">
        <v>0</v>
      </c>
      <c r="O223" s="260">
        <v>0</v>
      </c>
      <c r="P223" s="261">
        <f t="shared" si="95"/>
        <v>0</v>
      </c>
      <c r="Q223" s="261">
        <v>0</v>
      </c>
      <c r="R223" s="261">
        <v>0</v>
      </c>
      <c r="S223" s="261">
        <v>0</v>
      </c>
      <c r="T223" s="260">
        <v>0</v>
      </c>
      <c r="U223" s="261">
        <f t="shared" si="96"/>
        <v>0</v>
      </c>
      <c r="V223" s="261">
        <v>0</v>
      </c>
      <c r="W223" s="261">
        <v>0</v>
      </c>
      <c r="X223" s="261">
        <v>0</v>
      </c>
      <c r="Y223" s="260">
        <v>0</v>
      </c>
      <c r="Z223" s="261">
        <f t="shared" si="97"/>
        <v>0</v>
      </c>
      <c r="AA223" s="261">
        <v>0</v>
      </c>
      <c r="AB223" s="261">
        <v>0</v>
      </c>
      <c r="AC223" s="261">
        <v>0</v>
      </c>
      <c r="AD223" s="264"/>
    </row>
    <row r="224" spans="1:30" s="18" customFormat="1" ht="36" customHeight="1" outlineLevel="1" x14ac:dyDescent="0.2">
      <c r="A224" s="258" t="s">
        <v>1290</v>
      </c>
      <c r="B224" s="275" t="s">
        <v>548</v>
      </c>
      <c r="C224" s="223">
        <f t="shared" si="91"/>
        <v>72.13</v>
      </c>
      <c r="D224" s="276">
        <f t="shared" si="92"/>
        <v>273574</v>
      </c>
      <c r="E224" s="237">
        <v>0</v>
      </c>
      <c r="F224" s="273">
        <f t="shared" si="93"/>
        <v>0</v>
      </c>
      <c r="G224" s="273">
        <v>0</v>
      </c>
      <c r="H224" s="238">
        <v>0</v>
      </c>
      <c r="I224" s="238">
        <v>0</v>
      </c>
      <c r="J224" s="223">
        <v>0</v>
      </c>
      <c r="K224" s="261">
        <f t="shared" si="94"/>
        <v>0</v>
      </c>
      <c r="L224" s="261">
        <v>0</v>
      </c>
      <c r="M224" s="261">
        <v>0</v>
      </c>
      <c r="N224" s="261">
        <v>0</v>
      </c>
      <c r="O224" s="260">
        <f>71.96+0.17</f>
        <v>72.13</v>
      </c>
      <c r="P224" s="261">
        <f t="shared" si="95"/>
        <v>273574</v>
      </c>
      <c r="Q224" s="261">
        <v>0</v>
      </c>
      <c r="R224" s="261">
        <f>247769+9938</f>
        <v>257707</v>
      </c>
      <c r="S224" s="261">
        <f>15255+612</f>
        <v>15867</v>
      </c>
      <c r="T224" s="260">
        <v>0</v>
      </c>
      <c r="U224" s="261">
        <f t="shared" si="96"/>
        <v>0</v>
      </c>
      <c r="V224" s="261">
        <v>0</v>
      </c>
      <c r="W224" s="261">
        <v>0</v>
      </c>
      <c r="X224" s="261">
        <v>0</v>
      </c>
      <c r="Y224" s="260">
        <v>0</v>
      </c>
      <c r="Z224" s="261">
        <f t="shared" si="97"/>
        <v>0</v>
      </c>
      <c r="AA224" s="261">
        <v>0</v>
      </c>
      <c r="AB224" s="261">
        <v>0</v>
      </c>
      <c r="AC224" s="261">
        <v>0</v>
      </c>
      <c r="AD224" s="264"/>
    </row>
    <row r="225" spans="1:30" s="18" customFormat="1" ht="36" outlineLevel="1" x14ac:dyDescent="0.2">
      <c r="A225" s="258" t="s">
        <v>1291</v>
      </c>
      <c r="B225" s="275" t="s">
        <v>413</v>
      </c>
      <c r="C225" s="223">
        <f t="shared" si="91"/>
        <v>21.39</v>
      </c>
      <c r="D225" s="276">
        <f t="shared" si="92"/>
        <v>48832</v>
      </c>
      <c r="E225" s="237">
        <v>0</v>
      </c>
      <c r="F225" s="273">
        <f t="shared" si="93"/>
        <v>0</v>
      </c>
      <c r="G225" s="273">
        <v>0</v>
      </c>
      <c r="H225" s="238">
        <v>0</v>
      </c>
      <c r="I225" s="273">
        <v>0</v>
      </c>
      <c r="J225" s="223">
        <v>21.39</v>
      </c>
      <c r="K225" s="261">
        <f t="shared" si="94"/>
        <v>48832</v>
      </c>
      <c r="L225" s="261">
        <v>0</v>
      </c>
      <c r="M225" s="261">
        <v>46000</v>
      </c>
      <c r="N225" s="261">
        <v>2832</v>
      </c>
      <c r="O225" s="260">
        <v>0</v>
      </c>
      <c r="P225" s="261">
        <f t="shared" si="95"/>
        <v>0</v>
      </c>
      <c r="Q225" s="261">
        <v>0</v>
      </c>
      <c r="R225" s="261">
        <v>0</v>
      </c>
      <c r="S225" s="261">
        <v>0</v>
      </c>
      <c r="T225" s="260">
        <v>0</v>
      </c>
      <c r="U225" s="261">
        <f t="shared" si="96"/>
        <v>0</v>
      </c>
      <c r="V225" s="261">
        <v>0</v>
      </c>
      <c r="W225" s="261">
        <v>0</v>
      </c>
      <c r="X225" s="261">
        <v>0</v>
      </c>
      <c r="Y225" s="260">
        <v>0</v>
      </c>
      <c r="Z225" s="261">
        <f t="shared" si="97"/>
        <v>0</v>
      </c>
      <c r="AA225" s="261">
        <v>0</v>
      </c>
      <c r="AB225" s="261">
        <v>0</v>
      </c>
      <c r="AC225" s="261">
        <v>0</v>
      </c>
      <c r="AD225" s="264"/>
    </row>
    <row r="226" spans="1:30" s="18" customFormat="1" ht="38.25" customHeight="1" outlineLevel="1" x14ac:dyDescent="0.2">
      <c r="A226" s="258" t="s">
        <v>1292</v>
      </c>
      <c r="B226" s="275" t="s">
        <v>429</v>
      </c>
      <c r="C226" s="223">
        <f t="shared" si="91"/>
        <v>7.04</v>
      </c>
      <c r="D226" s="276">
        <f t="shared" si="92"/>
        <v>29826</v>
      </c>
      <c r="E226" s="237">
        <v>0</v>
      </c>
      <c r="F226" s="273">
        <f t="shared" si="93"/>
        <v>0</v>
      </c>
      <c r="G226" s="273">
        <v>0</v>
      </c>
      <c r="H226" s="238">
        <v>0</v>
      </c>
      <c r="I226" s="273">
        <v>0</v>
      </c>
      <c r="J226" s="285">
        <v>7.04</v>
      </c>
      <c r="K226" s="283">
        <f t="shared" si="94"/>
        <v>29826</v>
      </c>
      <c r="L226" s="283">
        <v>0</v>
      </c>
      <c r="M226" s="283">
        <v>28096</v>
      </c>
      <c r="N226" s="283">
        <v>1730</v>
      </c>
      <c r="O226" s="286">
        <v>0</v>
      </c>
      <c r="P226" s="261">
        <f t="shared" si="95"/>
        <v>0</v>
      </c>
      <c r="Q226" s="261">
        <v>0</v>
      </c>
      <c r="R226" s="261">
        <v>0</v>
      </c>
      <c r="S226" s="261">
        <v>0</v>
      </c>
      <c r="T226" s="260">
        <v>0</v>
      </c>
      <c r="U226" s="261">
        <f t="shared" si="96"/>
        <v>0</v>
      </c>
      <c r="V226" s="261">
        <v>0</v>
      </c>
      <c r="W226" s="261">
        <v>0</v>
      </c>
      <c r="X226" s="261">
        <v>0</v>
      </c>
      <c r="Y226" s="260">
        <v>0</v>
      </c>
      <c r="Z226" s="261">
        <f t="shared" si="97"/>
        <v>0</v>
      </c>
      <c r="AA226" s="261">
        <v>0</v>
      </c>
      <c r="AB226" s="261">
        <v>0</v>
      </c>
      <c r="AC226" s="261">
        <v>0</v>
      </c>
      <c r="AD226" s="264"/>
    </row>
    <row r="227" spans="1:30" s="18" customFormat="1" ht="36" customHeight="1" outlineLevel="1" x14ac:dyDescent="0.2">
      <c r="A227" s="258" t="s">
        <v>1293</v>
      </c>
      <c r="B227" s="275" t="s">
        <v>426</v>
      </c>
      <c r="C227" s="223">
        <f t="shared" si="91"/>
        <v>8.4</v>
      </c>
      <c r="D227" s="276">
        <f t="shared" si="92"/>
        <v>27392</v>
      </c>
      <c r="E227" s="237">
        <v>0</v>
      </c>
      <c r="F227" s="273">
        <f t="shared" si="93"/>
        <v>0</v>
      </c>
      <c r="G227" s="273">
        <v>0</v>
      </c>
      <c r="H227" s="238">
        <v>0</v>
      </c>
      <c r="I227" s="238">
        <v>0</v>
      </c>
      <c r="J227" s="223">
        <v>8.4</v>
      </c>
      <c r="K227" s="261">
        <f t="shared" si="94"/>
        <v>27392</v>
      </c>
      <c r="L227" s="261">
        <v>0</v>
      </c>
      <c r="M227" s="261">
        <v>25803</v>
      </c>
      <c r="N227" s="261">
        <v>1589</v>
      </c>
      <c r="O227" s="260">
        <v>0</v>
      </c>
      <c r="P227" s="261">
        <f t="shared" si="95"/>
        <v>0</v>
      </c>
      <c r="Q227" s="261">
        <v>0</v>
      </c>
      <c r="R227" s="261">
        <v>0</v>
      </c>
      <c r="S227" s="261">
        <v>0</v>
      </c>
      <c r="T227" s="260">
        <v>0</v>
      </c>
      <c r="U227" s="261">
        <f t="shared" si="96"/>
        <v>0</v>
      </c>
      <c r="V227" s="261">
        <v>0</v>
      </c>
      <c r="W227" s="261">
        <v>0</v>
      </c>
      <c r="X227" s="261">
        <v>0</v>
      </c>
      <c r="Y227" s="260">
        <v>0</v>
      </c>
      <c r="Z227" s="261">
        <f t="shared" si="97"/>
        <v>0</v>
      </c>
      <c r="AA227" s="261">
        <v>0</v>
      </c>
      <c r="AB227" s="261">
        <v>0</v>
      </c>
      <c r="AC227" s="261">
        <v>0</v>
      </c>
      <c r="AD227" s="264"/>
    </row>
    <row r="228" spans="1:30" s="18" customFormat="1" ht="36" customHeight="1" outlineLevel="1" x14ac:dyDescent="0.2">
      <c r="A228" s="258" t="s">
        <v>1294</v>
      </c>
      <c r="B228" s="275" t="s">
        <v>427</v>
      </c>
      <c r="C228" s="223">
        <f t="shared" si="91"/>
        <v>38.479999999999997</v>
      </c>
      <c r="D228" s="276">
        <f t="shared" si="92"/>
        <v>117730</v>
      </c>
      <c r="E228" s="237">
        <v>0</v>
      </c>
      <c r="F228" s="273">
        <f t="shared" si="93"/>
        <v>0</v>
      </c>
      <c r="G228" s="273">
        <v>0</v>
      </c>
      <c r="H228" s="238">
        <v>0</v>
      </c>
      <c r="I228" s="238">
        <v>0</v>
      </c>
      <c r="J228" s="223">
        <v>38.479999999999997</v>
      </c>
      <c r="K228" s="261">
        <f t="shared" si="94"/>
        <v>117730</v>
      </c>
      <c r="L228" s="261">
        <v>0</v>
      </c>
      <c r="M228" s="261">
        <v>110902</v>
      </c>
      <c r="N228" s="261">
        <v>6828</v>
      </c>
      <c r="O228" s="260">
        <v>0</v>
      </c>
      <c r="P228" s="261">
        <f t="shared" si="95"/>
        <v>0</v>
      </c>
      <c r="Q228" s="261">
        <v>0</v>
      </c>
      <c r="R228" s="261">
        <v>0</v>
      </c>
      <c r="S228" s="261">
        <v>0</v>
      </c>
      <c r="T228" s="260">
        <v>0</v>
      </c>
      <c r="U228" s="261">
        <f t="shared" si="96"/>
        <v>0</v>
      </c>
      <c r="V228" s="261">
        <v>0</v>
      </c>
      <c r="W228" s="261">
        <v>0</v>
      </c>
      <c r="X228" s="261">
        <v>0</v>
      </c>
      <c r="Y228" s="260">
        <v>0</v>
      </c>
      <c r="Z228" s="261">
        <f t="shared" si="97"/>
        <v>0</v>
      </c>
      <c r="AA228" s="261">
        <v>0</v>
      </c>
      <c r="AB228" s="261">
        <v>0</v>
      </c>
      <c r="AC228" s="261">
        <v>0</v>
      </c>
      <c r="AD228" s="264"/>
    </row>
    <row r="229" spans="1:30" s="18" customFormat="1" ht="36" customHeight="1" outlineLevel="1" x14ac:dyDescent="0.2">
      <c r="A229" s="258" t="s">
        <v>1295</v>
      </c>
      <c r="B229" s="275" t="s">
        <v>428</v>
      </c>
      <c r="C229" s="223">
        <f t="shared" si="91"/>
        <v>56.7</v>
      </c>
      <c r="D229" s="276">
        <f t="shared" si="92"/>
        <v>173349</v>
      </c>
      <c r="E229" s="237">
        <v>0</v>
      </c>
      <c r="F229" s="273">
        <f t="shared" si="93"/>
        <v>0</v>
      </c>
      <c r="G229" s="273">
        <v>0</v>
      </c>
      <c r="H229" s="238">
        <v>0</v>
      </c>
      <c r="I229" s="238">
        <v>0</v>
      </c>
      <c r="J229" s="223">
        <v>56.7</v>
      </c>
      <c r="K229" s="261">
        <f t="shared" si="94"/>
        <v>173349</v>
      </c>
      <c r="L229" s="261">
        <v>0</v>
      </c>
      <c r="M229" s="261">
        <v>163295</v>
      </c>
      <c r="N229" s="261">
        <v>10054</v>
      </c>
      <c r="O229" s="260">
        <v>0</v>
      </c>
      <c r="P229" s="261">
        <f t="shared" si="95"/>
        <v>0</v>
      </c>
      <c r="Q229" s="261">
        <v>0</v>
      </c>
      <c r="R229" s="261">
        <v>0</v>
      </c>
      <c r="S229" s="261">
        <v>0</v>
      </c>
      <c r="T229" s="260">
        <v>0</v>
      </c>
      <c r="U229" s="261">
        <f t="shared" si="96"/>
        <v>0</v>
      </c>
      <c r="V229" s="261">
        <v>0</v>
      </c>
      <c r="W229" s="261">
        <v>0</v>
      </c>
      <c r="X229" s="261">
        <v>0</v>
      </c>
      <c r="Y229" s="260">
        <v>0</v>
      </c>
      <c r="Z229" s="261">
        <f t="shared" si="97"/>
        <v>0</v>
      </c>
      <c r="AA229" s="261">
        <v>0</v>
      </c>
      <c r="AB229" s="261">
        <v>0</v>
      </c>
      <c r="AC229" s="261">
        <v>0</v>
      </c>
      <c r="AD229" s="264"/>
    </row>
    <row r="230" spans="1:30" s="18" customFormat="1" ht="38.25" customHeight="1" outlineLevel="1" x14ac:dyDescent="0.2">
      <c r="A230" s="258" t="s">
        <v>1296</v>
      </c>
      <c r="B230" s="275" t="s">
        <v>535</v>
      </c>
      <c r="C230" s="223">
        <f t="shared" si="91"/>
        <v>0</v>
      </c>
      <c r="D230" s="276">
        <f t="shared" si="92"/>
        <v>0</v>
      </c>
      <c r="E230" s="237">
        <v>0</v>
      </c>
      <c r="F230" s="273">
        <f t="shared" si="93"/>
        <v>0</v>
      </c>
      <c r="G230" s="273">
        <v>0</v>
      </c>
      <c r="H230" s="238">
        <v>0</v>
      </c>
      <c r="I230" s="273">
        <v>0</v>
      </c>
      <c r="J230" s="285">
        <v>0</v>
      </c>
      <c r="K230" s="283">
        <f t="shared" si="94"/>
        <v>0</v>
      </c>
      <c r="L230" s="283">
        <v>0</v>
      </c>
      <c r="M230" s="283">
        <v>0</v>
      </c>
      <c r="N230" s="283">
        <v>0</v>
      </c>
      <c r="O230" s="286">
        <v>0</v>
      </c>
      <c r="P230" s="261">
        <f t="shared" si="95"/>
        <v>0</v>
      </c>
      <c r="Q230" s="261">
        <v>0</v>
      </c>
      <c r="R230" s="261">
        <v>0</v>
      </c>
      <c r="S230" s="261">
        <v>0</v>
      </c>
      <c r="T230" s="260">
        <v>0</v>
      </c>
      <c r="U230" s="261">
        <f t="shared" si="96"/>
        <v>0</v>
      </c>
      <c r="V230" s="261">
        <v>0</v>
      </c>
      <c r="W230" s="261">
        <v>0</v>
      </c>
      <c r="X230" s="261">
        <v>0</v>
      </c>
      <c r="Y230" s="260">
        <v>0</v>
      </c>
      <c r="Z230" s="261">
        <f t="shared" si="97"/>
        <v>0</v>
      </c>
      <c r="AA230" s="261">
        <v>0</v>
      </c>
      <c r="AB230" s="261">
        <f>14219-14219</f>
        <v>0</v>
      </c>
      <c r="AC230" s="261">
        <f>887-887</f>
        <v>0</v>
      </c>
      <c r="AD230" s="264"/>
    </row>
    <row r="231" spans="1:30" s="18" customFormat="1" ht="38.25" customHeight="1" outlineLevel="1" x14ac:dyDescent="0.2">
      <c r="A231" s="258" t="s">
        <v>1297</v>
      </c>
      <c r="B231" s="275" t="s">
        <v>536</v>
      </c>
      <c r="C231" s="223">
        <f t="shared" si="91"/>
        <v>0</v>
      </c>
      <c r="D231" s="276">
        <f t="shared" si="92"/>
        <v>0</v>
      </c>
      <c r="E231" s="237">
        <v>0</v>
      </c>
      <c r="F231" s="273">
        <f t="shared" si="93"/>
        <v>0</v>
      </c>
      <c r="G231" s="273">
        <v>0</v>
      </c>
      <c r="H231" s="238">
        <v>0</v>
      </c>
      <c r="I231" s="273">
        <v>0</v>
      </c>
      <c r="J231" s="285">
        <v>0</v>
      </c>
      <c r="K231" s="283">
        <f t="shared" si="94"/>
        <v>0</v>
      </c>
      <c r="L231" s="283">
        <v>0</v>
      </c>
      <c r="M231" s="283">
        <v>0</v>
      </c>
      <c r="N231" s="283">
        <v>0</v>
      </c>
      <c r="O231" s="286">
        <v>0</v>
      </c>
      <c r="P231" s="261">
        <f t="shared" si="95"/>
        <v>0</v>
      </c>
      <c r="Q231" s="261">
        <v>0</v>
      </c>
      <c r="R231" s="261">
        <v>0</v>
      </c>
      <c r="S231" s="261">
        <v>0</v>
      </c>
      <c r="T231" s="260">
        <v>0</v>
      </c>
      <c r="U231" s="261">
        <f t="shared" si="96"/>
        <v>0</v>
      </c>
      <c r="V231" s="261">
        <v>0</v>
      </c>
      <c r="W231" s="261">
        <v>0</v>
      </c>
      <c r="X231" s="261">
        <v>0</v>
      </c>
      <c r="Y231" s="260">
        <v>0</v>
      </c>
      <c r="Z231" s="261">
        <f t="shared" si="97"/>
        <v>0</v>
      </c>
      <c r="AA231" s="261">
        <v>0</v>
      </c>
      <c r="AB231" s="261">
        <f>92720-92720</f>
        <v>0</v>
      </c>
      <c r="AC231" s="261">
        <f>5709-5709</f>
        <v>0</v>
      </c>
      <c r="AD231" s="264"/>
    </row>
    <row r="232" spans="1:30" s="18" customFormat="1" ht="38.25" customHeight="1" outlineLevel="1" x14ac:dyDescent="0.2">
      <c r="A232" s="258" t="s">
        <v>1298</v>
      </c>
      <c r="B232" s="275" t="s">
        <v>537</v>
      </c>
      <c r="C232" s="223">
        <f t="shared" si="91"/>
        <v>0</v>
      </c>
      <c r="D232" s="276">
        <f t="shared" si="92"/>
        <v>0</v>
      </c>
      <c r="E232" s="237">
        <v>0</v>
      </c>
      <c r="F232" s="273">
        <f t="shared" si="93"/>
        <v>0</v>
      </c>
      <c r="G232" s="273">
        <v>0</v>
      </c>
      <c r="H232" s="238">
        <v>0</v>
      </c>
      <c r="I232" s="273">
        <v>0</v>
      </c>
      <c r="J232" s="285">
        <v>0</v>
      </c>
      <c r="K232" s="283">
        <f t="shared" si="94"/>
        <v>0</v>
      </c>
      <c r="L232" s="283">
        <v>0</v>
      </c>
      <c r="M232" s="283">
        <v>0</v>
      </c>
      <c r="N232" s="283">
        <v>0</v>
      </c>
      <c r="O232" s="286">
        <v>0</v>
      </c>
      <c r="P232" s="261">
        <f t="shared" si="95"/>
        <v>0</v>
      </c>
      <c r="Q232" s="261">
        <v>0</v>
      </c>
      <c r="R232" s="261">
        <v>0</v>
      </c>
      <c r="S232" s="261">
        <v>0</v>
      </c>
      <c r="T232" s="260">
        <v>0</v>
      </c>
      <c r="U232" s="261">
        <f t="shared" si="96"/>
        <v>0</v>
      </c>
      <c r="V232" s="261">
        <v>0</v>
      </c>
      <c r="W232" s="261">
        <v>0</v>
      </c>
      <c r="X232" s="261">
        <v>0</v>
      </c>
      <c r="Y232" s="260">
        <v>0</v>
      </c>
      <c r="Z232" s="261">
        <f t="shared" si="97"/>
        <v>0</v>
      </c>
      <c r="AA232" s="261">
        <v>0</v>
      </c>
      <c r="AB232" s="261">
        <f>63616-63616</f>
        <v>0</v>
      </c>
      <c r="AC232" s="261">
        <f>3917-3917</f>
        <v>0</v>
      </c>
      <c r="AD232" s="264"/>
    </row>
    <row r="233" spans="1:30" s="18" customFormat="1" ht="38.25" customHeight="1" outlineLevel="1" x14ac:dyDescent="0.2">
      <c r="A233" s="258" t="s">
        <v>1299</v>
      </c>
      <c r="B233" s="275" t="s">
        <v>538</v>
      </c>
      <c r="C233" s="223">
        <f t="shared" si="91"/>
        <v>0</v>
      </c>
      <c r="D233" s="276">
        <f t="shared" si="92"/>
        <v>0</v>
      </c>
      <c r="E233" s="237">
        <v>0</v>
      </c>
      <c r="F233" s="273">
        <f t="shared" si="93"/>
        <v>0</v>
      </c>
      <c r="G233" s="273">
        <v>0</v>
      </c>
      <c r="H233" s="238">
        <v>0</v>
      </c>
      <c r="I233" s="273">
        <v>0</v>
      </c>
      <c r="J233" s="285">
        <v>0</v>
      </c>
      <c r="K233" s="283">
        <f t="shared" si="94"/>
        <v>0</v>
      </c>
      <c r="L233" s="283">
        <v>0</v>
      </c>
      <c r="M233" s="283">
        <v>0</v>
      </c>
      <c r="N233" s="283">
        <v>0</v>
      </c>
      <c r="O233" s="286">
        <v>0</v>
      </c>
      <c r="P233" s="261">
        <f t="shared" si="95"/>
        <v>0</v>
      </c>
      <c r="Q233" s="261">
        <v>0</v>
      </c>
      <c r="R233" s="261">
        <v>0</v>
      </c>
      <c r="S233" s="261">
        <v>0</v>
      </c>
      <c r="T233" s="260">
        <v>0</v>
      </c>
      <c r="U233" s="261">
        <f t="shared" si="96"/>
        <v>0</v>
      </c>
      <c r="V233" s="261">
        <v>0</v>
      </c>
      <c r="W233" s="261">
        <v>0</v>
      </c>
      <c r="X233" s="261">
        <v>0</v>
      </c>
      <c r="Y233" s="260">
        <v>0</v>
      </c>
      <c r="Z233" s="261">
        <f t="shared" si="97"/>
        <v>0</v>
      </c>
      <c r="AA233" s="261">
        <v>0</v>
      </c>
      <c r="AB233" s="261">
        <f>313121-313121</f>
        <v>0</v>
      </c>
      <c r="AC233" s="261">
        <f>19279-19279</f>
        <v>0</v>
      </c>
      <c r="AD233" s="264"/>
    </row>
    <row r="234" spans="1:30" s="18" customFormat="1" ht="38.25" customHeight="1" outlineLevel="1" x14ac:dyDescent="0.2">
      <c r="A234" s="258" t="s">
        <v>1300</v>
      </c>
      <c r="B234" s="275" t="s">
        <v>539</v>
      </c>
      <c r="C234" s="223">
        <f t="shared" si="91"/>
        <v>0</v>
      </c>
      <c r="D234" s="276">
        <f t="shared" si="92"/>
        <v>0</v>
      </c>
      <c r="E234" s="237">
        <v>0</v>
      </c>
      <c r="F234" s="273">
        <f t="shared" si="93"/>
        <v>0</v>
      </c>
      <c r="G234" s="273">
        <v>0</v>
      </c>
      <c r="H234" s="238">
        <v>0</v>
      </c>
      <c r="I234" s="273">
        <v>0</v>
      </c>
      <c r="J234" s="285">
        <v>0</v>
      </c>
      <c r="K234" s="283">
        <f t="shared" si="94"/>
        <v>0</v>
      </c>
      <c r="L234" s="283">
        <v>0</v>
      </c>
      <c r="M234" s="283">
        <v>0</v>
      </c>
      <c r="N234" s="283">
        <v>0</v>
      </c>
      <c r="O234" s="286">
        <v>0</v>
      </c>
      <c r="P234" s="261">
        <f t="shared" si="95"/>
        <v>0</v>
      </c>
      <c r="Q234" s="261">
        <v>0</v>
      </c>
      <c r="R234" s="261">
        <v>0</v>
      </c>
      <c r="S234" s="261">
        <v>0</v>
      </c>
      <c r="T234" s="260">
        <v>0</v>
      </c>
      <c r="U234" s="261">
        <f t="shared" si="96"/>
        <v>0</v>
      </c>
      <c r="V234" s="261">
        <v>0</v>
      </c>
      <c r="W234" s="261">
        <v>0</v>
      </c>
      <c r="X234" s="261">
        <v>0</v>
      </c>
      <c r="Y234" s="260">
        <v>0</v>
      </c>
      <c r="Z234" s="261">
        <f t="shared" si="97"/>
        <v>0</v>
      </c>
      <c r="AA234" s="261">
        <v>0</v>
      </c>
      <c r="AB234" s="261">
        <f>216324-216324</f>
        <v>0</v>
      </c>
      <c r="AC234" s="261">
        <f>13308-13308</f>
        <v>0</v>
      </c>
      <c r="AD234" s="264"/>
    </row>
    <row r="235" spans="1:30" s="18" customFormat="1" ht="38.25" customHeight="1" outlineLevel="1" x14ac:dyDescent="0.2">
      <c r="A235" s="258" t="s">
        <v>1301</v>
      </c>
      <c r="B235" s="275" t="s">
        <v>606</v>
      </c>
      <c r="C235" s="223">
        <f t="shared" si="91"/>
        <v>1.1000000000000001</v>
      </c>
      <c r="D235" s="276">
        <f t="shared" si="92"/>
        <v>54127</v>
      </c>
      <c r="E235" s="237">
        <v>0</v>
      </c>
      <c r="F235" s="273">
        <f t="shared" ref="F235:F236" si="98">G235+H235+I235</f>
        <v>0</v>
      </c>
      <c r="G235" s="273">
        <v>0</v>
      </c>
      <c r="H235" s="238">
        <v>0</v>
      </c>
      <c r="I235" s="273">
        <v>0</v>
      </c>
      <c r="J235" s="285">
        <v>0</v>
      </c>
      <c r="K235" s="273">
        <f t="shared" si="94"/>
        <v>0</v>
      </c>
      <c r="L235" s="273">
        <v>0</v>
      </c>
      <c r="M235" s="238">
        <v>0</v>
      </c>
      <c r="N235" s="273">
        <v>0</v>
      </c>
      <c r="O235" s="286">
        <v>0</v>
      </c>
      <c r="P235" s="273">
        <f t="shared" si="95"/>
        <v>0</v>
      </c>
      <c r="Q235" s="273">
        <v>0</v>
      </c>
      <c r="R235" s="238">
        <v>0</v>
      </c>
      <c r="S235" s="273">
        <v>0</v>
      </c>
      <c r="T235" s="260">
        <v>1.1000000000000001</v>
      </c>
      <c r="U235" s="261">
        <f t="shared" si="96"/>
        <v>54127</v>
      </c>
      <c r="V235" s="261">
        <v>0</v>
      </c>
      <c r="W235" s="261">
        <v>52503</v>
      </c>
      <c r="X235" s="261">
        <v>1624</v>
      </c>
      <c r="Y235" s="260">
        <v>0</v>
      </c>
      <c r="Z235" s="261">
        <f t="shared" si="97"/>
        <v>0</v>
      </c>
      <c r="AA235" s="261">
        <v>0</v>
      </c>
      <c r="AB235" s="261">
        <v>0</v>
      </c>
      <c r="AC235" s="261">
        <v>0</v>
      </c>
      <c r="AD235" s="264"/>
    </row>
    <row r="236" spans="1:30" s="18" customFormat="1" ht="38.25" customHeight="1" outlineLevel="1" x14ac:dyDescent="0.2">
      <c r="A236" s="258" t="s">
        <v>1302</v>
      </c>
      <c r="B236" s="275" t="s">
        <v>607</v>
      </c>
      <c r="C236" s="223">
        <f t="shared" si="91"/>
        <v>1.86</v>
      </c>
      <c r="D236" s="276">
        <f t="shared" si="92"/>
        <v>111362</v>
      </c>
      <c r="E236" s="237">
        <v>0</v>
      </c>
      <c r="F236" s="273">
        <f t="shared" si="98"/>
        <v>0</v>
      </c>
      <c r="G236" s="273">
        <v>0</v>
      </c>
      <c r="H236" s="238">
        <v>0</v>
      </c>
      <c r="I236" s="273">
        <v>0</v>
      </c>
      <c r="J236" s="285">
        <v>0</v>
      </c>
      <c r="K236" s="273">
        <f t="shared" si="94"/>
        <v>0</v>
      </c>
      <c r="L236" s="273">
        <v>0</v>
      </c>
      <c r="M236" s="238">
        <v>0</v>
      </c>
      <c r="N236" s="273">
        <v>0</v>
      </c>
      <c r="O236" s="286">
        <v>0</v>
      </c>
      <c r="P236" s="273">
        <f t="shared" si="95"/>
        <v>0</v>
      </c>
      <c r="Q236" s="273">
        <v>0</v>
      </c>
      <c r="R236" s="238">
        <v>0</v>
      </c>
      <c r="S236" s="273">
        <v>0</v>
      </c>
      <c r="T236" s="260">
        <v>1.86</v>
      </c>
      <c r="U236" s="261">
        <f t="shared" si="96"/>
        <v>111362</v>
      </c>
      <c r="V236" s="261">
        <v>0</v>
      </c>
      <c r="W236" s="261">
        <v>108021</v>
      </c>
      <c r="X236" s="261">
        <v>3341</v>
      </c>
      <c r="Y236" s="260">
        <v>0</v>
      </c>
      <c r="Z236" s="261">
        <f t="shared" si="97"/>
        <v>0</v>
      </c>
      <c r="AA236" s="261">
        <v>0</v>
      </c>
      <c r="AB236" s="261">
        <v>0</v>
      </c>
      <c r="AC236" s="261">
        <v>0</v>
      </c>
      <c r="AD236" s="264"/>
    </row>
    <row r="237" spans="1:30" s="18" customFormat="1" ht="38.25" customHeight="1" outlineLevel="1" x14ac:dyDescent="0.2">
      <c r="A237" s="258" t="s">
        <v>1303</v>
      </c>
      <c r="B237" s="275" t="s">
        <v>616</v>
      </c>
      <c r="C237" s="223" t="s">
        <v>104</v>
      </c>
      <c r="D237" s="276">
        <v>21650</v>
      </c>
      <c r="E237" s="237" t="s">
        <v>104</v>
      </c>
      <c r="F237" s="273" t="s">
        <v>104</v>
      </c>
      <c r="G237" s="273" t="s">
        <v>104</v>
      </c>
      <c r="H237" s="273" t="s">
        <v>104</v>
      </c>
      <c r="I237" s="273" t="s">
        <v>104</v>
      </c>
      <c r="J237" s="273" t="s">
        <v>104</v>
      </c>
      <c r="K237" s="273" t="s">
        <v>104</v>
      </c>
      <c r="L237" s="273" t="s">
        <v>104</v>
      </c>
      <c r="M237" s="273" t="s">
        <v>104</v>
      </c>
      <c r="N237" s="273" t="s">
        <v>104</v>
      </c>
      <c r="O237" s="273" t="s">
        <v>104</v>
      </c>
      <c r="P237" s="273" t="s">
        <v>104</v>
      </c>
      <c r="Q237" s="273" t="s">
        <v>104</v>
      </c>
      <c r="R237" s="273" t="s">
        <v>104</v>
      </c>
      <c r="S237" s="273" t="s">
        <v>104</v>
      </c>
      <c r="T237" s="260" t="s">
        <v>104</v>
      </c>
      <c r="U237" s="261" t="s">
        <v>104</v>
      </c>
      <c r="V237" s="261" t="s">
        <v>104</v>
      </c>
      <c r="W237" s="261" t="s">
        <v>104</v>
      </c>
      <c r="X237" s="261" t="s">
        <v>104</v>
      </c>
      <c r="Y237" s="260">
        <v>0</v>
      </c>
      <c r="Z237" s="261">
        <f t="shared" si="97"/>
        <v>21650</v>
      </c>
      <c r="AA237" s="261">
        <v>0</v>
      </c>
      <c r="AB237" s="261">
        <v>0</v>
      </c>
      <c r="AC237" s="261">
        <v>21650</v>
      </c>
      <c r="AD237" s="264"/>
    </row>
    <row r="238" spans="1:30" s="18" customFormat="1" ht="18.75" customHeight="1" outlineLevel="1" x14ac:dyDescent="0.2">
      <c r="A238" s="258"/>
      <c r="B238" s="275" t="s">
        <v>220</v>
      </c>
      <c r="C238" s="223">
        <f t="shared" si="91"/>
        <v>0</v>
      </c>
      <c r="D238" s="276">
        <f>F238+K238+P238+U238+Z238</f>
        <v>3055</v>
      </c>
      <c r="E238" s="237">
        <v>0</v>
      </c>
      <c r="F238" s="273">
        <f>H238+I238</f>
        <v>0</v>
      </c>
      <c r="G238" s="273">
        <v>0</v>
      </c>
      <c r="H238" s="238">
        <v>0</v>
      </c>
      <c r="I238" s="238">
        <v>0</v>
      </c>
      <c r="J238" s="223">
        <v>0</v>
      </c>
      <c r="K238" s="261">
        <f t="shared" si="78"/>
        <v>99</v>
      </c>
      <c r="L238" s="261">
        <v>0</v>
      </c>
      <c r="M238" s="261">
        <v>0</v>
      </c>
      <c r="N238" s="261">
        <v>99</v>
      </c>
      <c r="O238" s="260">
        <v>0</v>
      </c>
      <c r="P238" s="261">
        <f t="shared" si="95"/>
        <v>2945</v>
      </c>
      <c r="Q238" s="261">
        <v>0</v>
      </c>
      <c r="R238" s="261">
        <f>2774</f>
        <v>2774</v>
      </c>
      <c r="S238" s="261">
        <f>171</f>
        <v>171</v>
      </c>
      <c r="T238" s="260">
        <v>0</v>
      </c>
      <c r="U238" s="261">
        <f t="shared" si="96"/>
        <v>11</v>
      </c>
      <c r="V238" s="261">
        <v>0</v>
      </c>
      <c r="W238" s="261">
        <v>10</v>
      </c>
      <c r="X238" s="261">
        <v>1</v>
      </c>
      <c r="Y238" s="260">
        <v>0</v>
      </c>
      <c r="Z238" s="261">
        <f t="shared" si="97"/>
        <v>0</v>
      </c>
      <c r="AA238" s="261">
        <v>0</v>
      </c>
      <c r="AB238" s="261">
        <v>0</v>
      </c>
      <c r="AC238" s="261">
        <v>0</v>
      </c>
      <c r="AD238" s="264"/>
    </row>
    <row r="239" spans="1:30" s="20" customFormat="1" ht="42" customHeight="1" x14ac:dyDescent="0.2">
      <c r="A239" s="258"/>
      <c r="B239" s="270" t="s">
        <v>513</v>
      </c>
      <c r="C239" s="287">
        <f t="shared" ref="C239:AC239" si="99">SUM(C103:C238)</f>
        <v>1029.9999999999998</v>
      </c>
      <c r="D239" s="272">
        <f t="shared" si="99"/>
        <v>3794402.4</v>
      </c>
      <c r="E239" s="287">
        <f t="shared" si="99"/>
        <v>297.87999999999994</v>
      </c>
      <c r="F239" s="272">
        <f t="shared" si="99"/>
        <v>787419</v>
      </c>
      <c r="G239" s="272">
        <f t="shared" si="99"/>
        <v>0</v>
      </c>
      <c r="H239" s="272">
        <f t="shared" si="99"/>
        <v>745331</v>
      </c>
      <c r="I239" s="272">
        <f t="shared" si="99"/>
        <v>42088</v>
      </c>
      <c r="J239" s="287">
        <f t="shared" si="99"/>
        <v>355.79</v>
      </c>
      <c r="K239" s="272">
        <f t="shared" si="99"/>
        <v>934352</v>
      </c>
      <c r="L239" s="272">
        <f t="shared" si="99"/>
        <v>0</v>
      </c>
      <c r="M239" s="272">
        <f t="shared" si="99"/>
        <v>876202</v>
      </c>
      <c r="N239" s="272">
        <f t="shared" si="99"/>
        <v>58150</v>
      </c>
      <c r="O239" s="287">
        <f t="shared" si="99"/>
        <v>361.57</v>
      </c>
      <c r="P239" s="272">
        <f t="shared" si="99"/>
        <v>1216402</v>
      </c>
      <c r="Q239" s="272">
        <f t="shared" si="99"/>
        <v>0</v>
      </c>
      <c r="R239" s="272">
        <f t="shared" si="99"/>
        <v>1032121</v>
      </c>
      <c r="S239" s="272">
        <f t="shared" si="99"/>
        <v>184281</v>
      </c>
      <c r="T239" s="287">
        <f t="shared" si="99"/>
        <v>14.76</v>
      </c>
      <c r="U239" s="272">
        <f t="shared" si="99"/>
        <v>830557</v>
      </c>
      <c r="V239" s="272">
        <f t="shared" si="99"/>
        <v>0</v>
      </c>
      <c r="W239" s="272">
        <f t="shared" si="99"/>
        <v>700000</v>
      </c>
      <c r="X239" s="272">
        <f t="shared" si="99"/>
        <v>130557</v>
      </c>
      <c r="Y239" s="287">
        <f t="shared" si="99"/>
        <v>0</v>
      </c>
      <c r="Z239" s="272">
        <f t="shared" si="99"/>
        <v>25672</v>
      </c>
      <c r="AA239" s="288">
        <f t="shared" si="99"/>
        <v>0</v>
      </c>
      <c r="AB239" s="272">
        <f t="shared" si="99"/>
        <v>0</v>
      </c>
      <c r="AC239" s="272">
        <f t="shared" si="99"/>
        <v>25672</v>
      </c>
      <c r="AD239" s="279"/>
    </row>
    <row r="240" spans="1:30" s="21" customFormat="1" ht="27" customHeight="1" x14ac:dyDescent="0.2">
      <c r="A240" s="289" t="s">
        <v>463</v>
      </c>
      <c r="B240" s="440" t="s">
        <v>296</v>
      </c>
      <c r="C240" s="441"/>
      <c r="D240" s="441"/>
      <c r="E240" s="441"/>
      <c r="F240" s="441"/>
      <c r="G240" s="441"/>
      <c r="H240" s="441"/>
      <c r="I240" s="441"/>
      <c r="J240" s="441"/>
      <c r="K240" s="441"/>
      <c r="L240" s="441"/>
      <c r="M240" s="441"/>
      <c r="N240" s="441"/>
      <c r="O240" s="441"/>
      <c r="P240" s="441"/>
      <c r="Q240" s="441"/>
      <c r="R240" s="441"/>
      <c r="S240" s="441"/>
      <c r="T240" s="441"/>
      <c r="U240" s="441"/>
      <c r="V240" s="441"/>
      <c r="W240" s="441"/>
      <c r="X240" s="441"/>
      <c r="Y240" s="441"/>
      <c r="Z240" s="441"/>
      <c r="AA240" s="441"/>
      <c r="AB240" s="441"/>
      <c r="AC240" s="442"/>
      <c r="AD240" s="290"/>
    </row>
    <row r="241" spans="1:31" s="20" customFormat="1" ht="78" customHeight="1" outlineLevel="1" x14ac:dyDescent="0.2">
      <c r="A241" s="277" t="s">
        <v>1374</v>
      </c>
      <c r="B241" s="291" t="s">
        <v>18</v>
      </c>
      <c r="C241" s="260">
        <f>E241+J241+O241+T241+Y241</f>
        <v>191.94000000000003</v>
      </c>
      <c r="D241" s="261">
        <f>F241+K241+P241+U241+Z241</f>
        <v>420742</v>
      </c>
      <c r="E241" s="260">
        <v>85.67</v>
      </c>
      <c r="F241" s="273">
        <f>G241+H241+I241</f>
        <v>142702</v>
      </c>
      <c r="G241" s="261">
        <v>0</v>
      </c>
      <c r="H241" s="261">
        <f>135000</f>
        <v>135000</v>
      </c>
      <c r="I241" s="261">
        <v>7702</v>
      </c>
      <c r="J241" s="260">
        <v>87.87</v>
      </c>
      <c r="K241" s="273">
        <f>SUM(L241:N241)</f>
        <v>132502</v>
      </c>
      <c r="L241" s="261">
        <v>0</v>
      </c>
      <c r="M241" s="261">
        <v>0</v>
      </c>
      <c r="N241" s="261">
        <f>132751-249</f>
        <v>132502</v>
      </c>
      <c r="O241" s="260">
        <f>5.8+18.4-5.8</f>
        <v>18.399999999999999</v>
      </c>
      <c r="P241" s="261">
        <f>Q241+R241+S241</f>
        <v>39988</v>
      </c>
      <c r="Q241" s="261">
        <v>0</v>
      </c>
      <c r="R241" s="261">
        <v>0</v>
      </c>
      <c r="S241" s="261">
        <f>47696-7696-12</f>
        <v>39988</v>
      </c>
      <c r="T241" s="260">
        <f>5.8-5.8</f>
        <v>0</v>
      </c>
      <c r="U241" s="261">
        <f>V241+W241+X241</f>
        <v>105550</v>
      </c>
      <c r="V241" s="261">
        <v>0</v>
      </c>
      <c r="W241" s="261">
        <v>0</v>
      </c>
      <c r="X241" s="261">
        <f>62015+43535</f>
        <v>105550</v>
      </c>
      <c r="Y241" s="260">
        <f>5.8-5.8</f>
        <v>0</v>
      </c>
      <c r="Z241" s="261">
        <f>AA241+AB241+AC241</f>
        <v>0</v>
      </c>
      <c r="AA241" s="261">
        <v>0</v>
      </c>
      <c r="AB241" s="261">
        <v>0</v>
      </c>
      <c r="AC241" s="261">
        <f>7696-7696</f>
        <v>0</v>
      </c>
      <c r="AD241" s="292"/>
      <c r="AE241" s="19"/>
    </row>
    <row r="242" spans="1:31" s="14" customFormat="1" ht="150.75" customHeight="1" outlineLevel="1" x14ac:dyDescent="0.2">
      <c r="A242" s="277" t="s">
        <v>1375</v>
      </c>
      <c r="B242" s="291" t="s">
        <v>583</v>
      </c>
      <c r="C242" s="260">
        <v>0</v>
      </c>
      <c r="D242" s="261">
        <f>F242+K242+P242+U242+Z242</f>
        <v>149</v>
      </c>
      <c r="E242" s="260">
        <v>0</v>
      </c>
      <c r="F242" s="273">
        <v>0</v>
      </c>
      <c r="G242" s="261">
        <v>0</v>
      </c>
      <c r="H242" s="261">
        <v>0</v>
      </c>
      <c r="I242" s="261">
        <v>0</v>
      </c>
      <c r="J242" s="260">
        <v>0</v>
      </c>
      <c r="K242" s="273">
        <f>SUM(L242:N242)</f>
        <v>0</v>
      </c>
      <c r="L242" s="261">
        <v>0</v>
      </c>
      <c r="M242" s="261">
        <v>0</v>
      </c>
      <c r="N242" s="261">
        <v>0</v>
      </c>
      <c r="O242" s="260">
        <v>0</v>
      </c>
      <c r="P242" s="261">
        <f>Q242+R242+S242</f>
        <v>149</v>
      </c>
      <c r="Q242" s="261">
        <v>0</v>
      </c>
      <c r="R242" s="261">
        <v>0</v>
      </c>
      <c r="S242" s="261">
        <f>699-550</f>
        <v>149</v>
      </c>
      <c r="T242" s="260">
        <v>0</v>
      </c>
      <c r="U242" s="261">
        <f>V242+W242+X242</f>
        <v>0</v>
      </c>
      <c r="V242" s="261">
        <v>0</v>
      </c>
      <c r="W242" s="261">
        <v>0</v>
      </c>
      <c r="X242" s="261">
        <v>0</v>
      </c>
      <c r="Y242" s="260">
        <v>0</v>
      </c>
      <c r="Z242" s="261">
        <f>AA242+AB242+AC242</f>
        <v>0</v>
      </c>
      <c r="AA242" s="261">
        <v>0</v>
      </c>
      <c r="AB242" s="261">
        <v>0</v>
      </c>
      <c r="AC242" s="261">
        <v>0</v>
      </c>
      <c r="AD242" s="222"/>
    </row>
    <row r="243" spans="1:31" s="20" customFormat="1" ht="53.25" customHeight="1" x14ac:dyDescent="0.2">
      <c r="A243" s="277"/>
      <c r="B243" s="293" t="s">
        <v>514</v>
      </c>
      <c r="C243" s="271">
        <f>C241+C242</f>
        <v>191.94000000000003</v>
      </c>
      <c r="D243" s="234">
        <f>D241+D242</f>
        <v>420891</v>
      </c>
      <c r="E243" s="271">
        <f t="shared" ref="E243:J243" si="100">E241+E242</f>
        <v>85.67</v>
      </c>
      <c r="F243" s="272">
        <f>F241+F242</f>
        <v>142702</v>
      </c>
      <c r="G243" s="272">
        <f t="shared" si="100"/>
        <v>0</v>
      </c>
      <c r="H243" s="272">
        <f t="shared" si="100"/>
        <v>135000</v>
      </c>
      <c r="I243" s="272">
        <f t="shared" si="100"/>
        <v>7702</v>
      </c>
      <c r="J243" s="271">
        <f t="shared" si="100"/>
        <v>87.87</v>
      </c>
      <c r="K243" s="272">
        <f>K241+K242</f>
        <v>132502</v>
      </c>
      <c r="L243" s="272">
        <f t="shared" ref="L243:AC243" si="101">L241+L242</f>
        <v>0</v>
      </c>
      <c r="M243" s="272">
        <f t="shared" si="101"/>
        <v>0</v>
      </c>
      <c r="N243" s="272">
        <f t="shared" si="101"/>
        <v>132502</v>
      </c>
      <c r="O243" s="271">
        <f t="shared" si="101"/>
        <v>18.399999999999999</v>
      </c>
      <c r="P243" s="272">
        <f>P241+P242</f>
        <v>40137</v>
      </c>
      <c r="Q243" s="272">
        <f t="shared" si="101"/>
        <v>0</v>
      </c>
      <c r="R243" s="272">
        <f t="shared" si="101"/>
        <v>0</v>
      </c>
      <c r="S243" s="272">
        <f t="shared" si="101"/>
        <v>40137</v>
      </c>
      <c r="T243" s="271">
        <f t="shared" si="101"/>
        <v>0</v>
      </c>
      <c r="U243" s="272">
        <f>U241+U242</f>
        <v>105550</v>
      </c>
      <c r="V243" s="272">
        <f t="shared" si="101"/>
        <v>0</v>
      </c>
      <c r="W243" s="272">
        <f t="shared" si="101"/>
        <v>0</v>
      </c>
      <c r="X243" s="272">
        <f t="shared" si="101"/>
        <v>105550</v>
      </c>
      <c r="Y243" s="271">
        <f t="shared" si="101"/>
        <v>0</v>
      </c>
      <c r="Z243" s="272">
        <f t="shared" si="101"/>
        <v>0</v>
      </c>
      <c r="AA243" s="272">
        <f t="shared" si="101"/>
        <v>0</v>
      </c>
      <c r="AB243" s="272">
        <f t="shared" si="101"/>
        <v>0</v>
      </c>
      <c r="AC243" s="272">
        <f t="shared" si="101"/>
        <v>0</v>
      </c>
      <c r="AD243" s="279"/>
    </row>
    <row r="244" spans="1:31" s="20" customFormat="1" ht="31.5" customHeight="1" x14ac:dyDescent="0.2">
      <c r="A244" s="294" t="s">
        <v>464</v>
      </c>
      <c r="B244" s="434" t="s">
        <v>167</v>
      </c>
      <c r="C244" s="435"/>
      <c r="D244" s="435"/>
      <c r="E244" s="435"/>
      <c r="F244" s="435"/>
      <c r="G244" s="435"/>
      <c r="H244" s="435"/>
      <c r="I244" s="435"/>
      <c r="J244" s="435"/>
      <c r="K244" s="435"/>
      <c r="L244" s="435"/>
      <c r="M244" s="435"/>
      <c r="N244" s="435"/>
      <c r="O244" s="435"/>
      <c r="P244" s="435"/>
      <c r="Q244" s="435"/>
      <c r="R244" s="435"/>
      <c r="S244" s="435"/>
      <c r="T244" s="435"/>
      <c r="U244" s="435"/>
      <c r="V244" s="435"/>
      <c r="W244" s="435"/>
      <c r="X244" s="435"/>
      <c r="Y244" s="435"/>
      <c r="Z244" s="435"/>
      <c r="AA244" s="435"/>
      <c r="AB244" s="435"/>
      <c r="AC244" s="436"/>
      <c r="AD244" s="279"/>
    </row>
    <row r="245" spans="1:31" s="20" customFormat="1" ht="25.15" customHeight="1" x14ac:dyDescent="0.2">
      <c r="A245" s="295"/>
      <c r="B245" s="296" t="s">
        <v>82</v>
      </c>
      <c r="C245" s="297"/>
      <c r="D245" s="298"/>
      <c r="E245" s="271"/>
      <c r="F245" s="288"/>
      <c r="G245" s="288"/>
      <c r="H245" s="288"/>
      <c r="I245" s="288"/>
      <c r="J245" s="271"/>
      <c r="K245" s="287"/>
      <c r="L245" s="288"/>
      <c r="M245" s="288"/>
      <c r="N245" s="288"/>
      <c r="O245" s="271"/>
      <c r="P245" s="299"/>
      <c r="Q245" s="288"/>
      <c r="R245" s="288"/>
      <c r="S245" s="297"/>
      <c r="T245" s="271"/>
      <c r="U245" s="300"/>
      <c r="V245" s="288"/>
      <c r="W245" s="288"/>
      <c r="X245" s="288"/>
      <c r="Y245" s="271"/>
      <c r="Z245" s="301"/>
      <c r="AA245" s="301"/>
      <c r="AB245" s="301"/>
      <c r="AC245" s="301"/>
      <c r="AD245" s="279"/>
    </row>
    <row r="246" spans="1:31" s="20" customFormat="1" ht="31.15" customHeight="1" x14ac:dyDescent="0.2">
      <c r="A246" s="302" t="s">
        <v>1376</v>
      </c>
      <c r="B246" s="296" t="s">
        <v>86</v>
      </c>
      <c r="C246" s="303">
        <f>E246+J246+O246+T246+Y246</f>
        <v>0</v>
      </c>
      <c r="D246" s="304">
        <f>F246+K246+P246+U246+Z246</f>
        <v>0</v>
      </c>
      <c r="E246" s="303">
        <v>0</v>
      </c>
      <c r="F246" s="305">
        <f>SUM(G246:I246)</f>
        <v>0</v>
      </c>
      <c r="G246" s="306">
        <v>0</v>
      </c>
      <c r="H246" s="306">
        <v>0</v>
      </c>
      <c r="I246" s="306">
        <v>0</v>
      </c>
      <c r="J246" s="303">
        <v>0</v>
      </c>
      <c r="K246" s="305">
        <f>SUM(L246:N246)</f>
        <v>0</v>
      </c>
      <c r="L246" s="306">
        <v>0</v>
      </c>
      <c r="M246" s="306">
        <v>0</v>
      </c>
      <c r="N246" s="306">
        <v>0</v>
      </c>
      <c r="O246" s="303">
        <v>0</v>
      </c>
      <c r="P246" s="304">
        <f>Q246+R246+S246</f>
        <v>0</v>
      </c>
      <c r="Q246" s="304">
        <v>0</v>
      </c>
      <c r="R246" s="304">
        <v>0</v>
      </c>
      <c r="S246" s="306">
        <v>0</v>
      </c>
      <c r="T246" s="303">
        <v>0</v>
      </c>
      <c r="U246" s="304">
        <f>V246+W246+X246</f>
        <v>0</v>
      </c>
      <c r="V246" s="306">
        <v>0</v>
      </c>
      <c r="W246" s="306">
        <v>0</v>
      </c>
      <c r="X246" s="306">
        <v>0</v>
      </c>
      <c r="Y246" s="303">
        <v>0</v>
      </c>
      <c r="Z246" s="305">
        <f>SUM(Z247:Z252)</f>
        <v>0</v>
      </c>
      <c r="AA246" s="306">
        <v>0</v>
      </c>
      <c r="AB246" s="306">
        <v>0</v>
      </c>
      <c r="AC246" s="306">
        <v>0</v>
      </c>
      <c r="AD246" s="279"/>
    </row>
    <row r="247" spans="1:31" s="20" customFormat="1" ht="27" customHeight="1" outlineLevel="1" x14ac:dyDescent="0.2">
      <c r="A247" s="307" t="s">
        <v>1377</v>
      </c>
      <c r="B247" s="308" t="s">
        <v>93</v>
      </c>
      <c r="C247" s="303">
        <f>E247+J247+O247+T247+Y247</f>
        <v>0</v>
      </c>
      <c r="D247" s="304">
        <f>F247+K247+P247+U247+Z247</f>
        <v>0</v>
      </c>
      <c r="E247" s="307">
        <v>0</v>
      </c>
      <c r="F247" s="305">
        <f>SUM(G247:I247)</f>
        <v>0</v>
      </c>
      <c r="G247" s="305">
        <v>0</v>
      </c>
      <c r="H247" s="305">
        <v>0</v>
      </c>
      <c r="I247" s="305">
        <v>0</v>
      </c>
      <c r="J247" s="307">
        <v>0</v>
      </c>
      <c r="K247" s="305">
        <f>SUM(L247:N247)</f>
        <v>0</v>
      </c>
      <c r="L247" s="305">
        <v>0</v>
      </c>
      <c r="M247" s="305">
        <v>0</v>
      </c>
      <c r="N247" s="305">
        <v>0</v>
      </c>
      <c r="O247" s="307">
        <v>0</v>
      </c>
      <c r="P247" s="304">
        <f>Q247+R247+S247</f>
        <v>0</v>
      </c>
      <c r="Q247" s="305">
        <v>0</v>
      </c>
      <c r="R247" s="305">
        <v>0</v>
      </c>
      <c r="S247" s="305">
        <v>0</v>
      </c>
      <c r="T247" s="307">
        <v>0</v>
      </c>
      <c r="U247" s="304">
        <f>V247+W247+X247</f>
        <v>0</v>
      </c>
      <c r="V247" s="305">
        <v>0</v>
      </c>
      <c r="W247" s="305">
        <v>0</v>
      </c>
      <c r="X247" s="305">
        <v>0</v>
      </c>
      <c r="Y247" s="307">
        <v>0</v>
      </c>
      <c r="Z247" s="305">
        <f>SUM(Z248:Z253)</f>
        <v>0</v>
      </c>
      <c r="AA247" s="305">
        <v>0</v>
      </c>
      <c r="AB247" s="305">
        <v>0</v>
      </c>
      <c r="AC247" s="305">
        <v>0</v>
      </c>
      <c r="AD247" s="279"/>
    </row>
    <row r="248" spans="1:31" s="20" customFormat="1" ht="32.450000000000003" customHeight="1" outlineLevel="1" x14ac:dyDescent="0.2">
      <c r="A248" s="302" t="s">
        <v>1378</v>
      </c>
      <c r="B248" s="308" t="s">
        <v>87</v>
      </c>
      <c r="C248" s="307">
        <f>SUM(C249:C254)</f>
        <v>23.36</v>
      </c>
      <c r="D248" s="305">
        <f>SUM(D249:D255)</f>
        <v>4672</v>
      </c>
      <c r="E248" s="307">
        <f t="shared" ref="E248:N248" si="102">SUM(E249:E254)</f>
        <v>13.8</v>
      </c>
      <c r="F248" s="305">
        <f t="shared" si="102"/>
        <v>2746</v>
      </c>
      <c r="G248" s="305">
        <f t="shared" si="102"/>
        <v>0</v>
      </c>
      <c r="H248" s="305">
        <f t="shared" si="102"/>
        <v>0</v>
      </c>
      <c r="I248" s="305">
        <f t="shared" si="102"/>
        <v>2746</v>
      </c>
      <c r="J248" s="307">
        <f t="shared" si="102"/>
        <v>0</v>
      </c>
      <c r="K248" s="305">
        <f t="shared" si="102"/>
        <v>0</v>
      </c>
      <c r="L248" s="305">
        <f t="shared" si="102"/>
        <v>0</v>
      </c>
      <c r="M248" s="305">
        <f t="shared" si="102"/>
        <v>0</v>
      </c>
      <c r="N248" s="305">
        <f t="shared" si="102"/>
        <v>0</v>
      </c>
      <c r="O248" s="307">
        <f>SUM(O249:O255)</f>
        <v>6.98</v>
      </c>
      <c r="P248" s="305">
        <f>SUM(P249:P255)</f>
        <v>1210</v>
      </c>
      <c r="Q248" s="305">
        <f>SUM(Q249:Q255)</f>
        <v>0</v>
      </c>
      <c r="R248" s="305">
        <f>SUM(R249:R255)</f>
        <v>0</v>
      </c>
      <c r="S248" s="305">
        <f>SUM(S249:S255)</f>
        <v>1210</v>
      </c>
      <c r="T248" s="307">
        <f t="shared" ref="T248:Y248" si="103">SUM(T249:T254)</f>
        <v>4</v>
      </c>
      <c r="U248" s="305">
        <f t="shared" si="103"/>
        <v>716</v>
      </c>
      <c r="V248" s="305">
        <f t="shared" si="103"/>
        <v>0</v>
      </c>
      <c r="W248" s="305">
        <f t="shared" si="103"/>
        <v>0</v>
      </c>
      <c r="X248" s="305">
        <f t="shared" si="103"/>
        <v>716</v>
      </c>
      <c r="Y248" s="307">
        <f t="shared" si="103"/>
        <v>0</v>
      </c>
      <c r="Z248" s="305">
        <f>SUM(Z249:Z254)</f>
        <v>0</v>
      </c>
      <c r="AA248" s="305">
        <f>SUM(AA249:AA254)</f>
        <v>0</v>
      </c>
      <c r="AB248" s="305">
        <f>SUM(AB249:AB254)</f>
        <v>0</v>
      </c>
      <c r="AC248" s="305">
        <f>SUM(AC249:AC254)</f>
        <v>0</v>
      </c>
      <c r="AD248" s="279"/>
    </row>
    <row r="249" spans="1:31" s="20" customFormat="1" ht="42.75" customHeight="1" outlineLevel="1" x14ac:dyDescent="0.2">
      <c r="A249" s="295" t="s">
        <v>1379</v>
      </c>
      <c r="B249" s="309" t="s">
        <v>299</v>
      </c>
      <c r="C249" s="223">
        <f>E249+J249+P249+T249+Y249</f>
        <v>7.25</v>
      </c>
      <c r="D249" s="261">
        <f>F249+K249+P249+Z249+U249</f>
        <v>831</v>
      </c>
      <c r="E249" s="260">
        <v>7.25</v>
      </c>
      <c r="F249" s="273">
        <f t="shared" ref="F249" si="104">G249+H249+I249</f>
        <v>831</v>
      </c>
      <c r="G249" s="273">
        <v>0</v>
      </c>
      <c r="H249" s="273">
        <v>0</v>
      </c>
      <c r="I249" s="273">
        <v>831</v>
      </c>
      <c r="J249" s="260">
        <f t="shared" ref="J249:K251" si="105">K249+L249+M249</f>
        <v>0</v>
      </c>
      <c r="K249" s="273">
        <f t="shared" si="105"/>
        <v>0</v>
      </c>
      <c r="L249" s="273">
        <v>0</v>
      </c>
      <c r="M249" s="273">
        <v>0</v>
      </c>
      <c r="N249" s="273">
        <v>0</v>
      </c>
      <c r="O249" s="222">
        <v>0</v>
      </c>
      <c r="P249" s="310">
        <v>0</v>
      </c>
      <c r="Q249" s="273">
        <v>0</v>
      </c>
      <c r="R249" s="273">
        <v>0</v>
      </c>
      <c r="S249" s="273">
        <v>0</v>
      </c>
      <c r="T249" s="260">
        <v>0</v>
      </c>
      <c r="U249" s="273">
        <f>V249+W249+X249</f>
        <v>0</v>
      </c>
      <c r="V249" s="273">
        <v>0</v>
      </c>
      <c r="W249" s="273">
        <v>0</v>
      </c>
      <c r="X249" s="273">
        <v>0</v>
      </c>
      <c r="Y249" s="260">
        <v>0</v>
      </c>
      <c r="Z249" s="273">
        <f>AA249+AB249+AC249</f>
        <v>0</v>
      </c>
      <c r="AA249" s="273">
        <v>0</v>
      </c>
      <c r="AB249" s="273">
        <v>0</v>
      </c>
      <c r="AC249" s="273">
        <v>0</v>
      </c>
      <c r="AD249" s="279"/>
    </row>
    <row r="250" spans="1:31" s="20" customFormat="1" ht="31.9" customHeight="1" outlineLevel="1" x14ac:dyDescent="0.2">
      <c r="A250" s="295" t="s">
        <v>1380</v>
      </c>
      <c r="B250" s="311" t="s">
        <v>553</v>
      </c>
      <c r="C250" s="223">
        <f t="shared" ref="C250:C254" si="106">E250+J250+O250+T250+Y250</f>
        <v>4</v>
      </c>
      <c r="D250" s="261">
        <f t="shared" ref="D250:D254" si="107">F250+K250+P250+Z250+U250</f>
        <v>716</v>
      </c>
      <c r="E250" s="260">
        <v>0</v>
      </c>
      <c r="F250" s="273">
        <f t="shared" ref="F250:F254" si="108">G250+H250+I250</f>
        <v>0</v>
      </c>
      <c r="G250" s="310">
        <v>0</v>
      </c>
      <c r="H250" s="310">
        <v>0</v>
      </c>
      <c r="I250" s="310">
        <v>0</v>
      </c>
      <c r="J250" s="260">
        <v>0</v>
      </c>
      <c r="K250" s="273">
        <f t="shared" si="105"/>
        <v>0</v>
      </c>
      <c r="L250" s="310">
        <v>0</v>
      </c>
      <c r="M250" s="310">
        <v>0</v>
      </c>
      <c r="N250" s="310">
        <v>0</v>
      </c>
      <c r="O250" s="223">
        <v>0</v>
      </c>
      <c r="P250" s="310">
        <f t="shared" ref="P250:P261" si="109">Q250+R250+S250</f>
        <v>0</v>
      </c>
      <c r="Q250" s="310">
        <v>0</v>
      </c>
      <c r="R250" s="310">
        <v>0</v>
      </c>
      <c r="S250" s="226">
        <v>0</v>
      </c>
      <c r="T250" s="223">
        <v>4</v>
      </c>
      <c r="U250" s="310">
        <f>V250+W250+X250</f>
        <v>716</v>
      </c>
      <c r="V250" s="310">
        <v>0</v>
      </c>
      <c r="W250" s="310">
        <v>0</v>
      </c>
      <c r="X250" s="310">
        <f>928-212</f>
        <v>716</v>
      </c>
      <c r="Y250" s="223">
        <v>0</v>
      </c>
      <c r="Z250" s="310">
        <f t="shared" ref="Z250:Z252" si="110">AA250+AB250+AC250</f>
        <v>0</v>
      </c>
      <c r="AA250" s="310">
        <v>0</v>
      </c>
      <c r="AB250" s="310">
        <v>0</v>
      </c>
      <c r="AC250" s="226">
        <v>0</v>
      </c>
      <c r="AD250" s="279"/>
    </row>
    <row r="251" spans="1:31" s="20" customFormat="1" ht="24" customHeight="1" outlineLevel="1" x14ac:dyDescent="0.2">
      <c r="A251" s="295" t="s">
        <v>1381</v>
      </c>
      <c r="B251" s="309" t="s">
        <v>550</v>
      </c>
      <c r="C251" s="223">
        <f t="shared" si="106"/>
        <v>4.12</v>
      </c>
      <c r="D251" s="261">
        <f t="shared" si="107"/>
        <v>692</v>
      </c>
      <c r="E251" s="260">
        <v>0</v>
      </c>
      <c r="F251" s="273">
        <f t="shared" si="108"/>
        <v>0</v>
      </c>
      <c r="G251" s="310">
        <v>0</v>
      </c>
      <c r="H251" s="310">
        <v>0</v>
      </c>
      <c r="I251" s="310">
        <v>0</v>
      </c>
      <c r="J251" s="260">
        <v>0</v>
      </c>
      <c r="K251" s="273">
        <f t="shared" si="105"/>
        <v>0</v>
      </c>
      <c r="L251" s="310">
        <v>0</v>
      </c>
      <c r="M251" s="310">
        <v>0</v>
      </c>
      <c r="N251" s="310">
        <v>0</v>
      </c>
      <c r="O251" s="223">
        <v>4.12</v>
      </c>
      <c r="P251" s="310">
        <f t="shared" si="109"/>
        <v>692</v>
      </c>
      <c r="Q251" s="310">
        <v>0</v>
      </c>
      <c r="R251" s="310">
        <v>0</v>
      </c>
      <c r="S251" s="226">
        <f>885-285+92</f>
        <v>692</v>
      </c>
      <c r="T251" s="223">
        <v>0</v>
      </c>
      <c r="U251" s="310">
        <v>0</v>
      </c>
      <c r="V251" s="310">
        <v>0</v>
      </c>
      <c r="W251" s="310">
        <v>0</v>
      </c>
      <c r="X251" s="310">
        <v>0</v>
      </c>
      <c r="Y251" s="223">
        <v>0</v>
      </c>
      <c r="Z251" s="310">
        <f t="shared" si="110"/>
        <v>0</v>
      </c>
      <c r="AA251" s="310">
        <v>0</v>
      </c>
      <c r="AB251" s="310">
        <v>0</v>
      </c>
      <c r="AC251" s="226">
        <v>0</v>
      </c>
      <c r="AD251" s="279"/>
    </row>
    <row r="252" spans="1:31" s="20" customFormat="1" ht="46.9" customHeight="1" outlineLevel="1" x14ac:dyDescent="0.2">
      <c r="A252" s="295" t="s">
        <v>1382</v>
      </c>
      <c r="B252" s="309" t="s">
        <v>551</v>
      </c>
      <c r="C252" s="223">
        <f t="shared" si="106"/>
        <v>1.44</v>
      </c>
      <c r="D252" s="261">
        <f t="shared" si="107"/>
        <v>243</v>
      </c>
      <c r="E252" s="260">
        <v>0</v>
      </c>
      <c r="F252" s="273">
        <f t="shared" si="108"/>
        <v>0</v>
      </c>
      <c r="G252" s="310">
        <v>0</v>
      </c>
      <c r="H252" s="310">
        <v>0</v>
      </c>
      <c r="I252" s="310">
        <v>0</v>
      </c>
      <c r="J252" s="260">
        <v>0</v>
      </c>
      <c r="K252" s="273">
        <f t="shared" ref="K252:K254" si="111">L252+M252+N252</f>
        <v>0</v>
      </c>
      <c r="L252" s="310">
        <v>0</v>
      </c>
      <c r="M252" s="310">
        <v>0</v>
      </c>
      <c r="N252" s="310">
        <v>0</v>
      </c>
      <c r="O252" s="223">
        <v>1.44</v>
      </c>
      <c r="P252" s="310">
        <f t="shared" si="109"/>
        <v>243</v>
      </c>
      <c r="Q252" s="310">
        <v>0</v>
      </c>
      <c r="R252" s="310">
        <v>0</v>
      </c>
      <c r="S252" s="226">
        <f>303-60</f>
        <v>243</v>
      </c>
      <c r="T252" s="223">
        <v>0</v>
      </c>
      <c r="U252" s="310">
        <v>0</v>
      </c>
      <c r="V252" s="310">
        <v>0</v>
      </c>
      <c r="W252" s="310">
        <v>0</v>
      </c>
      <c r="X252" s="310">
        <v>0</v>
      </c>
      <c r="Y252" s="223">
        <v>0</v>
      </c>
      <c r="Z252" s="310">
        <f t="shared" si="110"/>
        <v>0</v>
      </c>
      <c r="AA252" s="310">
        <v>0</v>
      </c>
      <c r="AB252" s="310">
        <v>0</v>
      </c>
      <c r="AC252" s="226">
        <v>0</v>
      </c>
      <c r="AD252" s="279"/>
    </row>
    <row r="253" spans="1:31" s="20" customFormat="1" ht="39.6" customHeight="1" outlineLevel="1" x14ac:dyDescent="0.2">
      <c r="A253" s="295" t="s">
        <v>1383</v>
      </c>
      <c r="B253" s="309" t="s">
        <v>300</v>
      </c>
      <c r="C253" s="223">
        <f t="shared" si="106"/>
        <v>5.65</v>
      </c>
      <c r="D253" s="261">
        <f t="shared" si="107"/>
        <v>648</v>
      </c>
      <c r="E253" s="260">
        <v>5.65</v>
      </c>
      <c r="F253" s="273">
        <f t="shared" si="108"/>
        <v>648</v>
      </c>
      <c r="G253" s="310">
        <v>0</v>
      </c>
      <c r="H253" s="310">
        <v>0</v>
      </c>
      <c r="I253" s="310">
        <v>648</v>
      </c>
      <c r="J253" s="260">
        <v>0</v>
      </c>
      <c r="K253" s="273">
        <f t="shared" si="111"/>
        <v>0</v>
      </c>
      <c r="L253" s="310">
        <v>0</v>
      </c>
      <c r="M253" s="310">
        <v>0</v>
      </c>
      <c r="N253" s="310">
        <v>0</v>
      </c>
      <c r="O253" s="223">
        <v>0</v>
      </c>
      <c r="P253" s="310">
        <f>Q253+R253+S253</f>
        <v>0</v>
      </c>
      <c r="Q253" s="310">
        <v>0</v>
      </c>
      <c r="R253" s="310">
        <v>0</v>
      </c>
      <c r="S253" s="226">
        <v>0</v>
      </c>
      <c r="T253" s="223">
        <v>0</v>
      </c>
      <c r="U253" s="310">
        <v>0</v>
      </c>
      <c r="V253" s="310">
        <v>0</v>
      </c>
      <c r="W253" s="310">
        <v>0</v>
      </c>
      <c r="X253" s="310">
        <v>0</v>
      </c>
      <c r="Y253" s="223">
        <v>0</v>
      </c>
      <c r="Z253" s="310">
        <f>AA253+AB253+AC253</f>
        <v>0</v>
      </c>
      <c r="AA253" s="310">
        <v>0</v>
      </c>
      <c r="AB253" s="310">
        <v>0</v>
      </c>
      <c r="AC253" s="226">
        <v>0</v>
      </c>
      <c r="AD253" s="279"/>
    </row>
    <row r="254" spans="1:31" s="20" customFormat="1" ht="39.6" customHeight="1" outlineLevel="1" x14ac:dyDescent="0.2">
      <c r="A254" s="295" t="s">
        <v>1384</v>
      </c>
      <c r="B254" s="309" t="s">
        <v>336</v>
      </c>
      <c r="C254" s="223">
        <f t="shared" si="106"/>
        <v>0.9</v>
      </c>
      <c r="D254" s="261">
        <f t="shared" si="107"/>
        <v>1267</v>
      </c>
      <c r="E254" s="260">
        <v>0.9</v>
      </c>
      <c r="F254" s="273">
        <f t="shared" si="108"/>
        <v>1267</v>
      </c>
      <c r="G254" s="310">
        <v>0</v>
      </c>
      <c r="H254" s="310">
        <v>0</v>
      </c>
      <c r="I254" s="310">
        <v>1267</v>
      </c>
      <c r="J254" s="260">
        <v>0</v>
      </c>
      <c r="K254" s="273">
        <f t="shared" si="111"/>
        <v>0</v>
      </c>
      <c r="L254" s="310">
        <v>0</v>
      </c>
      <c r="M254" s="310">
        <v>0</v>
      </c>
      <c r="N254" s="310">
        <v>0</v>
      </c>
      <c r="O254" s="223">
        <v>0</v>
      </c>
      <c r="P254" s="310">
        <f>Q254+R254+S254</f>
        <v>0</v>
      </c>
      <c r="Q254" s="310">
        <v>0</v>
      </c>
      <c r="R254" s="310">
        <v>0</v>
      </c>
      <c r="S254" s="226">
        <v>0</v>
      </c>
      <c r="T254" s="223">
        <v>0</v>
      </c>
      <c r="U254" s="310">
        <v>0</v>
      </c>
      <c r="V254" s="310">
        <v>0</v>
      </c>
      <c r="W254" s="310">
        <v>0</v>
      </c>
      <c r="X254" s="310">
        <v>0</v>
      </c>
      <c r="Y254" s="223">
        <v>0</v>
      </c>
      <c r="Z254" s="310">
        <f>AA254+AB254+AC254</f>
        <v>0</v>
      </c>
      <c r="AA254" s="310">
        <v>0</v>
      </c>
      <c r="AB254" s="310">
        <v>0</v>
      </c>
      <c r="AC254" s="226">
        <v>0</v>
      </c>
      <c r="AD254" s="279"/>
    </row>
    <row r="255" spans="1:31" s="20" customFormat="1" ht="39.6" customHeight="1" outlineLevel="1" x14ac:dyDescent="0.2">
      <c r="A255" s="295" t="s">
        <v>1385</v>
      </c>
      <c r="B255" s="309" t="s">
        <v>549</v>
      </c>
      <c r="C255" s="223">
        <f>E255+J255+O255+T255+Y255</f>
        <v>1.42</v>
      </c>
      <c r="D255" s="261">
        <f>F255+K255+P255+Z255+U255</f>
        <v>275</v>
      </c>
      <c r="E255" s="260">
        <v>0</v>
      </c>
      <c r="F255" s="273">
        <f>G255+H255+I255</f>
        <v>0</v>
      </c>
      <c r="G255" s="310">
        <v>0</v>
      </c>
      <c r="H255" s="310">
        <v>0</v>
      </c>
      <c r="I255" s="310">
        <v>0</v>
      </c>
      <c r="J255" s="260">
        <v>0</v>
      </c>
      <c r="K255" s="273">
        <f>L255+M255+N255</f>
        <v>0</v>
      </c>
      <c r="L255" s="310">
        <v>0</v>
      </c>
      <c r="M255" s="310">
        <v>0</v>
      </c>
      <c r="N255" s="310">
        <v>0</v>
      </c>
      <c r="O255" s="223">
        <v>1.42</v>
      </c>
      <c r="P255" s="310">
        <f>Q255+R255+S255</f>
        <v>275</v>
      </c>
      <c r="Q255" s="310">
        <v>0</v>
      </c>
      <c r="R255" s="310">
        <v>0</v>
      </c>
      <c r="S255" s="226">
        <f>345-70</f>
        <v>275</v>
      </c>
      <c r="T255" s="223">
        <v>0</v>
      </c>
      <c r="U255" s="310">
        <v>0</v>
      </c>
      <c r="V255" s="310">
        <v>0</v>
      </c>
      <c r="W255" s="310">
        <v>0</v>
      </c>
      <c r="X255" s="310">
        <v>0</v>
      </c>
      <c r="Y255" s="223">
        <v>0</v>
      </c>
      <c r="Z255" s="310">
        <f>AA255+AB255+AC255</f>
        <v>0</v>
      </c>
      <c r="AA255" s="310">
        <v>0</v>
      </c>
      <c r="AB255" s="310">
        <v>0</v>
      </c>
      <c r="AC255" s="226">
        <v>0</v>
      </c>
      <c r="AD255" s="279"/>
    </row>
    <row r="256" spans="1:31" s="20" customFormat="1" ht="25.9" customHeight="1" x14ac:dyDescent="0.2">
      <c r="A256" s="307"/>
      <c r="B256" s="308" t="s">
        <v>92</v>
      </c>
      <c r="C256" s="307">
        <f t="shared" ref="C256:J256" si="112">SUM(C246,C248,C247)</f>
        <v>23.36</v>
      </c>
      <c r="D256" s="305">
        <f t="shared" si="112"/>
        <v>4672</v>
      </c>
      <c r="E256" s="307">
        <f t="shared" si="112"/>
        <v>13.8</v>
      </c>
      <c r="F256" s="305">
        <f t="shared" si="112"/>
        <v>2746</v>
      </c>
      <c r="G256" s="305">
        <f t="shared" si="112"/>
        <v>0</v>
      </c>
      <c r="H256" s="305">
        <f t="shared" si="112"/>
        <v>0</v>
      </c>
      <c r="I256" s="305">
        <f t="shared" si="112"/>
        <v>2746</v>
      </c>
      <c r="J256" s="307">
        <f t="shared" si="112"/>
        <v>0</v>
      </c>
      <c r="K256" s="305">
        <f>SUM(L256:N256)</f>
        <v>0</v>
      </c>
      <c r="L256" s="305">
        <f>SUM(L246,L248,L247)</f>
        <v>0</v>
      </c>
      <c r="M256" s="305">
        <f>SUM(M246,M248,M247)</f>
        <v>0</v>
      </c>
      <c r="N256" s="305">
        <f>SUM(N246,N248,N247)</f>
        <v>0</v>
      </c>
      <c r="O256" s="307">
        <f>SUM(O246,O248,O247)</f>
        <v>6.98</v>
      </c>
      <c r="P256" s="305">
        <f>Q256+R256+S256</f>
        <v>1210</v>
      </c>
      <c r="Q256" s="305">
        <f>SUM(Q246,Q248,Q247)</f>
        <v>0</v>
      </c>
      <c r="R256" s="305">
        <f>SUM(R246,R248,R247)</f>
        <v>0</v>
      </c>
      <c r="S256" s="305">
        <f>SUM(S246,S248,S247)</f>
        <v>1210</v>
      </c>
      <c r="T256" s="307">
        <f>SUM(T246,T248,T247)</f>
        <v>4</v>
      </c>
      <c r="U256" s="305">
        <f>V256+W256+X256</f>
        <v>716</v>
      </c>
      <c r="V256" s="305">
        <f t="shared" ref="V256:AC256" si="113">SUM(V246,V248,V247)</f>
        <v>0</v>
      </c>
      <c r="W256" s="305">
        <f t="shared" si="113"/>
        <v>0</v>
      </c>
      <c r="X256" s="305">
        <f t="shared" si="113"/>
        <v>716</v>
      </c>
      <c r="Y256" s="307">
        <f t="shared" si="113"/>
        <v>0</v>
      </c>
      <c r="Z256" s="305">
        <f t="shared" si="113"/>
        <v>0</v>
      </c>
      <c r="AA256" s="305">
        <f t="shared" si="113"/>
        <v>0</v>
      </c>
      <c r="AB256" s="305">
        <f t="shared" si="113"/>
        <v>0</v>
      </c>
      <c r="AC256" s="305">
        <f t="shared" si="113"/>
        <v>0</v>
      </c>
      <c r="AD256" s="279"/>
    </row>
    <row r="257" spans="1:31" s="20" customFormat="1" ht="24" customHeight="1" x14ac:dyDescent="0.2">
      <c r="A257" s="302"/>
      <c r="B257" s="312" t="s">
        <v>83</v>
      </c>
      <c r="C257" s="313"/>
      <c r="D257" s="310"/>
      <c r="E257" s="260"/>
      <c r="F257" s="305"/>
      <c r="G257" s="314"/>
      <c r="H257" s="314"/>
      <c r="I257" s="314"/>
      <c r="J257" s="271"/>
      <c r="K257" s="315"/>
      <c r="L257" s="314"/>
      <c r="M257" s="314"/>
      <c r="N257" s="314"/>
      <c r="O257" s="313"/>
      <c r="P257" s="310"/>
      <c r="Q257" s="314"/>
      <c r="R257" s="314"/>
      <c r="S257" s="316"/>
      <c r="T257" s="313"/>
      <c r="U257" s="310"/>
      <c r="V257" s="314"/>
      <c r="W257" s="314"/>
      <c r="X257" s="316"/>
      <c r="Y257" s="313"/>
      <c r="Z257" s="310"/>
      <c r="AA257" s="310"/>
      <c r="AB257" s="310"/>
      <c r="AC257" s="316"/>
      <c r="AD257" s="279"/>
    </row>
    <row r="258" spans="1:31" s="20" customFormat="1" ht="34.15" customHeight="1" outlineLevel="1" x14ac:dyDescent="0.2">
      <c r="A258" s="307" t="s">
        <v>1386</v>
      </c>
      <c r="B258" s="317" t="s">
        <v>90</v>
      </c>
      <c r="C258" s="303">
        <f>E258+J258+O258+T258+Y258</f>
        <v>0</v>
      </c>
      <c r="D258" s="306">
        <f>F258+K258+P258+U258+Z258</f>
        <v>0</v>
      </c>
      <c r="E258" s="303">
        <v>0</v>
      </c>
      <c r="F258" s="305">
        <f>G258+H258+I258</f>
        <v>0</v>
      </c>
      <c r="G258" s="306">
        <v>0</v>
      </c>
      <c r="H258" s="306">
        <v>0</v>
      </c>
      <c r="I258" s="306">
        <v>0</v>
      </c>
      <c r="J258" s="303">
        <v>0</v>
      </c>
      <c r="K258" s="306">
        <f>SUM(L258:N258)</f>
        <v>0</v>
      </c>
      <c r="L258" s="306">
        <v>0</v>
      </c>
      <c r="M258" s="306">
        <v>0</v>
      </c>
      <c r="N258" s="306">
        <v>0</v>
      </c>
      <c r="O258" s="303">
        <v>0</v>
      </c>
      <c r="P258" s="304">
        <f t="shared" si="109"/>
        <v>0</v>
      </c>
      <c r="Q258" s="306">
        <v>0</v>
      </c>
      <c r="R258" s="306">
        <v>0</v>
      </c>
      <c r="S258" s="306">
        <v>0</v>
      </c>
      <c r="T258" s="303">
        <v>0</v>
      </c>
      <c r="U258" s="304">
        <v>0</v>
      </c>
      <c r="V258" s="304">
        <v>0</v>
      </c>
      <c r="W258" s="304">
        <v>0</v>
      </c>
      <c r="X258" s="304">
        <v>0</v>
      </c>
      <c r="Y258" s="303">
        <v>0</v>
      </c>
      <c r="Z258" s="304">
        <f t="shared" ref="Z258:Z261" si="114">AA258+AB258+AC258</f>
        <v>0</v>
      </c>
      <c r="AA258" s="306">
        <v>0</v>
      </c>
      <c r="AB258" s="306">
        <v>0</v>
      </c>
      <c r="AC258" s="306">
        <v>0</v>
      </c>
      <c r="AD258" s="279"/>
    </row>
    <row r="259" spans="1:31" s="20" customFormat="1" ht="28.9" customHeight="1" outlineLevel="1" x14ac:dyDescent="0.2">
      <c r="A259" s="302" t="s">
        <v>1387</v>
      </c>
      <c r="B259" s="317" t="s">
        <v>89</v>
      </c>
      <c r="C259" s="303">
        <f t="shared" ref="C259:J259" si="115">SUM(C260:C260)</f>
        <v>4.59</v>
      </c>
      <c r="D259" s="306">
        <f t="shared" si="115"/>
        <v>823</v>
      </c>
      <c r="E259" s="303">
        <f t="shared" si="115"/>
        <v>0</v>
      </c>
      <c r="F259" s="306">
        <f t="shared" si="115"/>
        <v>0</v>
      </c>
      <c r="G259" s="306">
        <f t="shared" si="115"/>
        <v>0</v>
      </c>
      <c r="H259" s="306">
        <f t="shared" si="115"/>
        <v>0</v>
      </c>
      <c r="I259" s="306">
        <f t="shared" si="115"/>
        <v>0</v>
      </c>
      <c r="J259" s="303">
        <f t="shared" si="115"/>
        <v>0</v>
      </c>
      <c r="K259" s="315">
        <f t="shared" ref="K259:K260" si="116">L259+M259+N259</f>
        <v>0</v>
      </c>
      <c r="L259" s="306">
        <f>SUM(L260:L260)</f>
        <v>0</v>
      </c>
      <c r="M259" s="306">
        <f>SUM(M260:M260)</f>
        <v>0</v>
      </c>
      <c r="N259" s="306">
        <f>SUM(N260:N260)</f>
        <v>0</v>
      </c>
      <c r="O259" s="303">
        <f>SUM(O260:O260)</f>
        <v>0</v>
      </c>
      <c r="P259" s="304">
        <f t="shared" si="109"/>
        <v>0</v>
      </c>
      <c r="Q259" s="306">
        <f>SUM(Q260:Q260)</f>
        <v>0</v>
      </c>
      <c r="R259" s="306">
        <f>SUM(R260:R260)</f>
        <v>0</v>
      </c>
      <c r="S259" s="306">
        <f>SUM(S260:S260)</f>
        <v>0</v>
      </c>
      <c r="T259" s="303">
        <f>SUM(T260:T260)</f>
        <v>4.59</v>
      </c>
      <c r="U259" s="304">
        <f t="shared" ref="U259:U261" si="117">V259+W259+X259</f>
        <v>823</v>
      </c>
      <c r="V259" s="304">
        <f>SUM(V260:V260)</f>
        <v>0</v>
      </c>
      <c r="W259" s="304">
        <f>SUM(W260:W260)</f>
        <v>0</v>
      </c>
      <c r="X259" s="304">
        <f>SUM(X260:X260)</f>
        <v>823</v>
      </c>
      <c r="Y259" s="303">
        <f>SUM(Y260:Y260)</f>
        <v>0</v>
      </c>
      <c r="Z259" s="304">
        <f t="shared" si="114"/>
        <v>0</v>
      </c>
      <c r="AA259" s="306">
        <f>SUM(AA260:AA260)</f>
        <v>0</v>
      </c>
      <c r="AB259" s="306">
        <f>SUM(AB260:AB260)</f>
        <v>0</v>
      </c>
      <c r="AC259" s="306">
        <f>SUM(AC260:AC260)</f>
        <v>0</v>
      </c>
      <c r="AD259" s="279"/>
    </row>
    <row r="260" spans="1:31" s="20" customFormat="1" ht="36" customHeight="1" outlineLevel="1" x14ac:dyDescent="0.2">
      <c r="A260" s="295" t="s">
        <v>1388</v>
      </c>
      <c r="B260" s="280" t="s">
        <v>554</v>
      </c>
      <c r="C260" s="223">
        <f t="shared" ref="C260" si="118">E260+J260+O260+Y260+T260</f>
        <v>4.59</v>
      </c>
      <c r="D260" s="310">
        <f t="shared" ref="D260:D262" si="119">F260+K260+P260+Z260+U260</f>
        <v>823</v>
      </c>
      <c r="E260" s="260">
        <v>0</v>
      </c>
      <c r="F260" s="315">
        <f t="shared" ref="F260:F262" si="120">G260+H260+I260</f>
        <v>0</v>
      </c>
      <c r="G260" s="310">
        <v>0</v>
      </c>
      <c r="H260" s="310">
        <v>0</v>
      </c>
      <c r="I260" s="310">
        <v>0</v>
      </c>
      <c r="J260" s="260">
        <v>0</v>
      </c>
      <c r="K260" s="315">
        <f t="shared" si="116"/>
        <v>0</v>
      </c>
      <c r="L260" s="310">
        <v>0</v>
      </c>
      <c r="M260" s="310">
        <v>0</v>
      </c>
      <c r="N260" s="310">
        <v>0</v>
      </c>
      <c r="O260" s="223">
        <v>0</v>
      </c>
      <c r="P260" s="310">
        <f t="shared" ref="P260" si="121">Q260+R260+S260</f>
        <v>0</v>
      </c>
      <c r="Q260" s="310">
        <v>0</v>
      </c>
      <c r="R260" s="310">
        <v>0</v>
      </c>
      <c r="S260" s="226">
        <v>0</v>
      </c>
      <c r="T260" s="223">
        <v>4.59</v>
      </c>
      <c r="U260" s="310">
        <f t="shared" si="117"/>
        <v>823</v>
      </c>
      <c r="V260" s="310">
        <v>0</v>
      </c>
      <c r="W260" s="310">
        <v>0</v>
      </c>
      <c r="X260" s="310">
        <f>1133-310</f>
        <v>823</v>
      </c>
      <c r="Y260" s="223">
        <v>0</v>
      </c>
      <c r="Z260" s="310">
        <f t="shared" si="114"/>
        <v>0</v>
      </c>
      <c r="AA260" s="310">
        <v>0</v>
      </c>
      <c r="AB260" s="310">
        <v>0</v>
      </c>
      <c r="AC260" s="226">
        <v>0</v>
      </c>
      <c r="AD260" s="279"/>
    </row>
    <row r="261" spans="1:31" s="20" customFormat="1" ht="28.15" customHeight="1" outlineLevel="1" x14ac:dyDescent="0.2">
      <c r="A261" s="307" t="s">
        <v>1389</v>
      </c>
      <c r="B261" s="308" t="s">
        <v>88</v>
      </c>
      <c r="C261" s="303">
        <f t="shared" ref="C261:J261" si="122">SUM(C262:C262)</f>
        <v>5.6</v>
      </c>
      <c r="D261" s="306">
        <f t="shared" si="122"/>
        <v>1856</v>
      </c>
      <c r="E261" s="303">
        <f t="shared" si="122"/>
        <v>0</v>
      </c>
      <c r="F261" s="306">
        <f t="shared" si="122"/>
        <v>0</v>
      </c>
      <c r="G261" s="306">
        <f t="shared" si="122"/>
        <v>0</v>
      </c>
      <c r="H261" s="306">
        <f t="shared" si="122"/>
        <v>0</v>
      </c>
      <c r="I261" s="306">
        <f t="shared" si="122"/>
        <v>0</v>
      </c>
      <c r="J261" s="303">
        <f t="shared" si="122"/>
        <v>2.8</v>
      </c>
      <c r="K261" s="306">
        <f>SUM(L261:N261)</f>
        <v>1380</v>
      </c>
      <c r="L261" s="306">
        <f>SUM(L262:L262)</f>
        <v>0</v>
      </c>
      <c r="M261" s="306">
        <f>SUM(M262:M262)</f>
        <v>0</v>
      </c>
      <c r="N261" s="306">
        <f>SUM(N262:N262)</f>
        <v>1380</v>
      </c>
      <c r="O261" s="303">
        <f>SUM(O262:O262)</f>
        <v>2.8</v>
      </c>
      <c r="P261" s="304">
        <f t="shared" si="109"/>
        <v>476</v>
      </c>
      <c r="Q261" s="306">
        <f>SUM(Q262:Q262)</f>
        <v>0</v>
      </c>
      <c r="R261" s="306">
        <f>SUM(R262:R262)</f>
        <v>0</v>
      </c>
      <c r="S261" s="306">
        <f>SUM(S262:S262)</f>
        <v>476</v>
      </c>
      <c r="T261" s="303">
        <f>SUM(T262:T262)</f>
        <v>0</v>
      </c>
      <c r="U261" s="304">
        <f t="shared" si="117"/>
        <v>0</v>
      </c>
      <c r="V261" s="304">
        <f>SUM(V262:V262)</f>
        <v>0</v>
      </c>
      <c r="W261" s="304">
        <f>SUM(W262:W262)</f>
        <v>0</v>
      </c>
      <c r="X261" s="304">
        <f>SUM(X262:X262)</f>
        <v>0</v>
      </c>
      <c r="Y261" s="303">
        <f>SUM(Y262:Y262)</f>
        <v>0</v>
      </c>
      <c r="Z261" s="304">
        <f t="shared" si="114"/>
        <v>0</v>
      </c>
      <c r="AA261" s="306">
        <f>SUM(V262:V262)</f>
        <v>0</v>
      </c>
      <c r="AB261" s="306">
        <f>SUM(W262:W262)</f>
        <v>0</v>
      </c>
      <c r="AC261" s="306">
        <f>SUM(AC262:AC262)</f>
        <v>0</v>
      </c>
      <c r="AD261" s="279"/>
    </row>
    <row r="262" spans="1:31" s="20" customFormat="1" ht="27.75" customHeight="1" outlineLevel="1" x14ac:dyDescent="0.2">
      <c r="A262" s="295" t="s">
        <v>1390</v>
      </c>
      <c r="B262" s="309" t="s">
        <v>552</v>
      </c>
      <c r="C262" s="223">
        <f>E262+J262+O262+T262+Y262</f>
        <v>5.6</v>
      </c>
      <c r="D262" s="310">
        <f t="shared" si="119"/>
        <v>1856</v>
      </c>
      <c r="E262" s="260">
        <v>0</v>
      </c>
      <c r="F262" s="315">
        <f t="shared" si="120"/>
        <v>0</v>
      </c>
      <c r="G262" s="310">
        <v>0</v>
      </c>
      <c r="H262" s="310">
        <v>0</v>
      </c>
      <c r="I262" s="310">
        <v>0</v>
      </c>
      <c r="J262" s="260">
        <v>2.8</v>
      </c>
      <c r="K262" s="315">
        <f t="shared" ref="K262" si="123">L262+M262+N262</f>
        <v>1380</v>
      </c>
      <c r="L262" s="310">
        <v>0</v>
      </c>
      <c r="M262" s="310">
        <v>0</v>
      </c>
      <c r="N262" s="310">
        <v>1380</v>
      </c>
      <c r="O262" s="223">
        <v>2.8</v>
      </c>
      <c r="P262" s="310">
        <f t="shared" ref="P262:P265" si="124">Q262+R262+S262</f>
        <v>476</v>
      </c>
      <c r="Q262" s="310">
        <v>0</v>
      </c>
      <c r="R262" s="310">
        <v>0</v>
      </c>
      <c r="S262" s="226">
        <f>724-248</f>
        <v>476</v>
      </c>
      <c r="T262" s="223">
        <v>0</v>
      </c>
      <c r="U262" s="310">
        <v>0</v>
      </c>
      <c r="V262" s="310">
        <v>0</v>
      </c>
      <c r="W262" s="310">
        <v>0</v>
      </c>
      <c r="X262" s="226">
        <v>0</v>
      </c>
      <c r="Y262" s="223">
        <v>0</v>
      </c>
      <c r="Z262" s="310">
        <f>AA262+AB262+AC262</f>
        <v>0</v>
      </c>
      <c r="AA262" s="310">
        <v>0</v>
      </c>
      <c r="AB262" s="310">
        <v>0</v>
      </c>
      <c r="AC262" s="226">
        <v>0</v>
      </c>
      <c r="AD262" s="279"/>
    </row>
    <row r="263" spans="1:31" s="20" customFormat="1" ht="34.15" customHeight="1" outlineLevel="1" x14ac:dyDescent="0.2">
      <c r="A263" s="307" t="s">
        <v>1391</v>
      </c>
      <c r="B263" s="308" t="s">
        <v>91</v>
      </c>
      <c r="C263" s="307">
        <f>E263+J263+O263+T263+Y263</f>
        <v>0</v>
      </c>
      <c r="D263" s="305">
        <f>F263+K263+P263+U263+Z263</f>
        <v>0</v>
      </c>
      <c r="E263" s="307">
        <v>0</v>
      </c>
      <c r="F263" s="305">
        <f>SUM(G263:I263)</f>
        <v>0</v>
      </c>
      <c r="G263" s="305">
        <v>0</v>
      </c>
      <c r="H263" s="305">
        <v>0</v>
      </c>
      <c r="I263" s="305">
        <v>0</v>
      </c>
      <c r="J263" s="307">
        <v>0</v>
      </c>
      <c r="K263" s="305">
        <f>SUM(L263:N263)</f>
        <v>0</v>
      </c>
      <c r="L263" s="305">
        <v>0</v>
      </c>
      <c r="M263" s="305">
        <v>0</v>
      </c>
      <c r="N263" s="305">
        <v>0</v>
      </c>
      <c r="O263" s="307">
        <v>0</v>
      </c>
      <c r="P263" s="304">
        <f t="shared" si="124"/>
        <v>0</v>
      </c>
      <c r="Q263" s="305">
        <v>0</v>
      </c>
      <c r="R263" s="305">
        <v>0</v>
      </c>
      <c r="S263" s="305">
        <v>0</v>
      </c>
      <c r="T263" s="303">
        <v>0</v>
      </c>
      <c r="U263" s="304">
        <v>0</v>
      </c>
      <c r="V263" s="304">
        <v>0</v>
      </c>
      <c r="W263" s="304">
        <v>0</v>
      </c>
      <c r="X263" s="304">
        <v>0</v>
      </c>
      <c r="Y263" s="307">
        <v>0</v>
      </c>
      <c r="Z263" s="304">
        <f>AA263+AB263+AC263</f>
        <v>0</v>
      </c>
      <c r="AA263" s="305">
        <v>0</v>
      </c>
      <c r="AB263" s="305">
        <v>0</v>
      </c>
      <c r="AC263" s="305">
        <v>0</v>
      </c>
      <c r="AD263" s="279"/>
    </row>
    <row r="264" spans="1:31" s="20" customFormat="1" ht="32.25" customHeight="1" x14ac:dyDescent="0.2">
      <c r="A264" s="277"/>
      <c r="B264" s="318" t="s">
        <v>85</v>
      </c>
      <c r="C264" s="303">
        <f t="shared" ref="C264:J264" si="125">SUM(C263,C261,C259,C258)</f>
        <v>10.19</v>
      </c>
      <c r="D264" s="319">
        <f t="shared" si="125"/>
        <v>2679</v>
      </c>
      <c r="E264" s="303">
        <f t="shared" si="125"/>
        <v>0</v>
      </c>
      <c r="F264" s="319">
        <f t="shared" si="125"/>
        <v>0</v>
      </c>
      <c r="G264" s="319">
        <f t="shared" si="125"/>
        <v>0</v>
      </c>
      <c r="H264" s="319">
        <f t="shared" si="125"/>
        <v>0</v>
      </c>
      <c r="I264" s="319">
        <f t="shared" si="125"/>
        <v>0</v>
      </c>
      <c r="J264" s="303">
        <f t="shared" si="125"/>
        <v>2.8</v>
      </c>
      <c r="K264" s="319">
        <f>SUM(L264:N264)</f>
        <v>1380</v>
      </c>
      <c r="L264" s="319">
        <f>SUM(L263,L261,L259,L258)</f>
        <v>0</v>
      </c>
      <c r="M264" s="319">
        <f>SUM(M263,M261,M259,M258)</f>
        <v>0</v>
      </c>
      <c r="N264" s="319">
        <f>SUM(N263,N261,N259,N258)</f>
        <v>1380</v>
      </c>
      <c r="O264" s="303">
        <f>SUM(O263,,O259,O258,O261)</f>
        <v>2.8</v>
      </c>
      <c r="P264" s="319">
        <f t="shared" si="124"/>
        <v>476</v>
      </c>
      <c r="Q264" s="319">
        <f>SUM(Q263,Q261,Q259,Q258)</f>
        <v>0</v>
      </c>
      <c r="R264" s="319">
        <f>SUM(R263,R261,R259,R258)</f>
        <v>0</v>
      </c>
      <c r="S264" s="319">
        <f>SUM(S263,S261,S259,S258)</f>
        <v>476</v>
      </c>
      <c r="T264" s="303">
        <f>SUM(T263,T261,T259,T258)</f>
        <v>4.59</v>
      </c>
      <c r="U264" s="304">
        <f>V264+W264+X264</f>
        <v>823</v>
      </c>
      <c r="V264" s="304">
        <v>0</v>
      </c>
      <c r="W264" s="304">
        <v>0</v>
      </c>
      <c r="X264" s="304">
        <f>SUM(X263,X261,X259,X258)</f>
        <v>823</v>
      </c>
      <c r="Y264" s="303">
        <f>SUM(Y263,Y261,Y259,Y258)</f>
        <v>0</v>
      </c>
      <c r="Z264" s="319">
        <f>AA264+AB264+AC264</f>
        <v>0</v>
      </c>
      <c r="AA264" s="319">
        <f>SUM(AA263,AA261,AA259,AA258)</f>
        <v>0</v>
      </c>
      <c r="AB264" s="319">
        <f>SUM(AB263,AB261,AB259,AB258)</f>
        <v>0</v>
      </c>
      <c r="AC264" s="319">
        <f>SUM(AC263,AC261,AC259,AC258)</f>
        <v>0</v>
      </c>
      <c r="AD264" s="279"/>
    </row>
    <row r="265" spans="1:31" s="20" customFormat="1" ht="127.5" hidden="1" customHeight="1" x14ac:dyDescent="0.2">
      <c r="A265" s="277"/>
      <c r="B265" s="309" t="s">
        <v>84</v>
      </c>
      <c r="C265" s="223">
        <f>E265+J265+O265+T265+Y265</f>
        <v>0</v>
      </c>
      <c r="D265" s="310">
        <f>F265+K265+P265+U265+Z265</f>
        <v>0</v>
      </c>
      <c r="E265" s="271"/>
      <c r="F265" s="315">
        <f>G265+H265+I265</f>
        <v>0</v>
      </c>
      <c r="G265" s="314"/>
      <c r="H265" s="314"/>
      <c r="I265" s="314"/>
      <c r="J265" s="271"/>
      <c r="K265" s="315">
        <f>SUM(L265:N265)</f>
        <v>0</v>
      </c>
      <c r="L265" s="314"/>
      <c r="M265" s="314"/>
      <c r="N265" s="314"/>
      <c r="O265" s="277">
        <v>0</v>
      </c>
      <c r="P265" s="315">
        <f t="shared" si="124"/>
        <v>0</v>
      </c>
      <c r="Q265" s="314"/>
      <c r="R265" s="314"/>
      <c r="S265" s="315">
        <v>0</v>
      </c>
      <c r="T265" s="277">
        <v>0</v>
      </c>
      <c r="U265" s="315">
        <f>V265+W265+X265</f>
        <v>0</v>
      </c>
      <c r="V265" s="314"/>
      <c r="W265" s="314"/>
      <c r="X265" s="315">
        <v>0</v>
      </c>
      <c r="Y265" s="277">
        <v>0</v>
      </c>
      <c r="Z265" s="315">
        <f t="shared" ref="Z265" si="126">AA265+AB265+AC265</f>
        <v>0</v>
      </c>
      <c r="AA265" s="310">
        <v>0</v>
      </c>
      <c r="AB265" s="310">
        <v>0</v>
      </c>
      <c r="AC265" s="315">
        <v>0</v>
      </c>
      <c r="AD265" s="279"/>
    </row>
    <row r="266" spans="1:31" s="20" customFormat="1" ht="66.75" customHeight="1" x14ac:dyDescent="0.2">
      <c r="A266" s="320"/>
      <c r="B266" s="293" t="s">
        <v>515</v>
      </c>
      <c r="C266" s="271">
        <f t="shared" ref="C266:U266" si="127">C256+C264</f>
        <v>33.549999999999997</v>
      </c>
      <c r="D266" s="272">
        <f t="shared" si="127"/>
        <v>7351</v>
      </c>
      <c r="E266" s="271">
        <f t="shared" si="127"/>
        <v>13.8</v>
      </c>
      <c r="F266" s="272">
        <f t="shared" si="127"/>
        <v>2746</v>
      </c>
      <c r="G266" s="272">
        <f t="shared" si="127"/>
        <v>0</v>
      </c>
      <c r="H266" s="272">
        <f t="shared" si="127"/>
        <v>0</v>
      </c>
      <c r="I266" s="272">
        <f t="shared" si="127"/>
        <v>2746</v>
      </c>
      <c r="J266" s="271">
        <f t="shared" si="127"/>
        <v>2.8</v>
      </c>
      <c r="K266" s="272">
        <f t="shared" si="127"/>
        <v>1380</v>
      </c>
      <c r="L266" s="272">
        <f t="shared" si="127"/>
        <v>0</v>
      </c>
      <c r="M266" s="272">
        <f t="shared" si="127"/>
        <v>0</v>
      </c>
      <c r="N266" s="272">
        <f t="shared" si="127"/>
        <v>1380</v>
      </c>
      <c r="O266" s="271">
        <f t="shared" si="127"/>
        <v>9.7800000000000011</v>
      </c>
      <c r="P266" s="272">
        <f t="shared" si="127"/>
        <v>1686</v>
      </c>
      <c r="Q266" s="272">
        <f t="shared" si="127"/>
        <v>0</v>
      </c>
      <c r="R266" s="272">
        <f t="shared" si="127"/>
        <v>0</v>
      </c>
      <c r="S266" s="272">
        <f t="shared" si="127"/>
        <v>1686</v>
      </c>
      <c r="T266" s="271">
        <f t="shared" si="127"/>
        <v>8.59</v>
      </c>
      <c r="U266" s="272">
        <f t="shared" si="127"/>
        <v>1539</v>
      </c>
      <c r="V266" s="272">
        <f>V256+AA264</f>
        <v>0</v>
      </c>
      <c r="W266" s="272">
        <f>W256+AB264</f>
        <v>0</v>
      </c>
      <c r="X266" s="272">
        <f t="shared" ref="X266:AC266" si="128">X256+X264</f>
        <v>1539</v>
      </c>
      <c r="Y266" s="271">
        <f t="shared" si="128"/>
        <v>0</v>
      </c>
      <c r="Z266" s="272">
        <f t="shared" si="128"/>
        <v>0</v>
      </c>
      <c r="AA266" s="272">
        <f t="shared" si="128"/>
        <v>0</v>
      </c>
      <c r="AB266" s="272">
        <f t="shared" si="128"/>
        <v>0</v>
      </c>
      <c r="AC266" s="272">
        <f t="shared" si="128"/>
        <v>0</v>
      </c>
      <c r="AD266" s="279"/>
    </row>
    <row r="267" spans="1:31" s="20" customFormat="1" ht="36.75" customHeight="1" x14ac:dyDescent="0.2">
      <c r="A267" s="294" t="s">
        <v>465</v>
      </c>
      <c r="B267" s="434" t="s">
        <v>1152</v>
      </c>
      <c r="C267" s="435"/>
      <c r="D267" s="435"/>
      <c r="E267" s="435"/>
      <c r="F267" s="435"/>
      <c r="G267" s="435"/>
      <c r="H267" s="435"/>
      <c r="I267" s="435"/>
      <c r="J267" s="435"/>
      <c r="K267" s="435"/>
      <c r="L267" s="435"/>
      <c r="M267" s="435"/>
      <c r="N267" s="435"/>
      <c r="O267" s="435"/>
      <c r="P267" s="435"/>
      <c r="Q267" s="435"/>
      <c r="R267" s="435"/>
      <c r="S267" s="435"/>
      <c r="T267" s="435"/>
      <c r="U267" s="435"/>
      <c r="V267" s="435"/>
      <c r="W267" s="435"/>
      <c r="X267" s="435"/>
      <c r="Y267" s="435"/>
      <c r="Z267" s="435"/>
      <c r="AA267" s="435"/>
      <c r="AB267" s="435"/>
      <c r="AC267" s="436"/>
      <c r="AD267" s="279"/>
    </row>
    <row r="268" spans="1:31" s="20" customFormat="1" ht="39.75" customHeight="1" x14ac:dyDescent="0.2">
      <c r="A268" s="277" t="s">
        <v>516</v>
      </c>
      <c r="B268" s="321" t="s">
        <v>323</v>
      </c>
      <c r="C268" s="260">
        <f>E268+J268+O268+T268+Y268</f>
        <v>0</v>
      </c>
      <c r="D268" s="238">
        <f>F268+K268+P268+U268+Z268</f>
        <v>786276</v>
      </c>
      <c r="E268" s="299">
        <v>0</v>
      </c>
      <c r="F268" s="261">
        <f>G268+H268+I268</f>
        <v>155462</v>
      </c>
      <c r="G268" s="261">
        <v>0</v>
      </c>
      <c r="H268" s="261">
        <v>148000</v>
      </c>
      <c r="I268" s="261">
        <v>7462</v>
      </c>
      <c r="J268" s="260">
        <v>0</v>
      </c>
      <c r="K268" s="261">
        <f>SUM(L268:N268)</f>
        <v>212314</v>
      </c>
      <c r="L268" s="261">
        <v>0</v>
      </c>
      <c r="M268" s="261">
        <v>200000</v>
      </c>
      <c r="N268" s="261">
        <v>12314</v>
      </c>
      <c r="O268" s="260">
        <v>0</v>
      </c>
      <c r="P268" s="261">
        <f>Q268+R268+S268</f>
        <v>212314</v>
      </c>
      <c r="Q268" s="310">
        <v>0</v>
      </c>
      <c r="R268" s="261">
        <v>200000</v>
      </c>
      <c r="S268" s="261">
        <v>12314</v>
      </c>
      <c r="T268" s="260">
        <v>0</v>
      </c>
      <c r="U268" s="322">
        <f>V268+W268+X268</f>
        <v>206186</v>
      </c>
      <c r="V268" s="322">
        <v>0</v>
      </c>
      <c r="W268" s="322">
        <v>200000</v>
      </c>
      <c r="X268" s="323">
        <v>6186</v>
      </c>
      <c r="Y268" s="260">
        <v>0</v>
      </c>
      <c r="Z268" s="310">
        <f>AA268+AB268+AC268</f>
        <v>0</v>
      </c>
      <c r="AA268" s="310">
        <v>0</v>
      </c>
      <c r="AB268" s="310">
        <v>0</v>
      </c>
      <c r="AC268" s="310">
        <v>0</v>
      </c>
      <c r="AD268" s="279"/>
    </row>
    <row r="269" spans="1:31" s="20" customFormat="1" ht="88.5" customHeight="1" x14ac:dyDescent="0.2">
      <c r="A269" s="320"/>
      <c r="B269" s="293" t="s">
        <v>517</v>
      </c>
      <c r="C269" s="271">
        <f t="shared" ref="C269:AC269" si="129">C268</f>
        <v>0</v>
      </c>
      <c r="D269" s="248">
        <f t="shared" si="129"/>
        <v>786276</v>
      </c>
      <c r="E269" s="271">
        <f t="shared" si="129"/>
        <v>0</v>
      </c>
      <c r="F269" s="248">
        <f t="shared" si="129"/>
        <v>155462</v>
      </c>
      <c r="G269" s="248">
        <f t="shared" si="129"/>
        <v>0</v>
      </c>
      <c r="H269" s="248">
        <f t="shared" si="129"/>
        <v>148000</v>
      </c>
      <c r="I269" s="248">
        <f t="shared" si="129"/>
        <v>7462</v>
      </c>
      <c r="J269" s="271">
        <f t="shared" si="129"/>
        <v>0</v>
      </c>
      <c r="K269" s="272">
        <f t="shared" si="129"/>
        <v>212314</v>
      </c>
      <c r="L269" s="272">
        <f t="shared" si="129"/>
        <v>0</v>
      </c>
      <c r="M269" s="272">
        <f t="shared" si="129"/>
        <v>200000</v>
      </c>
      <c r="N269" s="272">
        <f t="shared" si="129"/>
        <v>12314</v>
      </c>
      <c r="O269" s="271">
        <f t="shared" si="129"/>
        <v>0</v>
      </c>
      <c r="P269" s="248">
        <f t="shared" si="129"/>
        <v>212314</v>
      </c>
      <c r="Q269" s="248">
        <f t="shared" si="129"/>
        <v>0</v>
      </c>
      <c r="R269" s="248">
        <f t="shared" si="129"/>
        <v>200000</v>
      </c>
      <c r="S269" s="248">
        <f t="shared" si="129"/>
        <v>12314</v>
      </c>
      <c r="T269" s="271">
        <f t="shared" si="129"/>
        <v>0</v>
      </c>
      <c r="U269" s="248">
        <f t="shared" si="129"/>
        <v>206186</v>
      </c>
      <c r="V269" s="248">
        <f t="shared" si="129"/>
        <v>0</v>
      </c>
      <c r="W269" s="248">
        <f t="shared" si="129"/>
        <v>200000</v>
      </c>
      <c r="X269" s="248">
        <f t="shared" si="129"/>
        <v>6186</v>
      </c>
      <c r="Y269" s="271">
        <f t="shared" si="129"/>
        <v>0</v>
      </c>
      <c r="Z269" s="248">
        <f t="shared" si="129"/>
        <v>0</v>
      </c>
      <c r="AA269" s="248">
        <f t="shared" si="129"/>
        <v>0</v>
      </c>
      <c r="AB269" s="248">
        <f t="shared" si="129"/>
        <v>0</v>
      </c>
      <c r="AC269" s="248">
        <f t="shared" si="129"/>
        <v>0</v>
      </c>
      <c r="AD269" s="279"/>
    </row>
    <row r="270" spans="1:31" s="20" customFormat="1" ht="42.75" customHeight="1" x14ac:dyDescent="0.2">
      <c r="A270" s="449" t="s">
        <v>391</v>
      </c>
      <c r="B270" s="449"/>
      <c r="C270" s="449"/>
      <c r="D270" s="234">
        <f>D272-D271</f>
        <v>6761768.4000000004</v>
      </c>
      <c r="E270" s="268">
        <f>E272-E271</f>
        <v>405.98999999999995</v>
      </c>
      <c r="F270" s="234">
        <f>F272-F271</f>
        <v>1584835</v>
      </c>
      <c r="G270" s="234">
        <f t="shared" ref="G270:AB270" si="130">G272-G271</f>
        <v>126793</v>
      </c>
      <c r="H270" s="234">
        <f t="shared" si="130"/>
        <v>1349108</v>
      </c>
      <c r="I270" s="234">
        <f t="shared" si="130"/>
        <v>108934</v>
      </c>
      <c r="J270" s="268">
        <f t="shared" si="130"/>
        <v>492.97</v>
      </c>
      <c r="K270" s="234">
        <f>K272-K271</f>
        <v>1550012</v>
      </c>
      <c r="L270" s="234">
        <f t="shared" si="130"/>
        <v>0</v>
      </c>
      <c r="M270" s="234">
        <f t="shared" si="130"/>
        <v>1290861</v>
      </c>
      <c r="N270" s="234">
        <f t="shared" si="130"/>
        <v>259151</v>
      </c>
      <c r="O270" s="268">
        <f t="shared" si="130"/>
        <v>432.65300000000002</v>
      </c>
      <c r="P270" s="234">
        <f>P272-P271</f>
        <v>2080681</v>
      </c>
      <c r="Q270" s="234">
        <f t="shared" si="130"/>
        <v>0</v>
      </c>
      <c r="R270" s="234">
        <f t="shared" si="130"/>
        <v>1779113</v>
      </c>
      <c r="S270" s="234">
        <f>S272-S271</f>
        <v>301568</v>
      </c>
      <c r="T270" s="268">
        <f t="shared" si="130"/>
        <v>68.057999999999993</v>
      </c>
      <c r="U270" s="234">
        <f t="shared" si="130"/>
        <v>1457886</v>
      </c>
      <c r="V270" s="234">
        <f t="shared" si="130"/>
        <v>0</v>
      </c>
      <c r="W270" s="234">
        <f t="shared" si="130"/>
        <v>1154024</v>
      </c>
      <c r="X270" s="234">
        <f t="shared" si="130"/>
        <v>303862</v>
      </c>
      <c r="Y270" s="268">
        <f t="shared" si="130"/>
        <v>4.0999999999999996</v>
      </c>
      <c r="Z270" s="234">
        <f t="shared" si="130"/>
        <v>88354</v>
      </c>
      <c r="AA270" s="234">
        <f t="shared" si="130"/>
        <v>0</v>
      </c>
      <c r="AB270" s="234">
        <f t="shared" si="130"/>
        <v>0</v>
      </c>
      <c r="AC270" s="234">
        <f>AC272-AC271</f>
        <v>88354</v>
      </c>
      <c r="AD270" s="279"/>
    </row>
    <row r="271" spans="1:31" s="17" customFormat="1" ht="26.25" customHeight="1" x14ac:dyDescent="0.2">
      <c r="A271" s="450" t="s">
        <v>395</v>
      </c>
      <c r="B271" s="450"/>
      <c r="C271" s="450"/>
      <c r="D271" s="272">
        <f>F271+K271+P271+U271+Z271</f>
        <v>2572</v>
      </c>
      <c r="E271" s="271">
        <v>0</v>
      </c>
      <c r="F271" s="272">
        <f>G271+H271+I271</f>
        <v>988</v>
      </c>
      <c r="G271" s="272">
        <v>0</v>
      </c>
      <c r="H271" s="272">
        <v>0</v>
      </c>
      <c r="I271" s="272">
        <v>988</v>
      </c>
      <c r="J271" s="271">
        <v>0</v>
      </c>
      <c r="K271" s="272">
        <f>L271+M271+N271</f>
        <v>1584</v>
      </c>
      <c r="L271" s="272">
        <v>0</v>
      </c>
      <c r="M271" s="272">
        <v>0</v>
      </c>
      <c r="N271" s="272">
        <v>1584</v>
      </c>
      <c r="O271" s="271">
        <v>0</v>
      </c>
      <c r="P271" s="272">
        <f>Q271+R271+S271</f>
        <v>0</v>
      </c>
      <c r="Q271" s="272">
        <v>0</v>
      </c>
      <c r="R271" s="272">
        <v>0</v>
      </c>
      <c r="S271" s="272">
        <v>0</v>
      </c>
      <c r="T271" s="271">
        <v>0</v>
      </c>
      <c r="U271" s="272">
        <f>V271+W271+X271</f>
        <v>0</v>
      </c>
      <c r="V271" s="272">
        <v>0</v>
      </c>
      <c r="W271" s="272">
        <v>0</v>
      </c>
      <c r="X271" s="272">
        <v>0</v>
      </c>
      <c r="Y271" s="271">
        <v>0</v>
      </c>
      <c r="Z271" s="272">
        <f>AA271+AB271+AC271</f>
        <v>0</v>
      </c>
      <c r="AA271" s="272">
        <v>0</v>
      </c>
      <c r="AB271" s="272">
        <v>0</v>
      </c>
      <c r="AC271" s="272">
        <v>0</v>
      </c>
      <c r="AD271" s="264"/>
      <c r="AE271" s="18"/>
    </row>
    <row r="272" spans="1:31" ht="47.25" customHeight="1" x14ac:dyDescent="0.2">
      <c r="A272" s="451" t="s">
        <v>390</v>
      </c>
      <c r="B272" s="451"/>
      <c r="C272" s="451"/>
      <c r="D272" s="234">
        <f t="shared" ref="D272:AC272" si="131">D33+D43+D75+D101+D239+D243+D266+D269+D271</f>
        <v>6764340.4000000004</v>
      </c>
      <c r="E272" s="268">
        <f t="shared" si="131"/>
        <v>405.98999999999995</v>
      </c>
      <c r="F272" s="234">
        <f t="shared" si="131"/>
        <v>1585823</v>
      </c>
      <c r="G272" s="234">
        <f t="shared" si="131"/>
        <v>126793</v>
      </c>
      <c r="H272" s="234">
        <f t="shared" si="131"/>
        <v>1349108</v>
      </c>
      <c r="I272" s="234">
        <f t="shared" si="131"/>
        <v>109922</v>
      </c>
      <c r="J272" s="268">
        <f t="shared" si="131"/>
        <v>492.97</v>
      </c>
      <c r="K272" s="234">
        <f t="shared" si="131"/>
        <v>1551596</v>
      </c>
      <c r="L272" s="234">
        <f t="shared" si="131"/>
        <v>0</v>
      </c>
      <c r="M272" s="234">
        <f t="shared" si="131"/>
        <v>1290861</v>
      </c>
      <c r="N272" s="234">
        <f t="shared" si="131"/>
        <v>260735</v>
      </c>
      <c r="O272" s="268">
        <f t="shared" si="131"/>
        <v>432.65300000000002</v>
      </c>
      <c r="P272" s="234">
        <f t="shared" si="131"/>
        <v>2080681</v>
      </c>
      <c r="Q272" s="234">
        <f t="shared" si="131"/>
        <v>0</v>
      </c>
      <c r="R272" s="234">
        <f t="shared" si="131"/>
        <v>1779113</v>
      </c>
      <c r="S272" s="234">
        <f t="shared" si="131"/>
        <v>301568</v>
      </c>
      <c r="T272" s="268">
        <f t="shared" si="131"/>
        <v>68.057999999999993</v>
      </c>
      <c r="U272" s="234">
        <f t="shared" si="131"/>
        <v>1457886</v>
      </c>
      <c r="V272" s="234">
        <f t="shared" si="131"/>
        <v>0</v>
      </c>
      <c r="W272" s="234">
        <f t="shared" si="131"/>
        <v>1154024</v>
      </c>
      <c r="X272" s="234">
        <f t="shared" si="131"/>
        <v>303862</v>
      </c>
      <c r="Y272" s="268">
        <f t="shared" si="131"/>
        <v>4.0999999999999996</v>
      </c>
      <c r="Z272" s="234">
        <f t="shared" si="131"/>
        <v>88354</v>
      </c>
      <c r="AA272" s="234">
        <f t="shared" si="131"/>
        <v>0</v>
      </c>
      <c r="AB272" s="234">
        <f t="shared" si="131"/>
        <v>0</v>
      </c>
      <c r="AC272" s="234">
        <f t="shared" si="131"/>
        <v>88354</v>
      </c>
      <c r="AD272" s="56"/>
    </row>
    <row r="273" spans="1:30" ht="24.75" customHeight="1" x14ac:dyDescent="0.2">
      <c r="A273" s="50"/>
      <c r="B273" s="50"/>
      <c r="C273" s="50"/>
      <c r="D273" s="51"/>
      <c r="E273" s="52"/>
      <c r="F273" s="51"/>
      <c r="G273" s="51"/>
      <c r="H273" s="51"/>
      <c r="I273" s="51"/>
      <c r="J273" s="52"/>
      <c r="K273" s="51"/>
      <c r="L273" s="51"/>
      <c r="M273" s="51"/>
      <c r="N273" s="51"/>
      <c r="O273" s="52"/>
      <c r="P273" s="51"/>
      <c r="Q273" s="51"/>
      <c r="R273" s="51"/>
      <c r="S273" s="51"/>
      <c r="T273" s="52"/>
      <c r="U273" s="51"/>
      <c r="V273" s="51"/>
      <c r="W273" s="51"/>
      <c r="X273" s="51"/>
      <c r="Y273" s="52"/>
      <c r="Z273" s="51"/>
      <c r="AA273" s="51"/>
      <c r="AB273" s="51"/>
      <c r="AC273" s="51"/>
    </row>
    <row r="274" spans="1:30" ht="24.75" customHeight="1" x14ac:dyDescent="0.2">
      <c r="A274" s="50"/>
      <c r="B274" s="53" t="s">
        <v>654</v>
      </c>
      <c r="C274" s="50"/>
      <c r="D274" s="51"/>
      <c r="E274" s="52"/>
      <c r="F274" s="51"/>
      <c r="G274" s="51"/>
      <c r="H274" s="51"/>
      <c r="I274" s="51"/>
      <c r="J274" s="52"/>
      <c r="K274" s="51"/>
      <c r="L274" s="51"/>
      <c r="M274" s="51"/>
      <c r="N274" s="51"/>
      <c r="O274" s="52"/>
      <c r="P274" s="51"/>
      <c r="Q274" s="51"/>
      <c r="R274" s="51"/>
      <c r="S274" s="51"/>
      <c r="T274" s="52"/>
      <c r="U274" s="51"/>
      <c r="V274" s="51"/>
      <c r="W274" s="51"/>
      <c r="X274" s="51"/>
      <c r="Y274" s="52"/>
      <c r="Z274" s="51"/>
      <c r="AA274" s="51"/>
      <c r="AB274" s="51"/>
      <c r="AC274" s="51"/>
    </row>
    <row r="275" spans="1:30" ht="18.75" customHeight="1" x14ac:dyDescent="0.2">
      <c r="B275" s="1" t="s">
        <v>652</v>
      </c>
      <c r="C275" s="433" t="s">
        <v>653</v>
      </c>
      <c r="D275" s="433"/>
      <c r="E275" s="433"/>
      <c r="F275" s="433"/>
      <c r="G275" s="433"/>
      <c r="H275" s="433"/>
      <c r="I275" s="433"/>
      <c r="J275" s="433"/>
      <c r="K275" s="433"/>
      <c r="L275" s="433"/>
      <c r="M275" s="433"/>
      <c r="N275" s="433"/>
      <c r="O275" s="433"/>
      <c r="P275" s="433"/>
      <c r="Q275" s="433"/>
      <c r="R275" s="433"/>
      <c r="S275" s="433"/>
      <c r="T275" s="433"/>
      <c r="U275" s="433"/>
      <c r="V275" s="433"/>
      <c r="W275" s="433"/>
      <c r="X275" s="433"/>
      <c r="Y275" s="433"/>
      <c r="Z275" s="433"/>
      <c r="AA275" s="433"/>
      <c r="AB275" s="433"/>
      <c r="AC275" s="433"/>
      <c r="AD275" s="433"/>
    </row>
    <row r="276" spans="1:30" ht="37.5" customHeight="1" x14ac:dyDescent="0.2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30" x14ac:dyDescent="0.2">
      <c r="M277" s="25"/>
      <c r="N277" s="25"/>
      <c r="O277" s="26"/>
      <c r="P277" s="27"/>
      <c r="Q277" s="27"/>
    </row>
  </sheetData>
  <mergeCells count="29"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E4:AC4"/>
    <mergeCell ref="D4:D6"/>
    <mergeCell ref="A4:A6"/>
    <mergeCell ref="C275:AD275"/>
    <mergeCell ref="A8:AC8"/>
    <mergeCell ref="B9:AC9"/>
    <mergeCell ref="B267:AC267"/>
    <mergeCell ref="B44:AC44"/>
    <mergeCell ref="B77:AC77"/>
    <mergeCell ref="B102:AC102"/>
    <mergeCell ref="B240:AC240"/>
    <mergeCell ref="B244:AC244"/>
    <mergeCell ref="A97:AC97"/>
    <mergeCell ref="A190:AC190"/>
    <mergeCell ref="B10:AC10"/>
    <mergeCell ref="B34:AC34"/>
    <mergeCell ref="A270:C270"/>
    <mergeCell ref="A271:C271"/>
    <mergeCell ref="A272:C272"/>
  </mergeCells>
  <phoneticPr fontId="3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6" firstPageNumber="18" fitToHeight="0" orientation="landscape" useFirstPageNumber="1" r:id="rId1"/>
  <headerFooter alignWithMargins="0">
    <oddHeader>&amp;C&amp;P</oddHeader>
  </headerFooter>
  <rowBreaks count="17" manualBreakCount="17">
    <brk id="16" max="28" man="1"/>
    <brk id="30" max="28" man="1"/>
    <brk id="43" max="28" man="1"/>
    <brk id="52" max="28" man="1"/>
    <brk id="60" max="28" man="1"/>
    <brk id="71" max="28" man="1"/>
    <brk id="85" max="28" man="1"/>
    <brk id="94" max="28" man="1"/>
    <brk id="112" max="28" man="1"/>
    <brk id="126" max="28" man="1"/>
    <brk id="141" max="28" man="1"/>
    <brk id="155" max="28" man="1"/>
    <brk id="168" max="28" man="1"/>
    <brk id="182" max="28" man="1"/>
    <brk id="199" max="28" man="1"/>
    <brk id="226" max="28" man="1"/>
    <brk id="251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4"/>
  <sheetViews>
    <sheetView view="pageBreakPreview" zoomScale="40" zoomScaleNormal="100" zoomScaleSheetLayoutView="40" workbookViewId="0">
      <selection activeCell="O2" sqref="O2"/>
    </sheetView>
  </sheetViews>
  <sheetFormatPr defaultColWidth="9.140625" defaultRowHeight="42" customHeight="1" outlineLevelRow="1" x14ac:dyDescent="0.2"/>
  <cols>
    <col min="1" max="1" width="8.140625" style="1" customWidth="1"/>
    <col min="2" max="2" width="23.85546875" style="35" customWidth="1"/>
    <col min="3" max="3" width="19.7109375" style="10" customWidth="1"/>
    <col min="4" max="4" width="10.28515625" style="1" customWidth="1"/>
    <col min="5" max="5" width="14.140625" style="4" customWidth="1"/>
    <col min="6" max="6" width="12.85546875" style="1" customWidth="1"/>
    <col min="7" max="7" width="13.85546875" style="1" customWidth="1"/>
    <col min="8" max="8" width="13.5703125" style="1" customWidth="1"/>
    <col min="9" max="9" width="8.85546875" style="1" customWidth="1"/>
    <col min="10" max="10" width="13.85546875" style="4" customWidth="1"/>
    <col min="11" max="11" width="13.7109375" style="1" customWidth="1"/>
    <col min="12" max="12" width="13" style="1" customWidth="1"/>
    <col min="13" max="13" width="9.140625" style="1" customWidth="1"/>
    <col min="14" max="14" width="8.42578125" style="1" customWidth="1"/>
    <col min="15" max="15" width="13.85546875" style="4" customWidth="1"/>
    <col min="16" max="16" width="11.85546875" style="1" customWidth="1"/>
    <col min="17" max="17" width="15.140625" style="1" customWidth="1"/>
    <col min="18" max="18" width="8.5703125" style="1" customWidth="1"/>
    <col min="19" max="19" width="8.42578125" style="1" customWidth="1"/>
    <col min="20" max="20" width="14.42578125" style="4" customWidth="1"/>
    <col min="21" max="21" width="14.42578125" style="1" customWidth="1"/>
    <col min="22" max="22" width="16" style="1" customWidth="1"/>
    <col min="23" max="23" width="8.5703125" style="1" customWidth="1"/>
    <col min="24" max="24" width="8.42578125" style="1" customWidth="1"/>
    <col min="25" max="25" width="13.85546875" style="4" customWidth="1"/>
    <col min="26" max="26" width="13.140625" style="1" customWidth="1"/>
    <col min="27" max="27" width="13.85546875" style="1" customWidth="1"/>
    <col min="28" max="28" width="8.5703125" style="1" customWidth="1"/>
    <col min="29" max="29" width="7.7109375" style="1" customWidth="1"/>
    <col min="30" max="30" width="15.7109375" style="12" customWidth="1"/>
    <col min="31" max="31" width="16.28515625" style="1" bestFit="1" customWidth="1"/>
    <col min="32" max="32" width="14.7109375" style="1" customWidth="1"/>
    <col min="33" max="33" width="16.28515625" style="1" customWidth="1"/>
    <col min="34" max="34" width="9.28515625" style="1" bestFit="1" customWidth="1"/>
    <col min="35" max="16384" width="9.140625" style="1"/>
  </cols>
  <sheetData>
    <row r="1" spans="1:34" s="6" customFormat="1" ht="82.9" customHeight="1" x14ac:dyDescent="0.25">
      <c r="A1" s="149"/>
      <c r="B1" s="324"/>
      <c r="C1" s="325"/>
      <c r="D1" s="326"/>
      <c r="E1" s="150"/>
      <c r="F1" s="67"/>
      <c r="G1" s="67"/>
      <c r="H1" s="67"/>
      <c r="I1" s="67"/>
      <c r="J1" s="151"/>
      <c r="K1" s="68"/>
      <c r="L1" s="68"/>
      <c r="M1" s="68"/>
      <c r="N1" s="68"/>
      <c r="O1" s="56"/>
      <c r="P1" s="56"/>
      <c r="Q1" s="152"/>
      <c r="R1" s="56"/>
      <c r="S1" s="56"/>
      <c r="T1" s="56"/>
      <c r="U1" s="56"/>
      <c r="V1" s="56"/>
      <c r="W1" s="56"/>
      <c r="X1" s="56"/>
      <c r="Y1" s="66"/>
      <c r="Z1" s="56"/>
      <c r="AA1" s="427" t="s">
        <v>1394</v>
      </c>
      <c r="AB1" s="427"/>
      <c r="AC1" s="427"/>
      <c r="AD1" s="427"/>
      <c r="AE1" s="67"/>
      <c r="AF1" s="67"/>
      <c r="AG1" s="67"/>
      <c r="AH1" s="67"/>
    </row>
    <row r="2" spans="1:34" s="6" customFormat="1" ht="138" customHeight="1" x14ac:dyDescent="0.25">
      <c r="A2" s="149"/>
      <c r="B2" s="324"/>
      <c r="C2" s="325"/>
      <c r="D2" s="326"/>
      <c r="E2" s="150"/>
      <c r="F2" s="67"/>
      <c r="G2" s="67"/>
      <c r="H2" s="67"/>
      <c r="I2" s="67"/>
      <c r="J2" s="151"/>
      <c r="K2" s="68"/>
      <c r="L2" s="68"/>
      <c r="M2" s="68"/>
      <c r="N2" s="68"/>
      <c r="O2" s="56"/>
      <c r="P2" s="56"/>
      <c r="Q2" s="152"/>
      <c r="R2" s="56"/>
      <c r="S2" s="56"/>
      <c r="T2" s="56"/>
      <c r="U2" s="56"/>
      <c r="V2" s="56"/>
      <c r="W2" s="56"/>
      <c r="X2" s="56"/>
      <c r="Y2" s="66"/>
      <c r="Z2" s="56"/>
      <c r="AA2" s="426" t="s">
        <v>450</v>
      </c>
      <c r="AB2" s="426"/>
      <c r="AC2" s="426"/>
      <c r="AD2" s="426"/>
      <c r="AE2" s="67"/>
      <c r="AF2" s="67"/>
      <c r="AG2" s="67"/>
      <c r="AH2" s="67"/>
    </row>
    <row r="3" spans="1:34" ht="47.25" customHeight="1" x14ac:dyDescent="0.4">
      <c r="A3" s="154"/>
      <c r="B3" s="483" t="s">
        <v>305</v>
      </c>
      <c r="C3" s="483"/>
      <c r="D3" s="483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56"/>
      <c r="AF3" s="56"/>
      <c r="AG3" s="56"/>
      <c r="AH3" s="56"/>
    </row>
    <row r="4" spans="1:34" ht="42" customHeight="1" x14ac:dyDescent="0.2">
      <c r="A4" s="419" t="s">
        <v>75</v>
      </c>
      <c r="B4" s="378" t="s">
        <v>74</v>
      </c>
      <c r="C4" s="378" t="s">
        <v>73</v>
      </c>
      <c r="D4" s="378" t="s">
        <v>81</v>
      </c>
      <c r="E4" s="480" t="s">
        <v>72</v>
      </c>
      <c r="F4" s="480"/>
      <c r="G4" s="480"/>
      <c r="H4" s="480"/>
      <c r="I4" s="480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1"/>
      <c r="AC4" s="481"/>
      <c r="AD4" s="430" t="s">
        <v>71</v>
      </c>
      <c r="AE4" s="56"/>
      <c r="AF4" s="56"/>
      <c r="AG4" s="56"/>
      <c r="AH4" s="56"/>
    </row>
    <row r="5" spans="1:34" ht="42" customHeight="1" x14ac:dyDescent="0.2">
      <c r="A5" s="419"/>
      <c r="B5" s="470"/>
      <c r="C5" s="378"/>
      <c r="D5" s="479"/>
      <c r="E5" s="485" t="s">
        <v>70</v>
      </c>
      <c r="F5" s="485"/>
      <c r="G5" s="485"/>
      <c r="H5" s="485"/>
      <c r="I5" s="485"/>
      <c r="J5" s="485" t="s">
        <v>69</v>
      </c>
      <c r="K5" s="485"/>
      <c r="L5" s="485"/>
      <c r="M5" s="485"/>
      <c r="N5" s="485"/>
      <c r="O5" s="485" t="s">
        <v>68</v>
      </c>
      <c r="P5" s="485"/>
      <c r="Q5" s="485"/>
      <c r="R5" s="485"/>
      <c r="S5" s="485"/>
      <c r="T5" s="485" t="s">
        <v>67</v>
      </c>
      <c r="U5" s="485"/>
      <c r="V5" s="485"/>
      <c r="W5" s="485"/>
      <c r="X5" s="485"/>
      <c r="Y5" s="485" t="s">
        <v>66</v>
      </c>
      <c r="Z5" s="485"/>
      <c r="AA5" s="485"/>
      <c r="AB5" s="485"/>
      <c r="AC5" s="485"/>
      <c r="AD5" s="430"/>
      <c r="AE5" s="56"/>
      <c r="AF5" s="56"/>
      <c r="AG5" s="56"/>
      <c r="AH5" s="56"/>
    </row>
    <row r="6" spans="1:34" ht="57.6" customHeight="1" x14ac:dyDescent="0.2">
      <c r="A6" s="419"/>
      <c r="B6" s="470"/>
      <c r="C6" s="378"/>
      <c r="D6" s="479"/>
      <c r="E6" s="155" t="s">
        <v>65</v>
      </c>
      <c r="F6" s="59" t="s">
        <v>94</v>
      </c>
      <c r="G6" s="59" t="s">
        <v>95</v>
      </c>
      <c r="H6" s="59" t="s">
        <v>62</v>
      </c>
      <c r="I6" s="59" t="s">
        <v>76</v>
      </c>
      <c r="J6" s="155" t="s">
        <v>65</v>
      </c>
      <c r="K6" s="59" t="s">
        <v>94</v>
      </c>
      <c r="L6" s="59" t="s">
        <v>95</v>
      </c>
      <c r="M6" s="59" t="s">
        <v>77</v>
      </c>
      <c r="N6" s="59" t="s">
        <v>76</v>
      </c>
      <c r="O6" s="155" t="s">
        <v>65</v>
      </c>
      <c r="P6" s="59" t="s">
        <v>94</v>
      </c>
      <c r="Q6" s="59" t="s">
        <v>95</v>
      </c>
      <c r="R6" s="59" t="s">
        <v>77</v>
      </c>
      <c r="S6" s="59" t="s">
        <v>76</v>
      </c>
      <c r="T6" s="155" t="s">
        <v>65</v>
      </c>
      <c r="U6" s="59" t="s">
        <v>94</v>
      </c>
      <c r="V6" s="59" t="s">
        <v>95</v>
      </c>
      <c r="W6" s="59" t="s">
        <v>77</v>
      </c>
      <c r="X6" s="59" t="s">
        <v>76</v>
      </c>
      <c r="Y6" s="155" t="s">
        <v>65</v>
      </c>
      <c r="Z6" s="59" t="s">
        <v>94</v>
      </c>
      <c r="AA6" s="59" t="s">
        <v>95</v>
      </c>
      <c r="AB6" s="59" t="s">
        <v>77</v>
      </c>
      <c r="AC6" s="59" t="s">
        <v>76</v>
      </c>
      <c r="AD6" s="430"/>
      <c r="AE6" s="59" t="s">
        <v>64</v>
      </c>
      <c r="AF6" s="59" t="s">
        <v>63</v>
      </c>
      <c r="AG6" s="59" t="s">
        <v>77</v>
      </c>
      <c r="AH6" s="59" t="s">
        <v>76</v>
      </c>
    </row>
    <row r="7" spans="1:34" s="30" customFormat="1" ht="25.15" customHeight="1" x14ac:dyDescent="0.25">
      <c r="A7" s="156">
        <v>1</v>
      </c>
      <c r="B7" s="156">
        <v>2</v>
      </c>
      <c r="C7" s="156">
        <v>3</v>
      </c>
      <c r="D7" s="156">
        <v>4</v>
      </c>
      <c r="E7" s="156">
        <v>5</v>
      </c>
      <c r="F7" s="156">
        <v>6</v>
      </c>
      <c r="G7" s="156">
        <v>7</v>
      </c>
      <c r="H7" s="156">
        <v>8</v>
      </c>
      <c r="I7" s="156">
        <v>9</v>
      </c>
      <c r="J7" s="156">
        <v>10</v>
      </c>
      <c r="K7" s="156">
        <v>11</v>
      </c>
      <c r="L7" s="156">
        <v>12</v>
      </c>
      <c r="M7" s="156">
        <v>13</v>
      </c>
      <c r="N7" s="156">
        <v>14</v>
      </c>
      <c r="O7" s="156">
        <v>15</v>
      </c>
      <c r="P7" s="156">
        <v>16</v>
      </c>
      <c r="Q7" s="156">
        <v>17</v>
      </c>
      <c r="R7" s="156">
        <v>18</v>
      </c>
      <c r="S7" s="156">
        <v>19</v>
      </c>
      <c r="T7" s="156">
        <v>20</v>
      </c>
      <c r="U7" s="156">
        <v>21</v>
      </c>
      <c r="V7" s="156">
        <v>22</v>
      </c>
      <c r="W7" s="156">
        <v>23</v>
      </c>
      <c r="X7" s="156">
        <v>24</v>
      </c>
      <c r="Y7" s="156">
        <v>25</v>
      </c>
      <c r="Z7" s="156">
        <v>26</v>
      </c>
      <c r="AA7" s="156">
        <v>27</v>
      </c>
      <c r="AB7" s="156">
        <v>28</v>
      </c>
      <c r="AC7" s="156">
        <v>29</v>
      </c>
      <c r="AD7" s="156">
        <v>30</v>
      </c>
      <c r="AE7" s="327"/>
      <c r="AF7" s="327"/>
      <c r="AG7" s="327"/>
      <c r="AH7" s="327"/>
    </row>
    <row r="8" spans="1:34" s="30" customFormat="1" ht="33" customHeight="1" x14ac:dyDescent="0.25">
      <c r="A8" s="486" t="s">
        <v>1153</v>
      </c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327"/>
      <c r="AF8" s="327"/>
      <c r="AG8" s="327"/>
      <c r="AH8" s="327"/>
    </row>
    <row r="9" spans="1:34" s="30" customFormat="1" ht="34.9" customHeight="1" x14ac:dyDescent="0.25">
      <c r="A9" s="328" t="s">
        <v>459</v>
      </c>
      <c r="B9" s="461" t="s">
        <v>1154</v>
      </c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5"/>
      <c r="AE9" s="327"/>
      <c r="AF9" s="327"/>
      <c r="AG9" s="327"/>
      <c r="AH9" s="327"/>
    </row>
    <row r="10" spans="1:34" s="6" customFormat="1" ht="30" customHeight="1" x14ac:dyDescent="0.2">
      <c r="A10" s="482" t="s">
        <v>304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67"/>
      <c r="AF10" s="67"/>
      <c r="AG10" s="67"/>
      <c r="AH10" s="67"/>
    </row>
    <row r="11" spans="1:34" s="6" customFormat="1" ht="34.9" customHeight="1" outlineLevel="1" x14ac:dyDescent="0.2">
      <c r="A11" s="487" t="s">
        <v>691</v>
      </c>
      <c r="B11" s="487"/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67"/>
      <c r="AF11" s="67"/>
      <c r="AG11" s="67"/>
      <c r="AH11" s="67"/>
    </row>
    <row r="12" spans="1:34" s="6" customFormat="1" ht="38.25" customHeight="1" outlineLevel="1" x14ac:dyDescent="0.2">
      <c r="A12" s="329" t="s">
        <v>1</v>
      </c>
      <c r="B12" s="463" t="s">
        <v>458</v>
      </c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4"/>
      <c r="AD12" s="466"/>
      <c r="AE12" s="67"/>
      <c r="AF12" s="67"/>
      <c r="AG12" s="67"/>
      <c r="AH12" s="67"/>
    </row>
    <row r="13" spans="1:34" s="10" customFormat="1" ht="88.15" customHeight="1" outlineLevel="1" x14ac:dyDescent="0.2">
      <c r="A13" s="330" t="s">
        <v>8</v>
      </c>
      <c r="B13" s="331" t="s">
        <v>208</v>
      </c>
      <c r="C13" s="59" t="s">
        <v>51</v>
      </c>
      <c r="D13" s="332" t="s">
        <v>48</v>
      </c>
      <c r="E13" s="333">
        <f t="shared" ref="E13:E21" si="0">F13+G13+H13+I13</f>
        <v>67429</v>
      </c>
      <c r="F13" s="334">
        <f>67429</f>
        <v>67429</v>
      </c>
      <c r="G13" s="334">
        <v>0</v>
      </c>
      <c r="H13" s="334">
        <v>0</v>
      </c>
      <c r="I13" s="334">
        <v>0</v>
      </c>
      <c r="J13" s="333">
        <f t="shared" ref="J13:J21" si="1">K13+L13+M13+N13</f>
        <v>19781</v>
      </c>
      <c r="K13" s="334">
        <f>6885+12896</f>
        <v>19781</v>
      </c>
      <c r="L13" s="334">
        <v>0</v>
      </c>
      <c r="M13" s="334">
        <v>0</v>
      </c>
      <c r="N13" s="334">
        <v>0</v>
      </c>
      <c r="O13" s="333">
        <f t="shared" ref="O13:O20" si="2">SUM(P13:S13)</f>
        <v>757</v>
      </c>
      <c r="P13" s="334">
        <f>30758-12896-17501-30+426</f>
        <v>757</v>
      </c>
      <c r="Q13" s="334">
        <v>0</v>
      </c>
      <c r="R13" s="334">
        <v>0</v>
      </c>
      <c r="S13" s="334">
        <v>0</v>
      </c>
      <c r="T13" s="333">
        <f t="shared" ref="T13:T20" si="3">SUM(U13:X13)</f>
        <v>20213</v>
      </c>
      <c r="U13" s="334">
        <f>30758-22399-1128-23+13546-541</f>
        <v>20213</v>
      </c>
      <c r="V13" s="334">
        <v>0</v>
      </c>
      <c r="W13" s="334">
        <v>0</v>
      </c>
      <c r="X13" s="334">
        <v>0</v>
      </c>
      <c r="Y13" s="333">
        <f t="shared" ref="Y13:Y20" si="4">SUM(Z13:AC13)</f>
        <v>37613</v>
      </c>
      <c r="Z13" s="334">
        <f>34182+3431</f>
        <v>37613</v>
      </c>
      <c r="AA13" s="334">
        <v>0</v>
      </c>
      <c r="AB13" s="334">
        <v>0</v>
      </c>
      <c r="AC13" s="334">
        <v>0</v>
      </c>
      <c r="AD13" s="333">
        <f t="shared" ref="AD13:AD19" si="5">E13+J13+O13+T13+Y13</f>
        <v>145793</v>
      </c>
      <c r="AE13" s="73"/>
      <c r="AF13" s="73"/>
      <c r="AG13" s="73"/>
      <c r="AH13" s="73"/>
    </row>
    <row r="14" spans="1:34" s="10" customFormat="1" ht="117" customHeight="1" outlineLevel="1" x14ac:dyDescent="0.2">
      <c r="A14" s="335" t="s">
        <v>15</v>
      </c>
      <c r="B14" s="331" t="s">
        <v>363</v>
      </c>
      <c r="C14" s="59" t="s">
        <v>51</v>
      </c>
      <c r="D14" s="336" t="s">
        <v>667</v>
      </c>
      <c r="E14" s="333">
        <f t="shared" si="0"/>
        <v>1235</v>
      </c>
      <c r="F14" s="334">
        <v>1235</v>
      </c>
      <c r="G14" s="334">
        <v>0</v>
      </c>
      <c r="H14" s="334">
        <v>0</v>
      </c>
      <c r="I14" s="334">
        <v>0</v>
      </c>
      <c r="J14" s="333">
        <f t="shared" si="1"/>
        <v>741</v>
      </c>
      <c r="K14" s="334">
        <v>741</v>
      </c>
      <c r="L14" s="334">
        <v>0</v>
      </c>
      <c r="M14" s="334">
        <v>0</v>
      </c>
      <c r="N14" s="334">
        <v>0</v>
      </c>
      <c r="O14" s="333">
        <f t="shared" si="2"/>
        <v>115</v>
      </c>
      <c r="P14" s="334">
        <f>0+115</f>
        <v>115</v>
      </c>
      <c r="Q14" s="334">
        <v>0</v>
      </c>
      <c r="R14" s="334">
        <v>0</v>
      </c>
      <c r="S14" s="334">
        <v>0</v>
      </c>
      <c r="T14" s="333">
        <f t="shared" si="3"/>
        <v>1095</v>
      </c>
      <c r="U14" s="334">
        <f>23+119+71+882</f>
        <v>1095</v>
      </c>
      <c r="V14" s="334">
        <v>0</v>
      </c>
      <c r="W14" s="334">
        <v>0</v>
      </c>
      <c r="X14" s="334">
        <v>0</v>
      </c>
      <c r="Y14" s="333">
        <f t="shared" si="4"/>
        <v>0</v>
      </c>
      <c r="Z14" s="334">
        <v>0</v>
      </c>
      <c r="AA14" s="334">
        <v>0</v>
      </c>
      <c r="AB14" s="334">
        <v>0</v>
      </c>
      <c r="AC14" s="334">
        <v>0</v>
      </c>
      <c r="AD14" s="333">
        <f t="shared" si="5"/>
        <v>3186</v>
      </c>
      <c r="AE14" s="73"/>
      <c r="AF14" s="73"/>
      <c r="AG14" s="73"/>
      <c r="AH14" s="73"/>
    </row>
    <row r="15" spans="1:34" ht="99" customHeight="1" outlineLevel="1" x14ac:dyDescent="0.2">
      <c r="A15" s="335" t="s">
        <v>26</v>
      </c>
      <c r="B15" s="331" t="s">
        <v>60</v>
      </c>
      <c r="C15" s="59" t="s">
        <v>51</v>
      </c>
      <c r="D15" s="337" t="s">
        <v>48</v>
      </c>
      <c r="E15" s="333">
        <f t="shared" si="0"/>
        <v>1644</v>
      </c>
      <c r="F15" s="334">
        <v>1644</v>
      </c>
      <c r="G15" s="334">
        <v>0</v>
      </c>
      <c r="H15" s="334">
        <v>0</v>
      </c>
      <c r="I15" s="334">
        <v>0</v>
      </c>
      <c r="J15" s="333">
        <f t="shared" si="1"/>
        <v>1472</v>
      </c>
      <c r="K15" s="334">
        <v>1472</v>
      </c>
      <c r="L15" s="334">
        <v>0</v>
      </c>
      <c r="M15" s="334">
        <v>0</v>
      </c>
      <c r="N15" s="334">
        <v>0</v>
      </c>
      <c r="O15" s="333">
        <f t="shared" si="2"/>
        <v>4212</v>
      </c>
      <c r="P15" s="334">
        <f>1368-668+1946+117-708+676+1409+418+253+200-396-403</f>
        <v>4212</v>
      </c>
      <c r="Q15" s="334">
        <v>0</v>
      </c>
      <c r="R15" s="334">
        <v>0</v>
      </c>
      <c r="S15" s="334">
        <v>0</v>
      </c>
      <c r="T15" s="333">
        <f t="shared" si="3"/>
        <v>8875</v>
      </c>
      <c r="U15" s="334">
        <f>1368+3232-3797+8055+17</f>
        <v>8875</v>
      </c>
      <c r="V15" s="334">
        <v>0</v>
      </c>
      <c r="W15" s="334">
        <v>0</v>
      </c>
      <c r="X15" s="334">
        <v>0</v>
      </c>
      <c r="Y15" s="333">
        <f t="shared" si="4"/>
        <v>1364</v>
      </c>
      <c r="Z15" s="334">
        <f>4463-3099</f>
        <v>1364</v>
      </c>
      <c r="AA15" s="334">
        <v>0</v>
      </c>
      <c r="AB15" s="334">
        <v>0</v>
      </c>
      <c r="AC15" s="334">
        <v>0</v>
      </c>
      <c r="AD15" s="333">
        <f t="shared" si="5"/>
        <v>17567</v>
      </c>
      <c r="AE15" s="56"/>
      <c r="AF15" s="56"/>
      <c r="AG15" s="56"/>
      <c r="AH15" s="56"/>
    </row>
    <row r="16" spans="1:34" ht="94.9" customHeight="1" outlineLevel="1" x14ac:dyDescent="0.2">
      <c r="A16" s="335" t="s">
        <v>466</v>
      </c>
      <c r="B16" s="331" t="s">
        <v>319</v>
      </c>
      <c r="C16" s="59" t="s">
        <v>59</v>
      </c>
      <c r="D16" s="336" t="s">
        <v>48</v>
      </c>
      <c r="E16" s="333">
        <f t="shared" si="0"/>
        <v>1020</v>
      </c>
      <c r="F16" s="334">
        <v>1020</v>
      </c>
      <c r="G16" s="334">
        <v>0</v>
      </c>
      <c r="H16" s="334">
        <v>0</v>
      </c>
      <c r="I16" s="334">
        <v>0</v>
      </c>
      <c r="J16" s="333">
        <f t="shared" si="1"/>
        <v>1570</v>
      </c>
      <c r="K16" s="334">
        <f>1286+283+1</f>
        <v>1570</v>
      </c>
      <c r="L16" s="334">
        <v>0</v>
      </c>
      <c r="M16" s="334">
        <v>0</v>
      </c>
      <c r="N16" s="334">
        <v>0</v>
      </c>
      <c r="O16" s="333">
        <f t="shared" si="2"/>
        <v>838</v>
      </c>
      <c r="P16" s="334">
        <f>94+838-94</f>
        <v>838</v>
      </c>
      <c r="Q16" s="334">
        <v>0</v>
      </c>
      <c r="R16" s="334">
        <v>0</v>
      </c>
      <c r="S16" s="334">
        <v>0</v>
      </c>
      <c r="T16" s="333">
        <f t="shared" si="3"/>
        <v>7005</v>
      </c>
      <c r="U16" s="334">
        <f>14338+5164-14339+283+1848-289</f>
        <v>7005</v>
      </c>
      <c r="V16" s="334">
        <v>0</v>
      </c>
      <c r="W16" s="334">
        <v>0</v>
      </c>
      <c r="X16" s="334">
        <v>0</v>
      </c>
      <c r="Y16" s="333">
        <f t="shared" si="4"/>
        <v>3948</v>
      </c>
      <c r="Z16" s="334">
        <f>632+230+3086</f>
        <v>3948</v>
      </c>
      <c r="AA16" s="334">
        <v>0</v>
      </c>
      <c r="AB16" s="334">
        <v>0</v>
      </c>
      <c r="AC16" s="334">
        <v>0</v>
      </c>
      <c r="AD16" s="333">
        <f t="shared" si="5"/>
        <v>14381</v>
      </c>
      <c r="AE16" s="56"/>
      <c r="AF16" s="56"/>
      <c r="AG16" s="56"/>
      <c r="AH16" s="56"/>
    </row>
    <row r="17" spans="1:34" ht="96" customHeight="1" outlineLevel="1" x14ac:dyDescent="0.2">
      <c r="A17" s="473" t="s">
        <v>467</v>
      </c>
      <c r="B17" s="467" t="s">
        <v>58</v>
      </c>
      <c r="C17" s="471" t="s">
        <v>51</v>
      </c>
      <c r="D17" s="337" t="s">
        <v>48</v>
      </c>
      <c r="E17" s="333">
        <f t="shared" si="0"/>
        <v>8411</v>
      </c>
      <c r="F17" s="334">
        <v>8411</v>
      </c>
      <c r="G17" s="334">
        <v>0</v>
      </c>
      <c r="H17" s="334">
        <v>0</v>
      </c>
      <c r="I17" s="334">
        <v>0</v>
      </c>
      <c r="J17" s="338">
        <f t="shared" si="1"/>
        <v>3081</v>
      </c>
      <c r="K17" s="339">
        <f>7310-5219+841+153-4</f>
        <v>3081</v>
      </c>
      <c r="L17" s="334">
        <v>0</v>
      </c>
      <c r="M17" s="334">
        <v>0</v>
      </c>
      <c r="N17" s="334">
        <v>0</v>
      </c>
      <c r="O17" s="333">
        <f t="shared" si="2"/>
        <v>4934</v>
      </c>
      <c r="P17" s="334">
        <f>8219-6307+105+772-157-71+3259-1234+348</f>
        <v>4934</v>
      </c>
      <c r="Q17" s="334">
        <v>0</v>
      </c>
      <c r="R17" s="334">
        <v>0</v>
      </c>
      <c r="S17" s="334">
        <v>0</v>
      </c>
      <c r="T17" s="333">
        <f t="shared" si="3"/>
        <v>9931</v>
      </c>
      <c r="U17" s="334">
        <f>4085+4159+70+1617</f>
        <v>9931</v>
      </c>
      <c r="V17" s="334">
        <v>0</v>
      </c>
      <c r="W17" s="334">
        <v>0</v>
      </c>
      <c r="X17" s="334">
        <v>0</v>
      </c>
      <c r="Y17" s="333">
        <f t="shared" si="4"/>
        <v>25474</v>
      </c>
      <c r="Z17" s="334">
        <f>9782+15692</f>
        <v>25474</v>
      </c>
      <c r="AA17" s="334">
        <v>0</v>
      </c>
      <c r="AB17" s="334">
        <v>0</v>
      </c>
      <c r="AC17" s="334">
        <v>0</v>
      </c>
      <c r="AD17" s="333">
        <f t="shared" si="5"/>
        <v>51831</v>
      </c>
      <c r="AE17" s="56"/>
      <c r="AF17" s="56"/>
      <c r="AG17" s="56"/>
      <c r="AH17" s="56"/>
    </row>
    <row r="18" spans="1:34" ht="96" customHeight="1" outlineLevel="1" x14ac:dyDescent="0.2">
      <c r="A18" s="474"/>
      <c r="B18" s="468"/>
      <c r="C18" s="472"/>
      <c r="D18" s="337" t="s">
        <v>588</v>
      </c>
      <c r="E18" s="333">
        <v>0</v>
      </c>
      <c r="F18" s="334">
        <v>0</v>
      </c>
      <c r="G18" s="334">
        <v>0</v>
      </c>
      <c r="H18" s="334">
        <v>0</v>
      </c>
      <c r="I18" s="334">
        <v>0</v>
      </c>
      <c r="J18" s="338">
        <v>0</v>
      </c>
      <c r="K18" s="339">
        <v>0</v>
      </c>
      <c r="L18" s="334">
        <v>0</v>
      </c>
      <c r="M18" s="334">
        <v>0</v>
      </c>
      <c r="N18" s="334">
        <v>0</v>
      </c>
      <c r="O18" s="333">
        <f t="shared" si="2"/>
        <v>3417</v>
      </c>
      <c r="P18" s="334">
        <f>3417</f>
        <v>3417</v>
      </c>
      <c r="Q18" s="334">
        <v>0</v>
      </c>
      <c r="R18" s="334">
        <v>0</v>
      </c>
      <c r="S18" s="334">
        <v>0</v>
      </c>
      <c r="T18" s="333">
        <v>0</v>
      </c>
      <c r="U18" s="334">
        <v>0</v>
      </c>
      <c r="V18" s="334">
        <v>0</v>
      </c>
      <c r="W18" s="334">
        <v>0</v>
      </c>
      <c r="X18" s="334">
        <v>0</v>
      </c>
      <c r="Y18" s="333">
        <v>0</v>
      </c>
      <c r="Z18" s="334">
        <v>0</v>
      </c>
      <c r="AA18" s="334">
        <v>0</v>
      </c>
      <c r="AB18" s="334">
        <v>0</v>
      </c>
      <c r="AC18" s="334">
        <v>0</v>
      </c>
      <c r="AD18" s="333">
        <f t="shared" si="5"/>
        <v>3417</v>
      </c>
      <c r="AE18" s="56"/>
      <c r="AF18" s="56"/>
      <c r="AG18" s="56"/>
      <c r="AH18" s="56"/>
    </row>
    <row r="19" spans="1:34" ht="135.75" customHeight="1" outlineLevel="1" x14ac:dyDescent="0.2">
      <c r="A19" s="335" t="s">
        <v>468</v>
      </c>
      <c r="B19" s="331" t="s">
        <v>321</v>
      </c>
      <c r="C19" s="59" t="s">
        <v>51</v>
      </c>
      <c r="D19" s="336" t="s">
        <v>48</v>
      </c>
      <c r="E19" s="333">
        <f t="shared" si="0"/>
        <v>817</v>
      </c>
      <c r="F19" s="334">
        <v>817</v>
      </c>
      <c r="G19" s="334">
        <v>0</v>
      </c>
      <c r="H19" s="334">
        <v>0</v>
      </c>
      <c r="I19" s="334">
        <v>0</v>
      </c>
      <c r="J19" s="333">
        <f t="shared" si="1"/>
        <v>2512</v>
      </c>
      <c r="K19" s="334">
        <f>1695+817</f>
        <v>2512</v>
      </c>
      <c r="L19" s="334">
        <v>0</v>
      </c>
      <c r="M19" s="334">
        <v>0</v>
      </c>
      <c r="N19" s="334">
        <v>0</v>
      </c>
      <c r="O19" s="333">
        <f t="shared" si="2"/>
        <v>4617</v>
      </c>
      <c r="P19" s="334">
        <f>615+578+1853+2512-486-423-32</f>
        <v>4617</v>
      </c>
      <c r="Q19" s="334">
        <v>0</v>
      </c>
      <c r="R19" s="334">
        <v>0</v>
      </c>
      <c r="S19" s="334">
        <v>0</v>
      </c>
      <c r="T19" s="333">
        <f t="shared" si="3"/>
        <v>9095</v>
      </c>
      <c r="U19" s="334">
        <f>3573+4915+817-119-71-20</f>
        <v>9095</v>
      </c>
      <c r="V19" s="334">
        <v>0</v>
      </c>
      <c r="W19" s="334">
        <v>0</v>
      </c>
      <c r="X19" s="334">
        <v>0</v>
      </c>
      <c r="Y19" s="333">
        <f t="shared" si="4"/>
        <v>0</v>
      </c>
      <c r="Z19" s="334">
        <f>3719-3719</f>
        <v>0</v>
      </c>
      <c r="AA19" s="334">
        <v>0</v>
      </c>
      <c r="AB19" s="334">
        <v>0</v>
      </c>
      <c r="AC19" s="334">
        <v>0</v>
      </c>
      <c r="AD19" s="333">
        <f t="shared" si="5"/>
        <v>17041</v>
      </c>
      <c r="AE19" s="56"/>
      <c r="AF19" s="56"/>
      <c r="AG19" s="56"/>
      <c r="AH19" s="56"/>
    </row>
    <row r="20" spans="1:34" ht="135.75" customHeight="1" outlineLevel="1" x14ac:dyDescent="0.2">
      <c r="A20" s="335" t="s">
        <v>469</v>
      </c>
      <c r="B20" s="331" t="s">
        <v>372</v>
      </c>
      <c r="C20" s="59" t="s">
        <v>639</v>
      </c>
      <c r="D20" s="336" t="s">
        <v>528</v>
      </c>
      <c r="E20" s="333">
        <f t="shared" si="0"/>
        <v>0</v>
      </c>
      <c r="F20" s="334">
        <v>0</v>
      </c>
      <c r="G20" s="334">
        <v>0</v>
      </c>
      <c r="H20" s="334">
        <v>0</v>
      </c>
      <c r="I20" s="334">
        <v>0</v>
      </c>
      <c r="J20" s="333">
        <f t="shared" si="1"/>
        <v>0</v>
      </c>
      <c r="K20" s="334">
        <f>8629-8629</f>
        <v>0</v>
      </c>
      <c r="L20" s="334">
        <v>0</v>
      </c>
      <c r="M20" s="334">
        <v>0</v>
      </c>
      <c r="N20" s="334">
        <v>0</v>
      </c>
      <c r="O20" s="333">
        <f t="shared" si="2"/>
        <v>10733</v>
      </c>
      <c r="P20" s="334">
        <v>10733</v>
      </c>
      <c r="Q20" s="334">
        <v>0</v>
      </c>
      <c r="R20" s="334">
        <v>0</v>
      </c>
      <c r="S20" s="334">
        <v>0</v>
      </c>
      <c r="T20" s="333">
        <f t="shared" si="3"/>
        <v>0</v>
      </c>
      <c r="U20" s="334">
        <v>0</v>
      </c>
      <c r="V20" s="334">
        <v>0</v>
      </c>
      <c r="W20" s="334">
        <v>0</v>
      </c>
      <c r="X20" s="334">
        <v>0</v>
      </c>
      <c r="Y20" s="333">
        <f t="shared" si="4"/>
        <v>0</v>
      </c>
      <c r="Z20" s="334">
        <v>0</v>
      </c>
      <c r="AA20" s="334">
        <v>0</v>
      </c>
      <c r="AB20" s="334">
        <v>0</v>
      </c>
      <c r="AC20" s="334">
        <v>0</v>
      </c>
      <c r="AD20" s="333">
        <f>E20+J20+O20+T20+Y20</f>
        <v>10733</v>
      </c>
      <c r="AE20" s="56"/>
      <c r="AF20" s="56"/>
      <c r="AG20" s="56"/>
      <c r="AH20" s="56"/>
    </row>
    <row r="21" spans="1:34" ht="132" customHeight="1" outlineLevel="1" x14ac:dyDescent="0.2">
      <c r="A21" s="335" t="s">
        <v>562</v>
      </c>
      <c r="B21" s="340" t="s">
        <v>567</v>
      </c>
      <c r="C21" s="59" t="s">
        <v>51</v>
      </c>
      <c r="D21" s="341" t="s">
        <v>528</v>
      </c>
      <c r="E21" s="333">
        <f t="shared" si="0"/>
        <v>0</v>
      </c>
      <c r="F21" s="334">
        <v>0</v>
      </c>
      <c r="G21" s="334">
        <v>0</v>
      </c>
      <c r="H21" s="334">
        <v>0</v>
      </c>
      <c r="I21" s="334">
        <v>0</v>
      </c>
      <c r="J21" s="333">
        <f t="shared" si="1"/>
        <v>0</v>
      </c>
      <c r="K21" s="334">
        <f>8629-8629</f>
        <v>0</v>
      </c>
      <c r="L21" s="334">
        <v>0</v>
      </c>
      <c r="M21" s="334">
        <v>0</v>
      </c>
      <c r="N21" s="334">
        <v>0</v>
      </c>
      <c r="O21" s="333">
        <f>SUM(P21:S21)</f>
        <v>296</v>
      </c>
      <c r="P21" s="334">
        <f>486-190</f>
        <v>296</v>
      </c>
      <c r="Q21" s="334">
        <v>0</v>
      </c>
      <c r="R21" s="334">
        <v>0</v>
      </c>
      <c r="S21" s="334">
        <v>0</v>
      </c>
      <c r="T21" s="333">
        <f>SUM(U21:X21)</f>
        <v>0</v>
      </c>
      <c r="U21" s="334">
        <v>0</v>
      </c>
      <c r="V21" s="334">
        <v>0</v>
      </c>
      <c r="W21" s="334">
        <v>0</v>
      </c>
      <c r="X21" s="334">
        <v>0</v>
      </c>
      <c r="Y21" s="333">
        <f>SUM(Z21:AC21)</f>
        <v>0</v>
      </c>
      <c r="Z21" s="334">
        <v>0</v>
      </c>
      <c r="AA21" s="334">
        <v>0</v>
      </c>
      <c r="AB21" s="334">
        <v>0</v>
      </c>
      <c r="AC21" s="334">
        <v>0</v>
      </c>
      <c r="AD21" s="333">
        <f>E21+J21+O21+T21+Y21</f>
        <v>296</v>
      </c>
      <c r="AE21" s="56"/>
      <c r="AF21" s="56"/>
      <c r="AG21" s="56"/>
      <c r="AH21" s="56"/>
    </row>
    <row r="22" spans="1:34" ht="132" customHeight="1" outlineLevel="1" x14ac:dyDescent="0.2">
      <c r="A22" s="335" t="s">
        <v>600</v>
      </c>
      <c r="B22" s="342" t="s">
        <v>626</v>
      </c>
      <c r="C22" s="59" t="s">
        <v>51</v>
      </c>
      <c r="D22" s="341" t="s">
        <v>621</v>
      </c>
      <c r="E22" s="333">
        <v>0</v>
      </c>
      <c r="F22" s="334">
        <v>0</v>
      </c>
      <c r="G22" s="334">
        <v>0</v>
      </c>
      <c r="H22" s="334">
        <v>0</v>
      </c>
      <c r="I22" s="334">
        <v>0</v>
      </c>
      <c r="J22" s="333">
        <v>0</v>
      </c>
      <c r="K22" s="334">
        <v>0</v>
      </c>
      <c r="L22" s="334">
        <v>0</v>
      </c>
      <c r="M22" s="334">
        <v>0</v>
      </c>
      <c r="N22" s="334">
        <v>0</v>
      </c>
      <c r="O22" s="333">
        <v>0</v>
      </c>
      <c r="P22" s="334">
        <v>0</v>
      </c>
      <c r="Q22" s="334">
        <v>0</v>
      </c>
      <c r="R22" s="334">
        <v>0</v>
      </c>
      <c r="S22" s="334">
        <v>0</v>
      </c>
      <c r="T22" s="333">
        <f>SUM(U22:X22)</f>
        <v>993</v>
      </c>
      <c r="U22" s="334">
        <v>993</v>
      </c>
      <c r="V22" s="334">
        <v>0</v>
      </c>
      <c r="W22" s="334">
        <v>0</v>
      </c>
      <c r="X22" s="334">
        <v>0</v>
      </c>
      <c r="Y22" s="333">
        <f>SUM(Z22:AC22)</f>
        <v>1000</v>
      </c>
      <c r="Z22" s="334">
        <v>1000</v>
      </c>
      <c r="AA22" s="334">
        <v>0</v>
      </c>
      <c r="AB22" s="334">
        <v>0</v>
      </c>
      <c r="AC22" s="334">
        <v>0</v>
      </c>
      <c r="AD22" s="333">
        <f>E22+J22+O22+T22+Y22</f>
        <v>1993</v>
      </c>
      <c r="AE22" s="56"/>
      <c r="AF22" s="56"/>
      <c r="AG22" s="56"/>
      <c r="AH22" s="56"/>
    </row>
    <row r="23" spans="1:34" ht="40.9" customHeight="1" outlineLevel="1" x14ac:dyDescent="0.2">
      <c r="A23" s="328" t="s">
        <v>10</v>
      </c>
      <c r="B23" s="461" t="s">
        <v>470</v>
      </c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5"/>
      <c r="AE23" s="56"/>
      <c r="AF23" s="56"/>
      <c r="AG23" s="56"/>
      <c r="AH23" s="56"/>
    </row>
    <row r="24" spans="1:34" ht="118.9" customHeight="1" outlineLevel="1" x14ac:dyDescent="0.2">
      <c r="A24" s="330" t="s">
        <v>11</v>
      </c>
      <c r="B24" s="331" t="s">
        <v>227</v>
      </c>
      <c r="C24" s="59" t="s">
        <v>640</v>
      </c>
      <c r="D24" s="332" t="s">
        <v>233</v>
      </c>
      <c r="E24" s="333">
        <f>SUM(F24:I24)</f>
        <v>51269</v>
      </c>
      <c r="F24" s="334">
        <f>46195+1408+1630+2036</f>
        <v>51269</v>
      </c>
      <c r="G24" s="334">
        <v>0</v>
      </c>
      <c r="H24" s="334">
        <v>0</v>
      </c>
      <c r="I24" s="334">
        <v>0</v>
      </c>
      <c r="J24" s="333">
        <f>SUM(K24:N24)</f>
        <v>13924</v>
      </c>
      <c r="K24" s="334">
        <f>11888+2036</f>
        <v>13924</v>
      </c>
      <c r="L24" s="334">
        <v>0</v>
      </c>
      <c r="M24" s="334">
        <v>0</v>
      </c>
      <c r="N24" s="334">
        <v>0</v>
      </c>
      <c r="O24" s="333">
        <f t="shared" ref="O24:O33" si="6">SUM(P24:S24)</f>
        <v>35262</v>
      </c>
      <c r="P24" s="334">
        <f>11888+2036+1353+2370+4401+11012+1873+329</f>
        <v>35262</v>
      </c>
      <c r="Q24" s="334">
        <v>0</v>
      </c>
      <c r="R24" s="334">
        <v>0</v>
      </c>
      <c r="S24" s="334">
        <v>0</v>
      </c>
      <c r="T24" s="333">
        <f t="shared" ref="T24:T32" si="7">SUM(U24:X24)</f>
        <v>44903</v>
      </c>
      <c r="U24" s="334">
        <f>13924-11424+9529+1838+109+31404-2310+2310-477</f>
        <v>44903</v>
      </c>
      <c r="V24" s="334">
        <v>0</v>
      </c>
      <c r="W24" s="334">
        <v>0</v>
      </c>
      <c r="X24" s="334">
        <v>0</v>
      </c>
      <c r="Y24" s="333">
        <f t="shared" ref="Y24:Y32" si="8">SUM(Z24:AC24)</f>
        <v>10769</v>
      </c>
      <c r="Z24" s="334">
        <f>29000+781-27281-2+8271</f>
        <v>10769</v>
      </c>
      <c r="AA24" s="334">
        <v>0</v>
      </c>
      <c r="AB24" s="334">
        <v>0</v>
      </c>
      <c r="AC24" s="334">
        <v>0</v>
      </c>
      <c r="AD24" s="333">
        <f t="shared" ref="AD24:AD34" si="9">E24+J24+O24+T24+Y24</f>
        <v>156127</v>
      </c>
      <c r="AE24" s="56"/>
      <c r="AF24" s="56"/>
      <c r="AG24" s="56"/>
      <c r="AH24" s="56"/>
    </row>
    <row r="25" spans="1:34" ht="126" customHeight="1" outlineLevel="1" x14ac:dyDescent="0.2">
      <c r="A25" s="147" t="s">
        <v>12</v>
      </c>
      <c r="B25" s="331" t="s">
        <v>57</v>
      </c>
      <c r="C25" s="59" t="s">
        <v>51</v>
      </c>
      <c r="D25" s="332" t="s">
        <v>584</v>
      </c>
      <c r="E25" s="333">
        <f>F25+G25+H25+I25</f>
        <v>0</v>
      </c>
      <c r="F25" s="334">
        <v>0</v>
      </c>
      <c r="G25" s="334">
        <v>0</v>
      </c>
      <c r="H25" s="334">
        <v>0</v>
      </c>
      <c r="I25" s="334">
        <v>0</v>
      </c>
      <c r="J25" s="333">
        <f>K25+L25</f>
        <v>0</v>
      </c>
      <c r="K25" s="334">
        <v>0</v>
      </c>
      <c r="L25" s="334">
        <v>0</v>
      </c>
      <c r="M25" s="334">
        <v>0</v>
      </c>
      <c r="N25" s="334">
        <v>0</v>
      </c>
      <c r="O25" s="333">
        <f t="shared" si="6"/>
        <v>0</v>
      </c>
      <c r="P25" s="334">
        <f>1417-578-583-29-214-13</f>
        <v>0</v>
      </c>
      <c r="Q25" s="334">
        <v>0</v>
      </c>
      <c r="R25" s="334">
        <v>0</v>
      </c>
      <c r="S25" s="334">
        <v>0</v>
      </c>
      <c r="T25" s="333">
        <f t="shared" si="7"/>
        <v>866</v>
      </c>
      <c r="U25" s="334">
        <f>1417+3469-4281-10+271</f>
        <v>866</v>
      </c>
      <c r="V25" s="334">
        <v>0</v>
      </c>
      <c r="W25" s="334">
        <v>0</v>
      </c>
      <c r="X25" s="334">
        <v>0</v>
      </c>
      <c r="Y25" s="333">
        <f t="shared" si="8"/>
        <v>187</v>
      </c>
      <c r="Z25" s="334">
        <f>256-69</f>
        <v>187</v>
      </c>
      <c r="AA25" s="334">
        <v>0</v>
      </c>
      <c r="AB25" s="334">
        <v>0</v>
      </c>
      <c r="AC25" s="334">
        <v>0</v>
      </c>
      <c r="AD25" s="333">
        <f t="shared" si="9"/>
        <v>1053</v>
      </c>
      <c r="AE25" s="56"/>
      <c r="AF25" s="56"/>
      <c r="AG25" s="56"/>
      <c r="AH25" s="56"/>
    </row>
    <row r="26" spans="1:34" ht="223.5" customHeight="1" outlineLevel="1" x14ac:dyDescent="0.2">
      <c r="A26" s="335" t="s">
        <v>17</v>
      </c>
      <c r="B26" s="331" t="s">
        <v>209</v>
      </c>
      <c r="C26" s="59" t="s">
        <v>664</v>
      </c>
      <c r="D26" s="332" t="s">
        <v>667</v>
      </c>
      <c r="E26" s="333">
        <f>F26+G26+H26+I26</f>
        <v>5379</v>
      </c>
      <c r="F26" s="334">
        <v>5379</v>
      </c>
      <c r="G26" s="334">
        <v>0</v>
      </c>
      <c r="H26" s="334">
        <v>0</v>
      </c>
      <c r="I26" s="334">
        <v>0</v>
      </c>
      <c r="J26" s="338">
        <f>K26+L26+M26+N26</f>
        <v>8539</v>
      </c>
      <c r="K26" s="339">
        <f>5209+3483-153</f>
        <v>8539</v>
      </c>
      <c r="L26" s="334">
        <v>0</v>
      </c>
      <c r="M26" s="334">
        <v>0</v>
      </c>
      <c r="N26" s="334">
        <v>0</v>
      </c>
      <c r="O26" s="333">
        <f t="shared" si="6"/>
        <v>1149</v>
      </c>
      <c r="P26" s="334">
        <f>12265-10932-82-20-82</f>
        <v>1149</v>
      </c>
      <c r="Q26" s="334">
        <v>0</v>
      </c>
      <c r="R26" s="334">
        <v>0</v>
      </c>
      <c r="S26" s="334">
        <v>0</v>
      </c>
      <c r="T26" s="333">
        <f t="shared" si="7"/>
        <v>18810</v>
      </c>
      <c r="U26" s="334">
        <f>12265-12265+18810</f>
        <v>18810</v>
      </c>
      <c r="V26" s="334">
        <v>0</v>
      </c>
      <c r="W26" s="334">
        <v>0</v>
      </c>
      <c r="X26" s="334">
        <v>0</v>
      </c>
      <c r="Y26" s="333">
        <f t="shared" si="8"/>
        <v>0</v>
      </c>
      <c r="Z26" s="334">
        <v>0</v>
      </c>
      <c r="AA26" s="334">
        <v>0</v>
      </c>
      <c r="AB26" s="334">
        <v>0</v>
      </c>
      <c r="AC26" s="334">
        <v>0</v>
      </c>
      <c r="AD26" s="333">
        <f t="shared" si="9"/>
        <v>33877</v>
      </c>
      <c r="AE26" s="56"/>
      <c r="AF26" s="56"/>
      <c r="AG26" s="56"/>
      <c r="AH26" s="56"/>
    </row>
    <row r="27" spans="1:34" ht="109.5" customHeight="1" outlineLevel="1" x14ac:dyDescent="0.2">
      <c r="A27" s="335" t="s">
        <v>471</v>
      </c>
      <c r="B27" s="331" t="s">
        <v>232</v>
      </c>
      <c r="C27" s="59" t="s">
        <v>51</v>
      </c>
      <c r="D27" s="332" t="s">
        <v>578</v>
      </c>
      <c r="E27" s="333">
        <v>0</v>
      </c>
      <c r="F27" s="334">
        <v>0</v>
      </c>
      <c r="G27" s="334">
        <v>0</v>
      </c>
      <c r="H27" s="334">
        <v>0</v>
      </c>
      <c r="I27" s="334">
        <v>0</v>
      </c>
      <c r="J27" s="333">
        <f>K27+L27</f>
        <v>65</v>
      </c>
      <c r="K27" s="334">
        <v>65</v>
      </c>
      <c r="L27" s="334">
        <v>0</v>
      </c>
      <c r="M27" s="334">
        <v>0</v>
      </c>
      <c r="N27" s="334">
        <v>0</v>
      </c>
      <c r="O27" s="333">
        <f t="shared" si="6"/>
        <v>1041</v>
      </c>
      <c r="P27" s="334">
        <f>1076-35</f>
        <v>1041</v>
      </c>
      <c r="Q27" s="334">
        <v>0</v>
      </c>
      <c r="R27" s="334">
        <v>0</v>
      </c>
      <c r="S27" s="334">
        <v>0</v>
      </c>
      <c r="T27" s="333">
        <f t="shared" si="7"/>
        <v>0</v>
      </c>
      <c r="U27" s="334">
        <f>1752-1752</f>
        <v>0</v>
      </c>
      <c r="V27" s="334">
        <v>0</v>
      </c>
      <c r="W27" s="334">
        <v>0</v>
      </c>
      <c r="X27" s="334">
        <v>0</v>
      </c>
      <c r="Y27" s="333">
        <f t="shared" si="8"/>
        <v>0</v>
      </c>
      <c r="Z27" s="334">
        <f>2170-2170</f>
        <v>0</v>
      </c>
      <c r="AA27" s="334">
        <v>0</v>
      </c>
      <c r="AB27" s="334">
        <v>0</v>
      </c>
      <c r="AC27" s="334">
        <v>0</v>
      </c>
      <c r="AD27" s="333">
        <f t="shared" si="9"/>
        <v>1106</v>
      </c>
      <c r="AE27" s="56"/>
      <c r="AF27" s="56"/>
      <c r="AG27" s="56"/>
      <c r="AH27" s="56"/>
    </row>
    <row r="28" spans="1:34" ht="82.9" customHeight="1" outlineLevel="1" x14ac:dyDescent="0.2">
      <c r="A28" s="335" t="s">
        <v>472</v>
      </c>
      <c r="B28" s="331" t="s">
        <v>214</v>
      </c>
      <c r="C28" s="59" t="s">
        <v>51</v>
      </c>
      <c r="D28" s="332" t="s">
        <v>526</v>
      </c>
      <c r="E28" s="333">
        <f>F28+G28+H28+I28</f>
        <v>3478</v>
      </c>
      <c r="F28" s="334">
        <v>3478</v>
      </c>
      <c r="G28" s="334">
        <v>0</v>
      </c>
      <c r="H28" s="334">
        <v>0</v>
      </c>
      <c r="I28" s="334">
        <v>0</v>
      </c>
      <c r="J28" s="333">
        <f>K28+L28+M28+N28</f>
        <v>797</v>
      </c>
      <c r="K28" s="334">
        <f>4667-3870</f>
        <v>797</v>
      </c>
      <c r="L28" s="334">
        <v>0</v>
      </c>
      <c r="M28" s="334">
        <v>0</v>
      </c>
      <c r="N28" s="334">
        <v>0</v>
      </c>
      <c r="O28" s="333">
        <f t="shared" si="6"/>
        <v>2723</v>
      </c>
      <c r="P28" s="334">
        <f>57-57+2619+104</f>
        <v>2723</v>
      </c>
      <c r="Q28" s="334">
        <v>0</v>
      </c>
      <c r="R28" s="334">
        <v>0</v>
      </c>
      <c r="S28" s="334">
        <v>0</v>
      </c>
      <c r="T28" s="333">
        <f t="shared" si="7"/>
        <v>0</v>
      </c>
      <c r="U28" s="334">
        <v>0</v>
      </c>
      <c r="V28" s="334">
        <v>0</v>
      </c>
      <c r="W28" s="334">
        <v>0</v>
      </c>
      <c r="X28" s="334">
        <v>0</v>
      </c>
      <c r="Y28" s="333">
        <f t="shared" si="8"/>
        <v>0</v>
      </c>
      <c r="Z28" s="334">
        <v>0</v>
      </c>
      <c r="AA28" s="334">
        <v>0</v>
      </c>
      <c r="AB28" s="334">
        <v>0</v>
      </c>
      <c r="AC28" s="334">
        <v>0</v>
      </c>
      <c r="AD28" s="333">
        <f t="shared" si="9"/>
        <v>6998</v>
      </c>
      <c r="AE28" s="56"/>
      <c r="AF28" s="56"/>
      <c r="AG28" s="56"/>
      <c r="AH28" s="56"/>
    </row>
    <row r="29" spans="1:34" ht="94.9" customHeight="1" outlineLevel="1" x14ac:dyDescent="0.2">
      <c r="A29" s="335" t="s">
        <v>473</v>
      </c>
      <c r="B29" s="331" t="s">
        <v>229</v>
      </c>
      <c r="C29" s="59" t="s">
        <v>641</v>
      </c>
      <c r="D29" s="331" t="s">
        <v>48</v>
      </c>
      <c r="E29" s="333">
        <f>F29</f>
        <v>1700</v>
      </c>
      <c r="F29" s="334">
        <v>1700</v>
      </c>
      <c r="G29" s="334">
        <v>0</v>
      </c>
      <c r="H29" s="334">
        <v>0</v>
      </c>
      <c r="I29" s="334">
        <v>0</v>
      </c>
      <c r="J29" s="333">
        <f>K29</f>
        <v>2742</v>
      </c>
      <c r="K29" s="334">
        <f>2000+147+411+184</f>
        <v>2742</v>
      </c>
      <c r="L29" s="334">
        <v>0</v>
      </c>
      <c r="M29" s="334">
        <v>0</v>
      </c>
      <c r="N29" s="334">
        <v>0</v>
      </c>
      <c r="O29" s="333">
        <f t="shared" si="6"/>
        <v>2996</v>
      </c>
      <c r="P29" s="334">
        <f>2000+996</f>
        <v>2996</v>
      </c>
      <c r="Q29" s="334">
        <v>0</v>
      </c>
      <c r="R29" s="334">
        <v>0</v>
      </c>
      <c r="S29" s="334">
        <v>0</v>
      </c>
      <c r="T29" s="333">
        <f t="shared" si="7"/>
        <v>5529</v>
      </c>
      <c r="U29" s="334">
        <f>2000+3529+1838-1838</f>
        <v>5529</v>
      </c>
      <c r="V29" s="334">
        <v>0</v>
      </c>
      <c r="W29" s="334">
        <v>0</v>
      </c>
      <c r="X29" s="334">
        <v>0</v>
      </c>
      <c r="Y29" s="333">
        <f t="shared" si="8"/>
        <v>0</v>
      </c>
      <c r="Z29" s="334">
        <f>4500+1029+2742-8271</f>
        <v>0</v>
      </c>
      <c r="AA29" s="334">
        <v>0</v>
      </c>
      <c r="AB29" s="334">
        <v>0</v>
      </c>
      <c r="AC29" s="334">
        <v>0</v>
      </c>
      <c r="AD29" s="333">
        <f t="shared" si="9"/>
        <v>12967</v>
      </c>
      <c r="AE29" s="56"/>
      <c r="AF29" s="56"/>
      <c r="AG29" s="56"/>
      <c r="AH29" s="56"/>
    </row>
    <row r="30" spans="1:34" ht="100.9" customHeight="1" outlineLevel="1" x14ac:dyDescent="0.2">
      <c r="A30" s="335" t="s">
        <v>474</v>
      </c>
      <c r="B30" s="331" t="s">
        <v>55</v>
      </c>
      <c r="C30" s="59" t="s">
        <v>665</v>
      </c>
      <c r="D30" s="331">
        <v>2025</v>
      </c>
      <c r="E30" s="333">
        <f>SUM(F30:I30)</f>
        <v>0</v>
      </c>
      <c r="F30" s="334">
        <v>0</v>
      </c>
      <c r="G30" s="334">
        <v>0</v>
      </c>
      <c r="H30" s="334">
        <v>0</v>
      </c>
      <c r="I30" s="334">
        <v>0</v>
      </c>
      <c r="J30" s="333">
        <f>SUM(K30:N30)</f>
        <v>0</v>
      </c>
      <c r="K30" s="334">
        <v>0</v>
      </c>
      <c r="L30" s="334">
        <v>0</v>
      </c>
      <c r="M30" s="334">
        <v>0</v>
      </c>
      <c r="N30" s="334">
        <v>0</v>
      </c>
      <c r="O30" s="333">
        <f t="shared" si="6"/>
        <v>0</v>
      </c>
      <c r="P30" s="334">
        <v>0</v>
      </c>
      <c r="Q30" s="334">
        <v>0</v>
      </c>
      <c r="R30" s="334">
        <v>0</v>
      </c>
      <c r="S30" s="334">
        <v>0</v>
      </c>
      <c r="T30" s="333">
        <f t="shared" si="7"/>
        <v>0</v>
      </c>
      <c r="U30" s="334">
        <v>0</v>
      </c>
      <c r="V30" s="334">
        <v>0</v>
      </c>
      <c r="W30" s="334">
        <v>0</v>
      </c>
      <c r="X30" s="334">
        <v>0</v>
      </c>
      <c r="Y30" s="333">
        <f t="shared" si="8"/>
        <v>0</v>
      </c>
      <c r="Z30" s="334">
        <f>893-893</f>
        <v>0</v>
      </c>
      <c r="AA30" s="334">
        <v>0</v>
      </c>
      <c r="AB30" s="334">
        <v>0</v>
      </c>
      <c r="AC30" s="334">
        <v>0</v>
      </c>
      <c r="AD30" s="333">
        <f t="shared" si="9"/>
        <v>0</v>
      </c>
      <c r="AE30" s="56"/>
      <c r="AF30" s="56"/>
      <c r="AG30" s="56"/>
      <c r="AH30" s="56"/>
    </row>
    <row r="31" spans="1:34" ht="112.9" customHeight="1" outlineLevel="1" x14ac:dyDescent="0.2">
      <c r="A31" s="335" t="s">
        <v>475</v>
      </c>
      <c r="B31" s="331" t="s">
        <v>54</v>
      </c>
      <c r="C31" s="59" t="s">
        <v>641</v>
      </c>
      <c r="D31" s="337" t="s">
        <v>48</v>
      </c>
      <c r="E31" s="333">
        <f>SUM(F31:I31)</f>
        <v>3594</v>
      </c>
      <c r="F31" s="334">
        <v>3594</v>
      </c>
      <c r="G31" s="334">
        <v>0</v>
      </c>
      <c r="H31" s="334">
        <v>0</v>
      </c>
      <c r="I31" s="334">
        <v>0</v>
      </c>
      <c r="J31" s="333">
        <f>SUM(K31:N31)</f>
        <v>3788</v>
      </c>
      <c r="K31" s="334">
        <f>4176-388</f>
        <v>3788</v>
      </c>
      <c r="L31" s="334">
        <v>0</v>
      </c>
      <c r="M31" s="334">
        <v>0</v>
      </c>
      <c r="N31" s="334">
        <v>0</v>
      </c>
      <c r="O31" s="333">
        <f t="shared" si="6"/>
        <v>5988</v>
      </c>
      <c r="P31" s="334">
        <f>4575-399+1812</f>
        <v>5988</v>
      </c>
      <c r="Q31" s="334">
        <v>0</v>
      </c>
      <c r="R31" s="334">
        <v>0</v>
      </c>
      <c r="S31" s="334">
        <v>0</v>
      </c>
      <c r="T31" s="333">
        <f t="shared" si="7"/>
        <v>3108</v>
      </c>
      <c r="U31" s="334">
        <f>4575-233-4342+5347-1608-95-536</f>
        <v>3108</v>
      </c>
      <c r="V31" s="334">
        <v>0</v>
      </c>
      <c r="W31" s="334">
        <v>0</v>
      </c>
      <c r="X31" s="334">
        <v>0</v>
      </c>
      <c r="Y31" s="333">
        <f t="shared" si="8"/>
        <v>5509</v>
      </c>
      <c r="Z31" s="334">
        <f>4176+166-1768+2935</f>
        <v>5509</v>
      </c>
      <c r="AA31" s="334">
        <v>0</v>
      </c>
      <c r="AB31" s="334">
        <v>0</v>
      </c>
      <c r="AC31" s="334">
        <v>0</v>
      </c>
      <c r="AD31" s="333">
        <f t="shared" si="9"/>
        <v>21987</v>
      </c>
      <c r="AE31" s="56"/>
      <c r="AF31" s="56"/>
      <c r="AG31" s="56"/>
      <c r="AH31" s="56"/>
    </row>
    <row r="32" spans="1:34" ht="117.75" customHeight="1" outlineLevel="1" x14ac:dyDescent="0.2">
      <c r="A32" s="335" t="s">
        <v>476</v>
      </c>
      <c r="B32" s="331" t="s">
        <v>448</v>
      </c>
      <c r="C32" s="59" t="s">
        <v>51</v>
      </c>
      <c r="D32" s="331" t="s">
        <v>527</v>
      </c>
      <c r="E32" s="333">
        <f>SUM(F32:I32)</f>
        <v>0</v>
      </c>
      <c r="F32" s="334">
        <v>0</v>
      </c>
      <c r="G32" s="334">
        <v>0</v>
      </c>
      <c r="H32" s="334">
        <v>0</v>
      </c>
      <c r="I32" s="334">
        <v>0</v>
      </c>
      <c r="J32" s="333">
        <f>SUM(K32:N32)</f>
        <v>716</v>
      </c>
      <c r="K32" s="334">
        <f>1557-841</f>
        <v>716</v>
      </c>
      <c r="L32" s="334">
        <v>0</v>
      </c>
      <c r="M32" s="334">
        <v>0</v>
      </c>
      <c r="N32" s="334">
        <v>0</v>
      </c>
      <c r="O32" s="333">
        <f t="shared" si="6"/>
        <v>1049</v>
      </c>
      <c r="P32" s="334">
        <f>117+684-117-486+518+687+161+23+130-668</f>
        <v>1049</v>
      </c>
      <c r="Q32" s="334">
        <v>0</v>
      </c>
      <c r="R32" s="334">
        <v>0</v>
      </c>
      <c r="S32" s="334">
        <v>0</v>
      </c>
      <c r="T32" s="333">
        <f t="shared" si="7"/>
        <v>5072</v>
      </c>
      <c r="U32" s="334">
        <f>716-113+4656-408+221</f>
        <v>5072</v>
      </c>
      <c r="V32" s="334">
        <v>0</v>
      </c>
      <c r="W32" s="334">
        <v>0</v>
      </c>
      <c r="X32" s="334">
        <v>0</v>
      </c>
      <c r="Y32" s="333">
        <f t="shared" si="8"/>
        <v>0</v>
      </c>
      <c r="Z32" s="334">
        <v>0</v>
      </c>
      <c r="AA32" s="334">
        <v>0</v>
      </c>
      <c r="AB32" s="334">
        <v>0</v>
      </c>
      <c r="AC32" s="334">
        <v>0</v>
      </c>
      <c r="AD32" s="333">
        <f t="shared" si="9"/>
        <v>6837</v>
      </c>
      <c r="AE32" s="56"/>
      <c r="AF32" s="56"/>
      <c r="AG32" s="56"/>
      <c r="AH32" s="56"/>
    </row>
    <row r="33" spans="1:34" ht="225" customHeight="1" outlineLevel="1" x14ac:dyDescent="0.2">
      <c r="A33" s="335" t="s">
        <v>477</v>
      </c>
      <c r="B33" s="331" t="s">
        <v>645</v>
      </c>
      <c r="C33" s="59" t="s">
        <v>664</v>
      </c>
      <c r="D33" s="331" t="s">
        <v>527</v>
      </c>
      <c r="E33" s="333">
        <f>F33+G33+H33+I33</f>
        <v>0</v>
      </c>
      <c r="F33" s="334">
        <v>0</v>
      </c>
      <c r="G33" s="334">
        <v>0</v>
      </c>
      <c r="H33" s="334">
        <v>0</v>
      </c>
      <c r="I33" s="334">
        <v>0</v>
      </c>
      <c r="J33" s="333">
        <f>K33+L33+M33+N33</f>
        <v>314</v>
      </c>
      <c r="K33" s="334">
        <v>314</v>
      </c>
      <c r="L33" s="334">
        <v>0</v>
      </c>
      <c r="M33" s="334">
        <v>0</v>
      </c>
      <c r="N33" s="334">
        <v>0</v>
      </c>
      <c r="O33" s="333">
        <f t="shared" si="6"/>
        <v>314</v>
      </c>
      <c r="P33" s="334">
        <v>314</v>
      </c>
      <c r="Q33" s="334">
        <v>0</v>
      </c>
      <c r="R33" s="334">
        <v>0</v>
      </c>
      <c r="S33" s="334">
        <v>0</v>
      </c>
      <c r="T33" s="333">
        <f>SUM(U33:X33)</f>
        <v>4027</v>
      </c>
      <c r="U33" s="334">
        <f>458+2386+1183</f>
        <v>4027</v>
      </c>
      <c r="V33" s="334">
        <v>0</v>
      </c>
      <c r="W33" s="334">
        <v>0</v>
      </c>
      <c r="X33" s="334">
        <v>0</v>
      </c>
      <c r="Y33" s="333">
        <f>SUM(Z33:AC33)</f>
        <v>0</v>
      </c>
      <c r="Z33" s="334">
        <v>0</v>
      </c>
      <c r="AA33" s="334">
        <v>0</v>
      </c>
      <c r="AB33" s="334">
        <v>0</v>
      </c>
      <c r="AC33" s="334">
        <v>0</v>
      </c>
      <c r="AD33" s="333">
        <f t="shared" si="9"/>
        <v>4655</v>
      </c>
      <c r="AE33" s="56"/>
      <c r="AF33" s="56"/>
      <c r="AG33" s="56"/>
      <c r="AH33" s="56"/>
    </row>
    <row r="34" spans="1:34" ht="112.9" customHeight="1" outlineLevel="1" x14ac:dyDescent="0.2">
      <c r="A34" s="335" t="s">
        <v>478</v>
      </c>
      <c r="B34" s="331" t="s">
        <v>418</v>
      </c>
      <c r="C34" s="59" t="s">
        <v>51</v>
      </c>
      <c r="D34" s="331" t="s">
        <v>668</v>
      </c>
      <c r="E34" s="333">
        <f>SUM(F34:I34)</f>
        <v>0</v>
      </c>
      <c r="F34" s="334">
        <v>0</v>
      </c>
      <c r="G34" s="334">
        <v>0</v>
      </c>
      <c r="H34" s="334">
        <v>0</v>
      </c>
      <c r="I34" s="334">
        <v>0</v>
      </c>
      <c r="J34" s="333">
        <f>K34+L34+M34+N34</f>
        <v>2279</v>
      </c>
      <c r="K34" s="334">
        <v>2279</v>
      </c>
      <c r="L34" s="334">
        <v>0</v>
      </c>
      <c r="M34" s="334">
        <v>0</v>
      </c>
      <c r="N34" s="334">
        <v>0</v>
      </c>
      <c r="O34" s="333">
        <f>SUM(P34:S34)</f>
        <v>0</v>
      </c>
      <c r="P34" s="334">
        <v>0</v>
      </c>
      <c r="Q34" s="334">
        <v>0</v>
      </c>
      <c r="R34" s="334">
        <v>0</v>
      </c>
      <c r="S34" s="334">
        <v>0</v>
      </c>
      <c r="T34" s="333">
        <f>SUM(U34:X34)</f>
        <v>247</v>
      </c>
      <c r="U34" s="334">
        <f>456-209</f>
        <v>247</v>
      </c>
      <c r="V34" s="334">
        <v>0</v>
      </c>
      <c r="W34" s="334">
        <v>0</v>
      </c>
      <c r="X34" s="334">
        <v>0</v>
      </c>
      <c r="Y34" s="333">
        <f>SUM(Z34:AC34)</f>
        <v>0</v>
      </c>
      <c r="Z34" s="334">
        <v>0</v>
      </c>
      <c r="AA34" s="334">
        <v>0</v>
      </c>
      <c r="AB34" s="334">
        <v>0</v>
      </c>
      <c r="AC34" s="334">
        <v>0</v>
      </c>
      <c r="AD34" s="333">
        <f t="shared" si="9"/>
        <v>2526</v>
      </c>
      <c r="AE34" s="56"/>
      <c r="AF34" s="56"/>
      <c r="AG34" s="56"/>
      <c r="AH34" s="56"/>
    </row>
    <row r="35" spans="1:34" ht="112.9" customHeight="1" outlineLevel="1" x14ac:dyDescent="0.2">
      <c r="A35" s="335" t="s">
        <v>479</v>
      </c>
      <c r="B35" s="331" t="s">
        <v>423</v>
      </c>
      <c r="C35" s="59" t="s">
        <v>51</v>
      </c>
      <c r="D35" s="331" t="s">
        <v>144</v>
      </c>
      <c r="E35" s="333">
        <f>SUM(F35:I35)</f>
        <v>0</v>
      </c>
      <c r="F35" s="334">
        <v>0</v>
      </c>
      <c r="G35" s="334">
        <v>0</v>
      </c>
      <c r="H35" s="334">
        <v>0</v>
      </c>
      <c r="I35" s="334">
        <v>0</v>
      </c>
      <c r="J35" s="333">
        <f>K35+L35+M35+N35</f>
        <v>6496</v>
      </c>
      <c r="K35" s="334">
        <v>6496</v>
      </c>
      <c r="L35" s="334">
        <v>0</v>
      </c>
      <c r="M35" s="334">
        <v>0</v>
      </c>
      <c r="N35" s="334">
        <v>0</v>
      </c>
      <c r="O35" s="333">
        <f>SUM(P35:S35)</f>
        <v>4570</v>
      </c>
      <c r="P35" s="334">
        <f>3914+214+442</f>
        <v>4570</v>
      </c>
      <c r="Q35" s="334">
        <v>0</v>
      </c>
      <c r="R35" s="334">
        <v>0</v>
      </c>
      <c r="S35" s="334">
        <v>0</v>
      </c>
      <c r="T35" s="333">
        <f>SUM(U35:X35)</f>
        <v>3197</v>
      </c>
      <c r="U35" s="334">
        <f>1403+1255+539</f>
        <v>3197</v>
      </c>
      <c r="V35" s="334">
        <v>0</v>
      </c>
      <c r="W35" s="334">
        <v>0</v>
      </c>
      <c r="X35" s="334">
        <v>0</v>
      </c>
      <c r="Y35" s="333">
        <f>SUM(Z35:AC35)</f>
        <v>1812</v>
      </c>
      <c r="Z35" s="334">
        <v>1812</v>
      </c>
      <c r="AA35" s="334">
        <v>0</v>
      </c>
      <c r="AB35" s="334">
        <v>0</v>
      </c>
      <c r="AC35" s="334">
        <v>0</v>
      </c>
      <c r="AD35" s="333">
        <f>E35+J35+O35+T35+Y35</f>
        <v>16075</v>
      </c>
      <c r="AE35" s="56"/>
      <c r="AF35" s="56"/>
      <c r="AG35" s="56"/>
      <c r="AH35" s="56"/>
    </row>
    <row r="36" spans="1:34" ht="46.9" customHeight="1" outlineLevel="1" x14ac:dyDescent="0.2">
      <c r="A36" s="328" t="s">
        <v>16</v>
      </c>
      <c r="B36" s="461" t="s">
        <v>457</v>
      </c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5"/>
      <c r="AE36" s="56"/>
      <c r="AF36" s="56"/>
      <c r="AG36" s="56"/>
      <c r="AH36" s="56"/>
    </row>
    <row r="37" spans="1:34" ht="94.9" customHeight="1" outlineLevel="1" x14ac:dyDescent="0.2">
      <c r="A37" s="335" t="s">
        <v>134</v>
      </c>
      <c r="B37" s="331" t="s">
        <v>52</v>
      </c>
      <c r="C37" s="59" t="s">
        <v>641</v>
      </c>
      <c r="D37" s="337" t="s">
        <v>48</v>
      </c>
      <c r="E37" s="343">
        <f>F37+G37+H37+I37</f>
        <v>27036</v>
      </c>
      <c r="F37" s="334">
        <v>27036</v>
      </c>
      <c r="G37" s="334">
        <v>0</v>
      </c>
      <c r="H37" s="334">
        <v>0</v>
      </c>
      <c r="I37" s="334">
        <v>0</v>
      </c>
      <c r="J37" s="333">
        <f>K37+L37+M37+N37</f>
        <v>35037</v>
      </c>
      <c r="K37" s="334">
        <f>34053+19+526+786-411-184+388-1-139</f>
        <v>35037</v>
      </c>
      <c r="L37" s="334">
        <v>0</v>
      </c>
      <c r="M37" s="334">
        <v>0</v>
      </c>
      <c r="N37" s="334">
        <v>0</v>
      </c>
      <c r="O37" s="333">
        <f>SUM(P37:S37)</f>
        <v>44468</v>
      </c>
      <c r="P37" s="334">
        <f>32839+12411+642-2-121+130-1431</f>
        <v>44468</v>
      </c>
      <c r="Q37" s="334">
        <v>0</v>
      </c>
      <c r="R37" s="334">
        <v>0</v>
      </c>
      <c r="S37" s="334">
        <v>0</v>
      </c>
      <c r="T37" s="333">
        <f>SUM(U37:X37)</f>
        <v>75527</v>
      </c>
      <c r="U37" s="334">
        <f>32839+12529+4342+22211+3858+17024-16499-607-170</f>
        <v>75527</v>
      </c>
      <c r="V37" s="334">
        <v>0</v>
      </c>
      <c r="W37" s="334">
        <v>0</v>
      </c>
      <c r="X37" s="334">
        <v>0</v>
      </c>
      <c r="Y37" s="333">
        <f>SUM(Z37:AC37)</f>
        <v>65507</v>
      </c>
      <c r="Z37" s="334">
        <f>26539+300+18529+1768+18371</f>
        <v>65507</v>
      </c>
      <c r="AA37" s="334">
        <v>0</v>
      </c>
      <c r="AB37" s="334">
        <v>0</v>
      </c>
      <c r="AC37" s="334">
        <v>0</v>
      </c>
      <c r="AD37" s="333">
        <f>E37+J37+O37+T37+Y37</f>
        <v>247575</v>
      </c>
      <c r="AE37" s="56"/>
      <c r="AF37" s="56"/>
      <c r="AG37" s="56"/>
      <c r="AH37" s="56"/>
    </row>
    <row r="38" spans="1:34" ht="50.25" customHeight="1" outlineLevel="1" x14ac:dyDescent="0.2">
      <c r="A38" s="406" t="s">
        <v>589</v>
      </c>
      <c r="B38" s="411"/>
      <c r="C38" s="407"/>
      <c r="D38" s="337"/>
      <c r="E38" s="343">
        <f>F38+G38+H38+I38</f>
        <v>173012</v>
      </c>
      <c r="F38" s="334">
        <f>SUM(F13:F37)</f>
        <v>173012</v>
      </c>
      <c r="G38" s="334">
        <f t="shared" ref="G38:I38" si="10">SUM(G13:G37)</f>
        <v>0</v>
      </c>
      <c r="H38" s="334">
        <f t="shared" si="10"/>
        <v>0</v>
      </c>
      <c r="I38" s="334">
        <f t="shared" si="10"/>
        <v>0</v>
      </c>
      <c r="J38" s="333">
        <f>K38+L38+M38+N38</f>
        <v>103854</v>
      </c>
      <c r="K38" s="334">
        <f>SUM(K13:K37)</f>
        <v>103854</v>
      </c>
      <c r="L38" s="334">
        <f t="shared" ref="L38:N38" si="11">SUM(L13:L37)</f>
        <v>0</v>
      </c>
      <c r="M38" s="334">
        <f t="shared" si="11"/>
        <v>0</v>
      </c>
      <c r="N38" s="334">
        <f t="shared" si="11"/>
        <v>0</v>
      </c>
      <c r="O38" s="333">
        <f>O40-O39</f>
        <v>126062</v>
      </c>
      <c r="P38" s="334">
        <f>P40-P39</f>
        <v>126062</v>
      </c>
      <c r="Q38" s="334">
        <f t="shared" ref="Q38:S38" si="12">Q40-Q39</f>
        <v>0</v>
      </c>
      <c r="R38" s="334">
        <f t="shared" si="12"/>
        <v>0</v>
      </c>
      <c r="S38" s="334">
        <f t="shared" si="12"/>
        <v>0</v>
      </c>
      <c r="T38" s="333">
        <f t="shared" ref="T38:T39" si="13">SUM(U38:X38)</f>
        <v>218493</v>
      </c>
      <c r="U38" s="334">
        <f>SUM(U13:U37)</f>
        <v>218493</v>
      </c>
      <c r="V38" s="334">
        <v>0</v>
      </c>
      <c r="W38" s="334">
        <v>0</v>
      </c>
      <c r="X38" s="334">
        <v>0</v>
      </c>
      <c r="Y38" s="333">
        <f>SUM(Z38:AC38)</f>
        <v>153183</v>
      </c>
      <c r="Z38" s="334">
        <f>SUM(Z13:Z37)</f>
        <v>153183</v>
      </c>
      <c r="AA38" s="334">
        <v>0</v>
      </c>
      <c r="AB38" s="334">
        <v>0</v>
      </c>
      <c r="AC38" s="334">
        <v>0</v>
      </c>
      <c r="AD38" s="333">
        <f>E38+J38+O38+T38+Y38</f>
        <v>774604</v>
      </c>
      <c r="AE38" s="344">
        <f t="shared" ref="AE38:AE39" si="14">F38+K38+P38+U38+Z38</f>
        <v>774604</v>
      </c>
      <c r="AF38" s="344">
        <f t="shared" ref="AF38:AF39" si="15">G38+L38+Q38+V38+AA38</f>
        <v>0</v>
      </c>
      <c r="AG38" s="344">
        <f t="shared" ref="AG38:AG39" si="16">H38+M38+R38+W38+AB38</f>
        <v>0</v>
      </c>
      <c r="AH38" s="344">
        <f t="shared" ref="AH38:AH39" si="17">I38+N38+S38+X38+AC38</f>
        <v>0</v>
      </c>
    </row>
    <row r="39" spans="1:34" ht="39.75" customHeight="1" outlineLevel="1" x14ac:dyDescent="0.2">
      <c r="A39" s="412" t="s">
        <v>392</v>
      </c>
      <c r="B39" s="413"/>
      <c r="C39" s="488"/>
      <c r="D39" s="337"/>
      <c r="E39" s="343">
        <f>F39+G39+H39+I39</f>
        <v>0</v>
      </c>
      <c r="F39" s="334">
        <v>0</v>
      </c>
      <c r="G39" s="334">
        <v>0</v>
      </c>
      <c r="H39" s="334">
        <v>0</v>
      </c>
      <c r="I39" s="334">
        <v>0</v>
      </c>
      <c r="J39" s="333">
        <f>K39+L39+M39+N39</f>
        <v>0</v>
      </c>
      <c r="K39" s="334">
        <v>0</v>
      </c>
      <c r="L39" s="334">
        <v>0</v>
      </c>
      <c r="M39" s="334">
        <v>0</v>
      </c>
      <c r="N39" s="334">
        <v>0</v>
      </c>
      <c r="O39" s="333">
        <f t="shared" ref="O39" si="18">SUM(P39:S39)</f>
        <v>3417</v>
      </c>
      <c r="P39" s="334">
        <f>P18</f>
        <v>3417</v>
      </c>
      <c r="Q39" s="334">
        <v>0</v>
      </c>
      <c r="R39" s="334">
        <v>0</v>
      </c>
      <c r="S39" s="334">
        <v>0</v>
      </c>
      <c r="T39" s="333">
        <f t="shared" si="13"/>
        <v>0</v>
      </c>
      <c r="U39" s="334">
        <v>0</v>
      </c>
      <c r="V39" s="334">
        <v>0</v>
      </c>
      <c r="W39" s="334">
        <v>0</v>
      </c>
      <c r="X39" s="334">
        <v>0</v>
      </c>
      <c r="Y39" s="333">
        <f>SUM(Z39:AC39)</f>
        <v>0</v>
      </c>
      <c r="Z39" s="334">
        <v>0</v>
      </c>
      <c r="AA39" s="334">
        <v>0</v>
      </c>
      <c r="AB39" s="334">
        <v>0</v>
      </c>
      <c r="AC39" s="334">
        <v>0</v>
      </c>
      <c r="AD39" s="333">
        <f t="shared" ref="AD39" si="19">E39+J39+O39+T39+Y39</f>
        <v>3417</v>
      </c>
      <c r="AE39" s="344">
        <f t="shared" si="14"/>
        <v>3417</v>
      </c>
      <c r="AF39" s="344">
        <f t="shared" si="15"/>
        <v>0</v>
      </c>
      <c r="AG39" s="344">
        <f t="shared" si="16"/>
        <v>0</v>
      </c>
      <c r="AH39" s="344">
        <f t="shared" si="17"/>
        <v>0</v>
      </c>
    </row>
    <row r="40" spans="1:34" ht="61.5" customHeight="1" outlineLevel="1" x14ac:dyDescent="0.2">
      <c r="A40" s="451" t="s">
        <v>590</v>
      </c>
      <c r="B40" s="451"/>
      <c r="C40" s="451"/>
      <c r="D40" s="345"/>
      <c r="E40" s="333">
        <f t="shared" ref="E40:AD40" si="20">SUM(E13:E37)</f>
        <v>173012</v>
      </c>
      <c r="F40" s="333">
        <f>SUM(F13:F37)</f>
        <v>173012</v>
      </c>
      <c r="G40" s="333">
        <f t="shared" si="20"/>
        <v>0</v>
      </c>
      <c r="H40" s="333">
        <f t="shared" si="20"/>
        <v>0</v>
      </c>
      <c r="I40" s="333">
        <f t="shared" si="20"/>
        <v>0</v>
      </c>
      <c r="J40" s="333">
        <f>SUM(J13:J37)</f>
        <v>103854</v>
      </c>
      <c r="K40" s="333">
        <f>SUM(K13:K37)</f>
        <v>103854</v>
      </c>
      <c r="L40" s="333">
        <f t="shared" si="20"/>
        <v>0</v>
      </c>
      <c r="M40" s="333">
        <f t="shared" si="20"/>
        <v>0</v>
      </c>
      <c r="N40" s="333">
        <f t="shared" si="20"/>
        <v>0</v>
      </c>
      <c r="O40" s="333">
        <f t="shared" si="20"/>
        <v>129479</v>
      </c>
      <c r="P40" s="333">
        <f t="shared" si="20"/>
        <v>129479</v>
      </c>
      <c r="Q40" s="333">
        <f t="shared" si="20"/>
        <v>0</v>
      </c>
      <c r="R40" s="333">
        <f t="shared" si="20"/>
        <v>0</v>
      </c>
      <c r="S40" s="333">
        <f t="shared" si="20"/>
        <v>0</v>
      </c>
      <c r="T40" s="333">
        <f t="shared" si="20"/>
        <v>218493</v>
      </c>
      <c r="U40" s="333">
        <f>SUM(U13:U37)</f>
        <v>218493</v>
      </c>
      <c r="V40" s="333">
        <f t="shared" si="20"/>
        <v>0</v>
      </c>
      <c r="W40" s="333">
        <f t="shared" si="20"/>
        <v>0</v>
      </c>
      <c r="X40" s="333">
        <f t="shared" si="20"/>
        <v>0</v>
      </c>
      <c r="Y40" s="333">
        <f t="shared" si="20"/>
        <v>153183</v>
      </c>
      <c r="Z40" s="333">
        <f>SUM(Z13:Z37)</f>
        <v>153183</v>
      </c>
      <c r="AA40" s="333">
        <f t="shared" si="20"/>
        <v>0</v>
      </c>
      <c r="AB40" s="333">
        <f t="shared" si="20"/>
        <v>0</v>
      </c>
      <c r="AC40" s="333">
        <f t="shared" si="20"/>
        <v>0</v>
      </c>
      <c r="AD40" s="333">
        <f t="shared" si="20"/>
        <v>778021</v>
      </c>
      <c r="AE40" s="344">
        <f>F40+K40+P40+U40+Z40</f>
        <v>778021</v>
      </c>
      <c r="AF40" s="344">
        <f>G40+L40+Q40+V40+AA40</f>
        <v>0</v>
      </c>
      <c r="AG40" s="344">
        <f>H40+M40+R40+W40+AB40</f>
        <v>0</v>
      </c>
      <c r="AH40" s="344">
        <f>I40+N40+S40+X40+AC40</f>
        <v>0</v>
      </c>
    </row>
    <row r="41" spans="1:34" s="9" customFormat="1" ht="55.15" customHeight="1" x14ac:dyDescent="0.2">
      <c r="A41" s="329" t="s">
        <v>460</v>
      </c>
      <c r="B41" s="463" t="s">
        <v>1158</v>
      </c>
      <c r="C41" s="464"/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464"/>
      <c r="O41" s="464"/>
      <c r="P41" s="464"/>
      <c r="Q41" s="464"/>
      <c r="R41" s="464"/>
      <c r="S41" s="464"/>
      <c r="T41" s="464"/>
      <c r="U41" s="464"/>
      <c r="V41" s="464"/>
      <c r="W41" s="464"/>
      <c r="X41" s="464"/>
      <c r="Y41" s="464"/>
      <c r="Z41" s="464"/>
      <c r="AA41" s="464"/>
      <c r="AB41" s="464"/>
      <c r="AC41" s="464"/>
      <c r="AD41" s="466"/>
      <c r="AE41" s="56"/>
      <c r="AF41" s="56"/>
      <c r="AG41" s="56"/>
      <c r="AH41" s="56"/>
    </row>
    <row r="42" spans="1:34" ht="42" customHeight="1" x14ac:dyDescent="0.2">
      <c r="A42" s="482" t="s">
        <v>202</v>
      </c>
      <c r="B42" s="482"/>
      <c r="C42" s="482"/>
      <c r="D42" s="482"/>
      <c r="E42" s="482"/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56"/>
      <c r="AF42" s="56"/>
      <c r="AG42" s="56"/>
      <c r="AH42" s="56"/>
    </row>
    <row r="43" spans="1:34" s="31" customFormat="1" ht="43.15" customHeight="1" outlineLevel="1" x14ac:dyDescent="0.2">
      <c r="A43" s="487" t="s">
        <v>1145</v>
      </c>
      <c r="B43" s="487"/>
      <c r="C43" s="487"/>
      <c r="D43" s="487"/>
      <c r="E43" s="487"/>
      <c r="F43" s="487"/>
      <c r="G43" s="487"/>
      <c r="H43" s="487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7"/>
      <c r="AD43" s="487"/>
      <c r="AE43" s="56"/>
      <c r="AF43" s="56"/>
      <c r="AG43" s="56"/>
      <c r="AH43" s="56"/>
    </row>
    <row r="44" spans="1:34" s="31" customFormat="1" ht="54" customHeight="1" outlineLevel="1" x14ac:dyDescent="0.2">
      <c r="A44" s="329" t="s">
        <v>2</v>
      </c>
      <c r="B44" s="463" t="s">
        <v>1146</v>
      </c>
      <c r="C44" s="464"/>
      <c r="D44" s="464"/>
      <c r="E44" s="464"/>
      <c r="F44" s="464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  <c r="S44" s="464"/>
      <c r="T44" s="464"/>
      <c r="U44" s="464"/>
      <c r="V44" s="464"/>
      <c r="W44" s="464"/>
      <c r="X44" s="464"/>
      <c r="Y44" s="464"/>
      <c r="Z44" s="464"/>
      <c r="AA44" s="464"/>
      <c r="AB44" s="464"/>
      <c r="AC44" s="464"/>
      <c r="AD44" s="466"/>
      <c r="AE44" s="56"/>
      <c r="AF44" s="56"/>
      <c r="AG44" s="56"/>
      <c r="AH44" s="56"/>
    </row>
    <row r="45" spans="1:34" ht="290.25" customHeight="1" outlineLevel="1" x14ac:dyDescent="0.2">
      <c r="A45" s="335" t="s">
        <v>9</v>
      </c>
      <c r="B45" s="331" t="s">
        <v>643</v>
      </c>
      <c r="C45" s="59" t="s">
        <v>368</v>
      </c>
      <c r="D45" s="331" t="s">
        <v>48</v>
      </c>
      <c r="E45" s="333">
        <f t="shared" ref="E45:E53" si="21">F45+G45+H45+I45</f>
        <v>321465</v>
      </c>
      <c r="F45" s="346">
        <f>ROUND('2.переченьМРАД'!$I$33,0)</f>
        <v>12402</v>
      </c>
      <c r="G45" s="346">
        <f>ROUND('2.переченьМРАД'!$H$33,0)</f>
        <v>182270</v>
      </c>
      <c r="H45" s="346">
        <f>ROUND('2.переченьМРАД'!G33,0)</f>
        <v>126793</v>
      </c>
      <c r="I45" s="347">
        <v>0</v>
      </c>
      <c r="J45" s="333">
        <f>K45+L45+M45+N45</f>
        <v>8332</v>
      </c>
      <c r="K45" s="346">
        <f>'2.переченьМРАД'!$N$33</f>
        <v>8332</v>
      </c>
      <c r="L45" s="346">
        <f>'2.переченьМРАД'!$M$33</f>
        <v>0</v>
      </c>
      <c r="M45" s="346">
        <f>'2.переченьМРАД'!$L$33</f>
        <v>0</v>
      </c>
      <c r="N45" s="347">
        <v>0</v>
      </c>
      <c r="O45" s="333">
        <f>SUM(P45:S45)</f>
        <v>67626</v>
      </c>
      <c r="P45" s="346">
        <f>'2.переченьМРАД'!$S$33</f>
        <v>3465</v>
      </c>
      <c r="Q45" s="346">
        <f>'2.переченьМРАД'!$R$33</f>
        <v>64161</v>
      </c>
      <c r="R45" s="346">
        <v>0</v>
      </c>
      <c r="S45" s="347">
        <v>0</v>
      </c>
      <c r="T45" s="333">
        <f t="shared" ref="T45:T58" si="22">SUM(U45:X45)</f>
        <v>168765</v>
      </c>
      <c r="U45" s="334">
        <f>ROUND('2.переченьМРАД'!$X$33,0)</f>
        <v>17741</v>
      </c>
      <c r="V45" s="334">
        <f>ROUND('2.переченьМРАД'!$W$33,0)</f>
        <v>151024</v>
      </c>
      <c r="W45" s="334">
        <v>0</v>
      </c>
      <c r="X45" s="334">
        <v>0</v>
      </c>
      <c r="Y45" s="333">
        <f t="shared" ref="Y45:Y56" si="23">SUM(Z45:AC45)</f>
        <v>0</v>
      </c>
      <c r="Z45" s="334">
        <f>'2.переченьМРАД'!$AC$33</f>
        <v>0</v>
      </c>
      <c r="AA45" s="334">
        <f>'2.переченьМРАД'!$AB$33</f>
        <v>0</v>
      </c>
      <c r="AB45" s="334">
        <v>0</v>
      </c>
      <c r="AC45" s="334">
        <v>0</v>
      </c>
      <c r="AD45" s="333">
        <f>E45+J45+O45+T45+Y45</f>
        <v>566188</v>
      </c>
      <c r="AE45" s="56"/>
      <c r="AF45" s="56"/>
      <c r="AG45" s="56"/>
      <c r="AH45" s="56"/>
    </row>
    <row r="46" spans="1:34" ht="178.5" customHeight="1" outlineLevel="1" x14ac:dyDescent="0.2">
      <c r="A46" s="335" t="s">
        <v>41</v>
      </c>
      <c r="B46" s="331" t="s">
        <v>633</v>
      </c>
      <c r="C46" s="59" t="s">
        <v>368</v>
      </c>
      <c r="D46" s="331" t="s">
        <v>669</v>
      </c>
      <c r="E46" s="333">
        <f t="shared" si="21"/>
        <v>66560</v>
      </c>
      <c r="F46" s="346">
        <f>'2.переченьМРАД'!$I$43</f>
        <v>4500</v>
      </c>
      <c r="G46" s="346">
        <f>'2.переченьМРАД'!$H$43</f>
        <v>62060</v>
      </c>
      <c r="H46" s="346">
        <f>'2.переченьМРАД'!G34</f>
        <v>0</v>
      </c>
      <c r="I46" s="347">
        <v>0</v>
      </c>
      <c r="J46" s="333">
        <f>K46+L46+M46+N46</f>
        <v>2196</v>
      </c>
      <c r="K46" s="346">
        <f>'2.переченьМРАД'!$N$43</f>
        <v>2196</v>
      </c>
      <c r="L46" s="346">
        <f>'2.переченьМРАД'!$M$43</f>
        <v>0</v>
      </c>
      <c r="M46" s="346">
        <v>0</v>
      </c>
      <c r="N46" s="347">
        <v>0</v>
      </c>
      <c r="O46" s="333">
        <f t="shared" ref="O46:O58" si="24">SUM(P46:S46)</f>
        <v>336779</v>
      </c>
      <c r="P46" s="346">
        <f>'2.переченьМРАД'!$S$43</f>
        <v>28827</v>
      </c>
      <c r="Q46" s="346">
        <f>'2.переченьМРАД'!$R$43</f>
        <v>307952</v>
      </c>
      <c r="R46" s="346">
        <v>0</v>
      </c>
      <c r="S46" s="347">
        <v>0</v>
      </c>
      <c r="T46" s="333">
        <f t="shared" si="22"/>
        <v>747</v>
      </c>
      <c r="U46" s="334">
        <f>ROUND('2.переченьМРАД'!$X$43,0)</f>
        <v>747</v>
      </c>
      <c r="V46" s="334">
        <f>ROUND('2.переченьМРАД'!$W$43,0)</f>
        <v>0</v>
      </c>
      <c r="W46" s="334">
        <v>0</v>
      </c>
      <c r="X46" s="334">
        <v>0</v>
      </c>
      <c r="Y46" s="333">
        <f t="shared" si="23"/>
        <v>0</v>
      </c>
      <c r="Z46" s="334">
        <f>'2.переченьМРАД'!$AC$43</f>
        <v>0</v>
      </c>
      <c r="AA46" s="334">
        <f>'2.переченьМРАД'!$AB$43</f>
        <v>0</v>
      </c>
      <c r="AB46" s="334">
        <v>0</v>
      </c>
      <c r="AC46" s="334">
        <v>0</v>
      </c>
      <c r="AD46" s="333">
        <f t="shared" ref="AD46:AD55" si="25">E46+J46+O46+T46+Y46</f>
        <v>406282</v>
      </c>
      <c r="AE46" s="56"/>
      <c r="AF46" s="56"/>
      <c r="AG46" s="56"/>
      <c r="AH46" s="56"/>
    </row>
    <row r="47" spans="1:34" ht="120" customHeight="1" outlineLevel="1" x14ac:dyDescent="0.2">
      <c r="A47" s="470" t="s">
        <v>133</v>
      </c>
      <c r="B47" s="467" t="s">
        <v>407</v>
      </c>
      <c r="C47" s="471" t="s">
        <v>368</v>
      </c>
      <c r="D47" s="331" t="s">
        <v>48</v>
      </c>
      <c r="E47" s="333">
        <f t="shared" si="21"/>
        <v>44356</v>
      </c>
      <c r="F47" s="346">
        <f>'2.переченьМРАД'!$I$75</f>
        <v>28021</v>
      </c>
      <c r="G47" s="346">
        <f>'2.переченьМРАД'!$H$75</f>
        <v>16335</v>
      </c>
      <c r="H47" s="346">
        <f>'2.переченьМРАД'!G35</f>
        <v>0</v>
      </c>
      <c r="I47" s="347">
        <v>0</v>
      </c>
      <c r="J47" s="333">
        <f>K47+L47+M47+N47</f>
        <v>16962</v>
      </c>
      <c r="K47" s="346">
        <f>'2.переченьМРАД'!$N$75</f>
        <v>16962</v>
      </c>
      <c r="L47" s="346">
        <f>'2.переченьМРАД'!$M$75</f>
        <v>0</v>
      </c>
      <c r="M47" s="346">
        <v>0</v>
      </c>
      <c r="N47" s="347">
        <v>0</v>
      </c>
      <c r="O47" s="333">
        <f t="shared" si="24"/>
        <v>15511</v>
      </c>
      <c r="P47" s="346">
        <f>'2.переченьМРАД'!$S$75</f>
        <v>15511</v>
      </c>
      <c r="Q47" s="346">
        <f>'2.переченьМРАД'!$R$75</f>
        <v>0</v>
      </c>
      <c r="R47" s="346">
        <v>0</v>
      </c>
      <c r="S47" s="347">
        <v>0</v>
      </c>
      <c r="T47" s="333">
        <f t="shared" si="22"/>
        <v>31423</v>
      </c>
      <c r="U47" s="334">
        <f>'2.переченьМРАД'!$X$75</f>
        <v>31423</v>
      </c>
      <c r="V47" s="334">
        <f>'2.переченьМРАД'!$W$75</f>
        <v>0</v>
      </c>
      <c r="W47" s="334">
        <v>0</v>
      </c>
      <c r="X47" s="334">
        <v>0</v>
      </c>
      <c r="Y47" s="333">
        <f t="shared" si="23"/>
        <v>62682</v>
      </c>
      <c r="Z47" s="334">
        <f>'2.переченьМРАД'!$AC$75</f>
        <v>62682</v>
      </c>
      <c r="AA47" s="334">
        <f>'2.переченьМРАД'!$AB$75</f>
        <v>0</v>
      </c>
      <c r="AB47" s="334">
        <v>0</v>
      </c>
      <c r="AC47" s="334">
        <v>0</v>
      </c>
      <c r="AD47" s="333">
        <f>E47+J47+O47+T47+Y47</f>
        <v>170934</v>
      </c>
      <c r="AE47" s="56"/>
      <c r="AF47" s="56"/>
      <c r="AG47" s="56"/>
      <c r="AH47" s="56"/>
    </row>
    <row r="48" spans="1:34" ht="132.75" customHeight="1" outlineLevel="1" x14ac:dyDescent="0.2">
      <c r="A48" s="470"/>
      <c r="B48" s="468"/>
      <c r="C48" s="472"/>
      <c r="D48" s="331" t="s">
        <v>543</v>
      </c>
      <c r="E48" s="333">
        <f t="shared" si="21"/>
        <v>988</v>
      </c>
      <c r="F48" s="346">
        <v>988</v>
      </c>
      <c r="G48" s="346">
        <v>0</v>
      </c>
      <c r="H48" s="346">
        <v>0</v>
      </c>
      <c r="I48" s="347">
        <v>0</v>
      </c>
      <c r="J48" s="333">
        <f>K48+L48+M48+N48</f>
        <v>1584</v>
      </c>
      <c r="K48" s="346">
        <v>1584</v>
      </c>
      <c r="L48" s="346">
        <v>0</v>
      </c>
      <c r="M48" s="346">
        <v>0</v>
      </c>
      <c r="N48" s="347">
        <v>0</v>
      </c>
      <c r="O48" s="333">
        <f t="shared" si="24"/>
        <v>0</v>
      </c>
      <c r="P48" s="346">
        <v>0</v>
      </c>
      <c r="Q48" s="346">
        <f>'2.переченьМРАД'!$R$75</f>
        <v>0</v>
      </c>
      <c r="R48" s="346">
        <v>0</v>
      </c>
      <c r="S48" s="347">
        <v>0</v>
      </c>
      <c r="T48" s="333">
        <f t="shared" si="22"/>
        <v>0</v>
      </c>
      <c r="U48" s="334">
        <v>0</v>
      </c>
      <c r="V48" s="334">
        <f>'2.переченьМРАД'!$W$75</f>
        <v>0</v>
      </c>
      <c r="W48" s="334">
        <v>0</v>
      </c>
      <c r="X48" s="334">
        <v>0</v>
      </c>
      <c r="Y48" s="333">
        <f t="shared" si="23"/>
        <v>0</v>
      </c>
      <c r="Z48" s="334">
        <v>0</v>
      </c>
      <c r="AA48" s="334">
        <f>'2.переченьМРАД'!$AB$75</f>
        <v>0</v>
      </c>
      <c r="AB48" s="334">
        <v>0</v>
      </c>
      <c r="AC48" s="334">
        <v>0</v>
      </c>
      <c r="AD48" s="333">
        <f>E48+J48+O48+T48+Y48</f>
        <v>2572</v>
      </c>
      <c r="AE48" s="56"/>
      <c r="AF48" s="56"/>
      <c r="AG48" s="56"/>
      <c r="AH48" s="56"/>
    </row>
    <row r="49" spans="1:34" ht="246" customHeight="1" outlineLevel="1" x14ac:dyDescent="0.2">
      <c r="A49" s="470" t="s">
        <v>461</v>
      </c>
      <c r="B49" s="331" t="s">
        <v>634</v>
      </c>
      <c r="C49" s="478" t="s">
        <v>49</v>
      </c>
      <c r="D49" s="331" t="s">
        <v>48</v>
      </c>
      <c r="E49" s="333">
        <f>F49+G49+H49+I49</f>
        <v>64125</v>
      </c>
      <c r="F49" s="346">
        <f>SUM('2.переченьМРАД'!$I$101,0)</f>
        <v>4013</v>
      </c>
      <c r="G49" s="346">
        <f>SUM('2.переченьМРАД'!$H$101,0)</f>
        <v>60112</v>
      </c>
      <c r="H49" s="346">
        <v>0</v>
      </c>
      <c r="I49" s="347">
        <v>0</v>
      </c>
      <c r="J49" s="333">
        <f t="shared" ref="J49:J55" si="26">K49+L49+M49+N49</f>
        <v>241974</v>
      </c>
      <c r="K49" s="346">
        <f>ROUND('2.переченьМРАД'!$N$101,0)</f>
        <v>27315</v>
      </c>
      <c r="L49" s="346">
        <f>'2.переченьМРАД'!$M$101</f>
        <v>214659</v>
      </c>
      <c r="M49" s="346">
        <v>0</v>
      </c>
      <c r="N49" s="347">
        <v>0</v>
      </c>
      <c r="O49" s="333">
        <f t="shared" si="24"/>
        <v>190226</v>
      </c>
      <c r="P49" s="346">
        <f>'2.переченьМРАД'!$S$101</f>
        <v>15347</v>
      </c>
      <c r="Q49" s="346">
        <f>'2.переченьМРАД'!$R$101</f>
        <v>174879</v>
      </c>
      <c r="R49" s="346">
        <v>0</v>
      </c>
      <c r="S49" s="347">
        <v>0</v>
      </c>
      <c r="T49" s="333">
        <f t="shared" si="22"/>
        <v>113119</v>
      </c>
      <c r="U49" s="334">
        <f>ROUND('2.переченьМРАД'!$X$101,0)</f>
        <v>10119</v>
      </c>
      <c r="V49" s="334">
        <f>'2.переченьМРАД'!$W$101</f>
        <v>103000</v>
      </c>
      <c r="W49" s="334">
        <v>0</v>
      </c>
      <c r="X49" s="334">
        <v>0</v>
      </c>
      <c r="Y49" s="333">
        <f t="shared" si="23"/>
        <v>0</v>
      </c>
      <c r="Z49" s="334">
        <f>'2.переченьМРАД'!$AC$101</f>
        <v>0</v>
      </c>
      <c r="AA49" s="334">
        <f>ROUND('2.переченьМРАД'!$AB$101,0)</f>
        <v>0</v>
      </c>
      <c r="AB49" s="334">
        <v>0</v>
      </c>
      <c r="AC49" s="334">
        <v>0</v>
      </c>
      <c r="AD49" s="333">
        <f>E49+J49+O49+T49+Y49</f>
        <v>609444</v>
      </c>
      <c r="AE49" s="56"/>
      <c r="AF49" s="56"/>
      <c r="AG49" s="56"/>
      <c r="AH49" s="56"/>
    </row>
    <row r="50" spans="1:34" ht="117.75" customHeight="1" outlineLevel="1" x14ac:dyDescent="0.2">
      <c r="A50" s="470"/>
      <c r="B50" s="331" t="s">
        <v>371</v>
      </c>
      <c r="C50" s="478"/>
      <c r="D50" s="331" t="s">
        <v>584</v>
      </c>
      <c r="E50" s="333">
        <f t="shared" si="21"/>
        <v>0</v>
      </c>
      <c r="F50" s="346">
        <f>SUM('2.переченьМРАД'!I98:I100)</f>
        <v>0</v>
      </c>
      <c r="G50" s="346">
        <f>SUM('2.переченьМРАД'!H98:H100)</f>
        <v>0</v>
      </c>
      <c r="H50" s="346">
        <f>'2.переченьМРАД'!G101</f>
        <v>0</v>
      </c>
      <c r="I50" s="347">
        <v>0</v>
      </c>
      <c r="J50" s="333">
        <f t="shared" si="26"/>
        <v>0</v>
      </c>
      <c r="K50" s="346">
        <f>SUM('2.переченьМРАД'!N98:N100)</f>
        <v>0</v>
      </c>
      <c r="L50" s="346">
        <f>SUM('2.переченьМРАД'!M98:M100)</f>
        <v>0</v>
      </c>
      <c r="M50" s="346">
        <f>'2.переченьМРАД'!L101</f>
        <v>0</v>
      </c>
      <c r="N50" s="347">
        <v>0</v>
      </c>
      <c r="O50" s="333">
        <f t="shared" si="24"/>
        <v>0</v>
      </c>
      <c r="P50" s="346">
        <f>SUM('2.переченьМРАД'!S98:S100)</f>
        <v>0</v>
      </c>
      <c r="Q50" s="346">
        <f>SUM('2.переченьМРАД'!R98:R100)</f>
        <v>0</v>
      </c>
      <c r="R50" s="346">
        <f>'[1]3.переченьМРАД'!Q96</f>
        <v>0</v>
      </c>
      <c r="S50" s="347">
        <v>0</v>
      </c>
      <c r="T50" s="333">
        <f t="shared" si="22"/>
        <v>0</v>
      </c>
      <c r="U50" s="334">
        <f>SUM('2.переченьМРАД'!X98:X100)</f>
        <v>0</v>
      </c>
      <c r="V50" s="334">
        <f>SUM('2.переченьМРАД'!W98:W100)</f>
        <v>0</v>
      </c>
      <c r="W50" s="334">
        <f>'[1]3.переченьМРАД'!V96</f>
        <v>0</v>
      </c>
      <c r="X50" s="334">
        <v>0</v>
      </c>
      <c r="Y50" s="333">
        <f>SUM(Z50:AC50)</f>
        <v>0</v>
      </c>
      <c r="Z50" s="334">
        <f>SUM('2.переченьМРАД'!AC98:AC100)</f>
        <v>0</v>
      </c>
      <c r="AA50" s="334">
        <f>SUM('2.переченьМРАД'!AB98:AB100)</f>
        <v>0</v>
      </c>
      <c r="AB50" s="334">
        <f>'[1]3.переченьМРАД'!AA96</f>
        <v>0</v>
      </c>
      <c r="AC50" s="334">
        <v>0</v>
      </c>
      <c r="AD50" s="333">
        <f t="shared" si="25"/>
        <v>0</v>
      </c>
      <c r="AE50" s="56"/>
      <c r="AF50" s="56"/>
      <c r="AG50" s="56"/>
      <c r="AH50" s="56"/>
    </row>
    <row r="51" spans="1:34" ht="191.25" customHeight="1" outlineLevel="1" x14ac:dyDescent="0.2">
      <c r="A51" s="470" t="s">
        <v>462</v>
      </c>
      <c r="B51" s="331" t="s">
        <v>635</v>
      </c>
      <c r="C51" s="478" t="s">
        <v>49</v>
      </c>
      <c r="D51" s="331" t="s">
        <v>48</v>
      </c>
      <c r="E51" s="333">
        <f>F51+G51+H51+I51</f>
        <v>787419</v>
      </c>
      <c r="F51" s="346">
        <f>ROUND('2.переченьМРАД'!$I$239,0)</f>
        <v>42088</v>
      </c>
      <c r="G51" s="346">
        <f>ROUND('2.переченьМРАД'!$H$239,0)</f>
        <v>745331</v>
      </c>
      <c r="H51" s="346">
        <v>0</v>
      </c>
      <c r="I51" s="347">
        <v>0</v>
      </c>
      <c r="J51" s="333">
        <f>K51+L51+M51+N51</f>
        <v>934352</v>
      </c>
      <c r="K51" s="346">
        <f>ROUND('2.переченьМРАД'!$N$239,0)</f>
        <v>58150</v>
      </c>
      <c r="L51" s="346">
        <f>ROUND('2.переченьМРАД'!$M$239,0)</f>
        <v>876202</v>
      </c>
      <c r="M51" s="346">
        <v>0</v>
      </c>
      <c r="N51" s="347">
        <v>0</v>
      </c>
      <c r="O51" s="333">
        <f t="shared" si="24"/>
        <v>1216402</v>
      </c>
      <c r="P51" s="346">
        <f>ROUND('2.переченьМРАД'!$S$239,0)</f>
        <v>184281</v>
      </c>
      <c r="Q51" s="346">
        <f>ROUND('2.переченьМРАД'!$R$239,0)</f>
        <v>1032121</v>
      </c>
      <c r="R51" s="346">
        <v>0</v>
      </c>
      <c r="S51" s="347">
        <v>0</v>
      </c>
      <c r="T51" s="333">
        <f t="shared" si="22"/>
        <v>830557</v>
      </c>
      <c r="U51" s="334">
        <f>ROUND('2.переченьМРАД'!$X$239,0)</f>
        <v>130557</v>
      </c>
      <c r="V51" s="334">
        <f>ROUND('2.переченьМРАД'!$W$239,0)</f>
        <v>700000</v>
      </c>
      <c r="W51" s="334">
        <v>0</v>
      </c>
      <c r="X51" s="334">
        <v>0</v>
      </c>
      <c r="Y51" s="333">
        <f t="shared" si="23"/>
        <v>25672</v>
      </c>
      <c r="Z51" s="334">
        <f>ROUND('2.переченьМРАД'!$AC$239,0)</f>
        <v>25672</v>
      </c>
      <c r="AA51" s="334">
        <f>ROUND('2.переченьМРАД'!$AB$239,0)</f>
        <v>0</v>
      </c>
      <c r="AB51" s="334">
        <v>0</v>
      </c>
      <c r="AC51" s="334">
        <v>0</v>
      </c>
      <c r="AD51" s="333">
        <f>E51+J51+O51+T51+Y51</f>
        <v>3794402</v>
      </c>
      <c r="AE51" s="56"/>
      <c r="AF51" s="56"/>
      <c r="AG51" s="56"/>
      <c r="AH51" s="56"/>
    </row>
    <row r="52" spans="1:34" ht="123.75" customHeight="1" outlineLevel="1" x14ac:dyDescent="0.2">
      <c r="A52" s="470"/>
      <c r="B52" s="331" t="s">
        <v>371</v>
      </c>
      <c r="C52" s="478"/>
      <c r="D52" s="331" t="s">
        <v>48</v>
      </c>
      <c r="E52" s="333">
        <f t="shared" si="21"/>
        <v>682680</v>
      </c>
      <c r="F52" s="346">
        <f>SUM('2.переченьМРАД'!I191:I238)</f>
        <v>32769</v>
      </c>
      <c r="G52" s="346">
        <f>SUM('2.переченьМРАД'!H191:H238)</f>
        <v>649911</v>
      </c>
      <c r="H52" s="346">
        <f>SUM('[1]3.переченьМРАД'!G215:G227)</f>
        <v>0</v>
      </c>
      <c r="I52" s="347">
        <v>0</v>
      </c>
      <c r="J52" s="333">
        <f t="shared" si="26"/>
        <v>930249</v>
      </c>
      <c r="K52" s="346">
        <f>SUM('2.переченьМРАД'!N191:N238)</f>
        <v>54047</v>
      </c>
      <c r="L52" s="346">
        <f>SUM('2.переченьМРАД'!M191:M238)</f>
        <v>876202</v>
      </c>
      <c r="M52" s="346">
        <f>SUM('[1]3.переченьМРАД'!L215:L227)</f>
        <v>0</v>
      </c>
      <c r="N52" s="347">
        <v>0</v>
      </c>
      <c r="O52" s="333">
        <f t="shared" si="24"/>
        <v>743100</v>
      </c>
      <c r="P52" s="346">
        <f>SUM('2.переченьМРАД'!S191:S238)</f>
        <v>43100</v>
      </c>
      <c r="Q52" s="346">
        <f>SUM('2.переченьМРАД'!R191:R238)</f>
        <v>700000</v>
      </c>
      <c r="R52" s="346">
        <f>SUM('[1]3.переченьМРАД'!Q215:Q227)</f>
        <v>0</v>
      </c>
      <c r="S52" s="347">
        <v>0</v>
      </c>
      <c r="T52" s="333">
        <f t="shared" si="22"/>
        <v>721650</v>
      </c>
      <c r="U52" s="334">
        <f>SUM('2.переченьМРАД'!X191:X238)</f>
        <v>21650</v>
      </c>
      <c r="V52" s="334">
        <f>SUM('2.переченьМРАД'!W191:W238)</f>
        <v>700000</v>
      </c>
      <c r="W52" s="334">
        <f>SUM('2.переченьМРАД'!V191:V238)</f>
        <v>0</v>
      </c>
      <c r="X52" s="334">
        <v>0</v>
      </c>
      <c r="Y52" s="333">
        <f t="shared" si="23"/>
        <v>21650</v>
      </c>
      <c r="Z52" s="334">
        <f>SUM('2.переченьМРАД'!AC191:AC238)</f>
        <v>21650</v>
      </c>
      <c r="AA52" s="334">
        <f>SUM('2.переченьМРАД'!AB191:AB238)</f>
        <v>0</v>
      </c>
      <c r="AB52" s="334">
        <f>SUM('[1]3.переченьМРАД'!AA215:AA227)</f>
        <v>0</v>
      </c>
      <c r="AC52" s="334">
        <v>0</v>
      </c>
      <c r="AD52" s="333">
        <f t="shared" si="25"/>
        <v>3099329</v>
      </c>
      <c r="AE52" s="56"/>
      <c r="AF52" s="56"/>
      <c r="AG52" s="56"/>
      <c r="AH52" s="56"/>
    </row>
    <row r="53" spans="1:34" ht="156.75" customHeight="1" outlineLevel="1" x14ac:dyDescent="0.2">
      <c r="A53" s="335" t="s">
        <v>463</v>
      </c>
      <c r="B53" s="331" t="s">
        <v>164</v>
      </c>
      <c r="C53" s="59" t="s">
        <v>56</v>
      </c>
      <c r="D53" s="331" t="s">
        <v>48</v>
      </c>
      <c r="E53" s="333">
        <f t="shared" si="21"/>
        <v>142702</v>
      </c>
      <c r="F53" s="346">
        <f>'2.переченьМРАД'!$I$243</f>
        <v>7702</v>
      </c>
      <c r="G53" s="346">
        <f>'2.переченьМРАД'!$H$243</f>
        <v>135000</v>
      </c>
      <c r="H53" s="346">
        <f>'2.переченьМРАД'!G36</f>
        <v>0</v>
      </c>
      <c r="I53" s="347">
        <v>0</v>
      </c>
      <c r="J53" s="333">
        <f t="shared" si="26"/>
        <v>132502</v>
      </c>
      <c r="K53" s="346">
        <f>'2.переченьМРАД'!$N$243</f>
        <v>132502</v>
      </c>
      <c r="L53" s="346">
        <f>'2.переченьМРАД'!$M$243</f>
        <v>0</v>
      </c>
      <c r="M53" s="346">
        <v>0</v>
      </c>
      <c r="N53" s="347">
        <v>0</v>
      </c>
      <c r="O53" s="333">
        <f t="shared" si="24"/>
        <v>40137</v>
      </c>
      <c r="P53" s="346">
        <f>'2.переченьМРАД'!$S$243</f>
        <v>40137</v>
      </c>
      <c r="Q53" s="346">
        <f>'2.переченьМРАД'!$R$243</f>
        <v>0</v>
      </c>
      <c r="R53" s="346">
        <v>0</v>
      </c>
      <c r="S53" s="347">
        <v>0</v>
      </c>
      <c r="T53" s="333">
        <f t="shared" si="22"/>
        <v>105550</v>
      </c>
      <c r="U53" s="334">
        <f>ROUND('2.переченьМРАД'!$X$243,0)</f>
        <v>105550</v>
      </c>
      <c r="V53" s="334">
        <f>ROUND('2.переченьМРАД'!$W$243,0)</f>
        <v>0</v>
      </c>
      <c r="W53" s="334">
        <v>0</v>
      </c>
      <c r="X53" s="334">
        <v>0</v>
      </c>
      <c r="Y53" s="333">
        <f t="shared" si="23"/>
        <v>0</v>
      </c>
      <c r="Z53" s="334">
        <f>ROUND('2.переченьМРАД'!$AC$243,0)</f>
        <v>0</v>
      </c>
      <c r="AA53" s="334">
        <f>ROUND('2.переченьМРАД'!$AB$243,0)</f>
        <v>0</v>
      </c>
      <c r="AB53" s="334">
        <v>0</v>
      </c>
      <c r="AC53" s="334">
        <v>0</v>
      </c>
      <c r="AD53" s="333">
        <f t="shared" si="25"/>
        <v>420891</v>
      </c>
      <c r="AE53" s="56"/>
      <c r="AF53" s="56"/>
      <c r="AG53" s="56"/>
      <c r="AH53" s="56"/>
    </row>
    <row r="54" spans="1:34" s="9" customFormat="1" ht="310.5" customHeight="1" outlineLevel="1" x14ac:dyDescent="0.2">
      <c r="A54" s="335" t="s">
        <v>464</v>
      </c>
      <c r="B54" s="331" t="s">
        <v>167</v>
      </c>
      <c r="C54" s="59" t="s">
        <v>56</v>
      </c>
      <c r="D54" s="331" t="s">
        <v>48</v>
      </c>
      <c r="E54" s="333">
        <f>F54+G54+H54+I54</f>
        <v>2746</v>
      </c>
      <c r="F54" s="346">
        <v>2746</v>
      </c>
      <c r="G54" s="346">
        <f>'2.переченьМРАД'!$H$266</f>
        <v>0</v>
      </c>
      <c r="H54" s="346">
        <f>'2.переченьМРАД'!G266</f>
        <v>0</v>
      </c>
      <c r="I54" s="347">
        <v>0</v>
      </c>
      <c r="J54" s="333">
        <f t="shared" si="26"/>
        <v>1380</v>
      </c>
      <c r="K54" s="346">
        <f>'2.переченьМРАД'!N266</f>
        <v>1380</v>
      </c>
      <c r="L54" s="346">
        <f>'[2]2.переченьМРАД'!$M$510</f>
        <v>0</v>
      </c>
      <c r="M54" s="346">
        <v>0</v>
      </c>
      <c r="N54" s="347">
        <v>0</v>
      </c>
      <c r="O54" s="333">
        <f t="shared" si="24"/>
        <v>1686</v>
      </c>
      <c r="P54" s="346">
        <f>'2.переченьМРАД'!S266</f>
        <v>1686</v>
      </c>
      <c r="Q54" s="346">
        <f>'[2]2.переченьМРАД'!$R$510</f>
        <v>0</v>
      </c>
      <c r="R54" s="346">
        <v>0</v>
      </c>
      <c r="S54" s="347">
        <v>0</v>
      </c>
      <c r="T54" s="333">
        <f t="shared" si="22"/>
        <v>1539</v>
      </c>
      <c r="U54" s="334">
        <f>'2.переченьМРАД'!X266</f>
        <v>1539</v>
      </c>
      <c r="V54" s="334">
        <f>'2.переченьМРАД'!$W$266</f>
        <v>0</v>
      </c>
      <c r="W54" s="334">
        <v>0</v>
      </c>
      <c r="X54" s="334">
        <v>0</v>
      </c>
      <c r="Y54" s="333">
        <f t="shared" si="23"/>
        <v>0</v>
      </c>
      <c r="Z54" s="334">
        <f>ROUND('2.переченьМРАД'!$AC$266,0)</f>
        <v>0</v>
      </c>
      <c r="AA54" s="334">
        <f>'2.переченьМРАД'!$AB$266</f>
        <v>0</v>
      </c>
      <c r="AB54" s="334">
        <v>0</v>
      </c>
      <c r="AC54" s="334">
        <v>0</v>
      </c>
      <c r="AD54" s="333">
        <f>E54+J54+O54+T54+Y54</f>
        <v>7351</v>
      </c>
      <c r="AE54" s="348"/>
      <c r="AF54" s="348"/>
      <c r="AG54" s="348"/>
      <c r="AH54" s="349"/>
    </row>
    <row r="55" spans="1:34" s="9" customFormat="1" ht="162" customHeight="1" outlineLevel="1" x14ac:dyDescent="0.2">
      <c r="A55" s="331" t="s">
        <v>465</v>
      </c>
      <c r="B55" s="331" t="s">
        <v>636</v>
      </c>
      <c r="C55" s="59" t="s">
        <v>56</v>
      </c>
      <c r="D55" s="331" t="s">
        <v>667</v>
      </c>
      <c r="E55" s="333">
        <f>F55+G55+H55+I55</f>
        <v>155462</v>
      </c>
      <c r="F55" s="346">
        <f>'2.переченьМРАД'!I268</f>
        <v>7462</v>
      </c>
      <c r="G55" s="346">
        <f>'2.переченьМРАД'!H268</f>
        <v>148000</v>
      </c>
      <c r="H55" s="346">
        <f>'2.переченьМРАД'!G268</f>
        <v>0</v>
      </c>
      <c r="I55" s="347">
        <v>0</v>
      </c>
      <c r="J55" s="333">
        <f t="shared" si="26"/>
        <v>212314</v>
      </c>
      <c r="K55" s="346">
        <f>'2.переченьМРАД'!N269</f>
        <v>12314</v>
      </c>
      <c r="L55" s="346">
        <f>'2.переченьМРАД'!M269</f>
        <v>200000</v>
      </c>
      <c r="M55" s="346">
        <f>'2.переченьМРАД'!L268</f>
        <v>0</v>
      </c>
      <c r="N55" s="347">
        <v>0</v>
      </c>
      <c r="O55" s="333">
        <f t="shared" si="24"/>
        <v>212314</v>
      </c>
      <c r="P55" s="346">
        <f>'2.переченьМРАД'!S268</f>
        <v>12314</v>
      </c>
      <c r="Q55" s="346">
        <f>'2.переченьМРАД'!R268</f>
        <v>200000</v>
      </c>
      <c r="R55" s="346">
        <f>'2.переченьМРАД'!Q268</f>
        <v>0</v>
      </c>
      <c r="S55" s="347">
        <v>0</v>
      </c>
      <c r="T55" s="333">
        <f t="shared" si="22"/>
        <v>206186</v>
      </c>
      <c r="U55" s="334">
        <f>'2.переченьМРАД'!X268</f>
        <v>6186</v>
      </c>
      <c r="V55" s="334">
        <f>'2.переченьМРАД'!W268</f>
        <v>200000</v>
      </c>
      <c r="W55" s="334">
        <f>'2.переченьМРАД'!V268</f>
        <v>0</v>
      </c>
      <c r="X55" s="334">
        <v>0</v>
      </c>
      <c r="Y55" s="333">
        <f t="shared" si="23"/>
        <v>0</v>
      </c>
      <c r="Z55" s="334">
        <f>'2.переченьМРАД'!AC268</f>
        <v>0</v>
      </c>
      <c r="AA55" s="334">
        <f>'2.переченьМРАД'!AB268</f>
        <v>0</v>
      </c>
      <c r="AB55" s="334">
        <f>'2.переченьМРАД'!AA268</f>
        <v>0</v>
      </c>
      <c r="AC55" s="334">
        <v>0</v>
      </c>
      <c r="AD55" s="333">
        <f t="shared" si="25"/>
        <v>786276</v>
      </c>
      <c r="AE55" s="348"/>
      <c r="AF55" s="348"/>
      <c r="AG55" s="348"/>
      <c r="AH55" s="349"/>
    </row>
    <row r="56" spans="1:34" s="32" customFormat="1" ht="51" customHeight="1" outlineLevel="1" x14ac:dyDescent="0.25">
      <c r="A56" s="451" t="s">
        <v>391</v>
      </c>
      <c r="B56" s="451"/>
      <c r="C56" s="451"/>
      <c r="D56" s="157"/>
      <c r="E56" s="333">
        <f>F56+G56+H56+I56</f>
        <v>1584835</v>
      </c>
      <c r="F56" s="350">
        <f>F58-F57</f>
        <v>108934</v>
      </c>
      <c r="G56" s="350">
        <f>G58-G57</f>
        <v>1349108</v>
      </c>
      <c r="H56" s="350">
        <f>H58-H57</f>
        <v>126793</v>
      </c>
      <c r="I56" s="350">
        <f>I58-I48</f>
        <v>0</v>
      </c>
      <c r="J56" s="333">
        <f>K56+L56+M56+N56</f>
        <v>1550012</v>
      </c>
      <c r="K56" s="350">
        <f>K58-K57</f>
        <v>259151</v>
      </c>
      <c r="L56" s="350">
        <f>L58-L57</f>
        <v>1290861</v>
      </c>
      <c r="M56" s="350">
        <f>M58-M57</f>
        <v>0</v>
      </c>
      <c r="N56" s="350">
        <f>N58-N57</f>
        <v>0</v>
      </c>
      <c r="O56" s="350">
        <f t="shared" si="24"/>
        <v>2080681</v>
      </c>
      <c r="P56" s="350">
        <f>P58-P57</f>
        <v>301568</v>
      </c>
      <c r="Q56" s="350">
        <f>Q58-Q57</f>
        <v>1779113</v>
      </c>
      <c r="R56" s="350">
        <f>R58-R57</f>
        <v>0</v>
      </c>
      <c r="S56" s="350">
        <f>S58-S57</f>
        <v>0</v>
      </c>
      <c r="T56" s="333">
        <f t="shared" si="22"/>
        <v>1457886</v>
      </c>
      <c r="U56" s="333">
        <f>U58-U57</f>
        <v>303862</v>
      </c>
      <c r="V56" s="333">
        <f>V58-V57</f>
        <v>1154024</v>
      </c>
      <c r="W56" s="333">
        <f>W58-W57</f>
        <v>0</v>
      </c>
      <c r="X56" s="333">
        <f>X58-X57</f>
        <v>0</v>
      </c>
      <c r="Y56" s="333">
        <f t="shared" si="23"/>
        <v>88354</v>
      </c>
      <c r="Z56" s="333">
        <f>Z58-Z57</f>
        <v>88354</v>
      </c>
      <c r="AA56" s="333">
        <f>AA58-AA57</f>
        <v>0</v>
      </c>
      <c r="AB56" s="333">
        <f>AB58-AB57</f>
        <v>0</v>
      </c>
      <c r="AC56" s="333">
        <f>AC58-AC57</f>
        <v>0</v>
      </c>
      <c r="AD56" s="333">
        <f>E56+J56+O56+T56+Y56</f>
        <v>6761768</v>
      </c>
      <c r="AE56" s="344">
        <f t="shared" ref="AE56:AE57" si="27">F56+K56+P56+U56+Z56</f>
        <v>1061869</v>
      </c>
      <c r="AF56" s="344">
        <f t="shared" ref="AF56:AF57" si="28">G56+L56+Q56+V56+AA56</f>
        <v>5573106</v>
      </c>
      <c r="AG56" s="344">
        <f t="shared" ref="AG56:AG57" si="29">H56+M56+R56+W56+AB56</f>
        <v>126793</v>
      </c>
      <c r="AH56" s="344">
        <f t="shared" ref="AH56:AH57" si="30">I56+N56+S56+X56+AC56</f>
        <v>0</v>
      </c>
    </row>
    <row r="57" spans="1:34" s="32" customFormat="1" ht="40.5" customHeight="1" outlineLevel="1" x14ac:dyDescent="0.25">
      <c r="A57" s="451" t="s">
        <v>392</v>
      </c>
      <c r="B57" s="451"/>
      <c r="C57" s="451"/>
      <c r="D57" s="157"/>
      <c r="E57" s="333">
        <f>F57+G57+H57+I57</f>
        <v>988</v>
      </c>
      <c r="F57" s="350">
        <f>F48</f>
        <v>988</v>
      </c>
      <c r="G57" s="350">
        <f>G48</f>
        <v>0</v>
      </c>
      <c r="H57" s="350">
        <f>H48</f>
        <v>0</v>
      </c>
      <c r="I57" s="350">
        <f>I48</f>
        <v>0</v>
      </c>
      <c r="J57" s="333">
        <f>K57+L57+M57+N57</f>
        <v>1584</v>
      </c>
      <c r="K57" s="350">
        <f>K48</f>
        <v>1584</v>
      </c>
      <c r="L57" s="350">
        <f>L48</f>
        <v>0</v>
      </c>
      <c r="M57" s="350">
        <f>M48</f>
        <v>0</v>
      </c>
      <c r="N57" s="351">
        <f>N48</f>
        <v>0</v>
      </c>
      <c r="O57" s="333">
        <f t="shared" si="24"/>
        <v>0</v>
      </c>
      <c r="P57" s="350">
        <f>P48</f>
        <v>0</v>
      </c>
      <c r="Q57" s="350">
        <f>Q48</f>
        <v>0</v>
      </c>
      <c r="R57" s="350">
        <f>R48</f>
        <v>0</v>
      </c>
      <c r="S57" s="351">
        <f>S48</f>
        <v>0</v>
      </c>
      <c r="T57" s="333">
        <f t="shared" si="22"/>
        <v>0</v>
      </c>
      <c r="U57" s="333">
        <f>U48</f>
        <v>0</v>
      </c>
      <c r="V57" s="333">
        <f>V48</f>
        <v>0</v>
      </c>
      <c r="W57" s="333">
        <f>W48</f>
        <v>0</v>
      </c>
      <c r="X57" s="333">
        <f>X48</f>
        <v>0</v>
      </c>
      <c r="Y57" s="333">
        <f>Z57+AA57+AB57+AC57</f>
        <v>0</v>
      </c>
      <c r="Z57" s="333">
        <f>Z48</f>
        <v>0</v>
      </c>
      <c r="AA57" s="333">
        <f>AA48</f>
        <v>0</v>
      </c>
      <c r="AB57" s="333">
        <f>AB48</f>
        <v>0</v>
      </c>
      <c r="AC57" s="333">
        <f>AC48</f>
        <v>0</v>
      </c>
      <c r="AD57" s="333">
        <f>E57+J57+O57+T57+Y57</f>
        <v>2572</v>
      </c>
      <c r="AE57" s="344">
        <f t="shared" si="27"/>
        <v>2572</v>
      </c>
      <c r="AF57" s="344">
        <f t="shared" si="28"/>
        <v>0</v>
      </c>
      <c r="AG57" s="344">
        <f t="shared" si="29"/>
        <v>0</v>
      </c>
      <c r="AH57" s="344">
        <f t="shared" si="30"/>
        <v>0</v>
      </c>
    </row>
    <row r="58" spans="1:34" ht="42" customHeight="1" x14ac:dyDescent="0.2">
      <c r="A58" s="451" t="s">
        <v>390</v>
      </c>
      <c r="B58" s="451"/>
      <c r="C58" s="451"/>
      <c r="D58" s="147"/>
      <c r="E58" s="333">
        <f t="shared" ref="E58:AD58" si="31">SUM(E45:E55)-E52-E50</f>
        <v>1585823</v>
      </c>
      <c r="F58" s="333">
        <f>SUM(F45:F55)-F52-F50</f>
        <v>109922</v>
      </c>
      <c r="G58" s="333">
        <f>SUM(G45:G55)-G52-G50</f>
        <v>1349108</v>
      </c>
      <c r="H58" s="333">
        <f>SUM(H45:H55)-H52-H50</f>
        <v>126793</v>
      </c>
      <c r="I58" s="333">
        <f t="shared" si="31"/>
        <v>0</v>
      </c>
      <c r="J58" s="333">
        <f t="shared" si="31"/>
        <v>1551596</v>
      </c>
      <c r="K58" s="333">
        <f t="shared" si="31"/>
        <v>260735</v>
      </c>
      <c r="L58" s="333">
        <f t="shared" si="31"/>
        <v>1290861</v>
      </c>
      <c r="M58" s="333">
        <f t="shared" si="31"/>
        <v>0</v>
      </c>
      <c r="N58" s="333">
        <f t="shared" si="31"/>
        <v>0</v>
      </c>
      <c r="O58" s="333">
        <f t="shared" si="24"/>
        <v>2080681</v>
      </c>
      <c r="P58" s="333">
        <f t="shared" si="31"/>
        <v>301568</v>
      </c>
      <c r="Q58" s="333">
        <f t="shared" si="31"/>
        <v>1779113</v>
      </c>
      <c r="R58" s="333">
        <f t="shared" si="31"/>
        <v>0</v>
      </c>
      <c r="S58" s="333">
        <f t="shared" si="31"/>
        <v>0</v>
      </c>
      <c r="T58" s="333">
        <f t="shared" si="22"/>
        <v>1457886</v>
      </c>
      <c r="U58" s="333">
        <f t="shared" si="31"/>
        <v>303862</v>
      </c>
      <c r="V58" s="333">
        <f t="shared" si="31"/>
        <v>1154024</v>
      </c>
      <c r="W58" s="333">
        <f t="shared" si="31"/>
        <v>0</v>
      </c>
      <c r="X58" s="333">
        <f t="shared" si="31"/>
        <v>0</v>
      </c>
      <c r="Y58" s="333">
        <f t="shared" si="31"/>
        <v>88354</v>
      </c>
      <c r="Z58" s="333">
        <f t="shared" si="31"/>
        <v>88354</v>
      </c>
      <c r="AA58" s="333">
        <f t="shared" si="31"/>
        <v>0</v>
      </c>
      <c r="AB58" s="333">
        <f t="shared" si="31"/>
        <v>0</v>
      </c>
      <c r="AC58" s="333">
        <f t="shared" si="31"/>
        <v>0</v>
      </c>
      <c r="AD58" s="333">
        <f t="shared" si="31"/>
        <v>6764340</v>
      </c>
      <c r="AE58" s="344">
        <f>F58+K58+P58+U58+Z58</f>
        <v>1064441</v>
      </c>
      <c r="AF58" s="344">
        <f>G58+L58+Q58+V58+AA58</f>
        <v>5573106</v>
      </c>
      <c r="AG58" s="344">
        <f>H58+M58+R58+W58+AB58</f>
        <v>126793</v>
      </c>
      <c r="AH58" s="344">
        <f>I58+N58+S58+X58+AC58</f>
        <v>0</v>
      </c>
    </row>
    <row r="59" spans="1:34" ht="42" customHeight="1" x14ac:dyDescent="0.2">
      <c r="A59" s="329" t="s">
        <v>480</v>
      </c>
      <c r="B59" s="463" t="s">
        <v>1159</v>
      </c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352"/>
      <c r="AF59" s="352"/>
      <c r="AG59" s="352"/>
      <c r="AH59" s="352"/>
    </row>
    <row r="60" spans="1:34" ht="37.9" customHeight="1" x14ac:dyDescent="0.2">
      <c r="A60" s="482" t="s">
        <v>430</v>
      </c>
      <c r="B60" s="482"/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  <c r="AA60" s="482"/>
      <c r="AB60" s="482"/>
      <c r="AC60" s="482"/>
      <c r="AD60" s="482"/>
      <c r="AE60" s="56"/>
      <c r="AF60" s="56"/>
      <c r="AG60" s="56"/>
      <c r="AH60" s="56"/>
    </row>
    <row r="61" spans="1:34" ht="36" customHeight="1" x14ac:dyDescent="0.2">
      <c r="A61" s="469" t="s">
        <v>1157</v>
      </c>
      <c r="B61" s="469"/>
      <c r="C61" s="469"/>
      <c r="D61" s="469"/>
      <c r="E61" s="469"/>
      <c r="F61" s="469"/>
      <c r="G61" s="469"/>
      <c r="H61" s="469"/>
      <c r="I61" s="469"/>
      <c r="J61" s="469"/>
      <c r="K61" s="469"/>
      <c r="L61" s="469"/>
      <c r="M61" s="469"/>
      <c r="N61" s="469"/>
      <c r="O61" s="469"/>
      <c r="P61" s="469"/>
      <c r="Q61" s="469"/>
      <c r="R61" s="469"/>
      <c r="S61" s="469"/>
      <c r="T61" s="469"/>
      <c r="U61" s="469"/>
      <c r="V61" s="469"/>
      <c r="W61" s="469"/>
      <c r="X61" s="469"/>
      <c r="Y61" s="469"/>
      <c r="Z61" s="469"/>
      <c r="AA61" s="469"/>
      <c r="AB61" s="469"/>
      <c r="AC61" s="469"/>
      <c r="AD61" s="469"/>
      <c r="AE61" s="56"/>
      <c r="AF61" s="56"/>
      <c r="AG61" s="56"/>
      <c r="AH61" s="56"/>
    </row>
    <row r="62" spans="1:34" ht="36.6" customHeight="1" outlineLevel="1" x14ac:dyDescent="0.2">
      <c r="A62" s="353" t="s">
        <v>43</v>
      </c>
      <c r="B62" s="461" t="s">
        <v>481</v>
      </c>
      <c r="C62" s="462"/>
      <c r="D62" s="462"/>
      <c r="E62" s="462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  <c r="S62" s="462"/>
      <c r="T62" s="462"/>
      <c r="U62" s="462"/>
      <c r="V62" s="462"/>
      <c r="W62" s="462"/>
      <c r="X62" s="462"/>
      <c r="Y62" s="462"/>
      <c r="Z62" s="462"/>
      <c r="AA62" s="462"/>
      <c r="AB62" s="462"/>
      <c r="AC62" s="462"/>
      <c r="AD62" s="462"/>
      <c r="AE62" s="354"/>
      <c r="AF62" s="354"/>
      <c r="AG62" s="354"/>
      <c r="AH62" s="354"/>
    </row>
    <row r="63" spans="1:34" ht="207.75" customHeight="1" outlineLevel="1" x14ac:dyDescent="0.2">
      <c r="A63" s="335" t="s">
        <v>452</v>
      </c>
      <c r="B63" s="147" t="s">
        <v>449</v>
      </c>
      <c r="C63" s="59" t="s">
        <v>53</v>
      </c>
      <c r="D63" s="331" t="s">
        <v>48</v>
      </c>
      <c r="E63" s="333">
        <f>F63+G63+H63+I63</f>
        <v>242392</v>
      </c>
      <c r="F63" s="334">
        <f>390702-125000-25030+1720</f>
        <v>242392</v>
      </c>
      <c r="G63" s="334">
        <v>0</v>
      </c>
      <c r="H63" s="334">
        <v>0</v>
      </c>
      <c r="I63" s="334">
        <v>0</v>
      </c>
      <c r="J63" s="333">
        <f>K63+L63+M63+N63</f>
        <v>221307</v>
      </c>
      <c r="K63" s="334">
        <v>221307</v>
      </c>
      <c r="L63" s="334">
        <v>0</v>
      </c>
      <c r="M63" s="334">
        <v>0</v>
      </c>
      <c r="N63" s="334">
        <v>0</v>
      </c>
      <c r="O63" s="333">
        <f t="shared" ref="O63:O69" si="32">SUM(P63:S63)</f>
        <v>227644</v>
      </c>
      <c r="P63" s="334">
        <f>424611+1857+3174-212314+10316</f>
        <v>227644</v>
      </c>
      <c r="Q63" s="334">
        <v>0</v>
      </c>
      <c r="R63" s="334">
        <v>0</v>
      </c>
      <c r="S63" s="334">
        <v>0</v>
      </c>
      <c r="T63" s="333">
        <f>SUM(U63:X63)</f>
        <v>263441</v>
      </c>
      <c r="U63" s="334">
        <f>426468+20169+22080+910-6186-200000</f>
        <v>263441</v>
      </c>
      <c r="V63" s="334">
        <v>0</v>
      </c>
      <c r="W63" s="334">
        <v>0</v>
      </c>
      <c r="X63" s="334">
        <v>0</v>
      </c>
      <c r="Y63" s="333">
        <f>SUM(Z63:AC63)</f>
        <v>498050</v>
      </c>
      <c r="Z63" s="334">
        <f>422583+24054+51413</f>
        <v>498050</v>
      </c>
      <c r="AA63" s="334">
        <v>0</v>
      </c>
      <c r="AB63" s="334">
        <v>0</v>
      </c>
      <c r="AC63" s="334">
        <v>0</v>
      </c>
      <c r="AD63" s="333">
        <f t="shared" ref="AD63:AH64" si="33">E63+J63+O63+T63+Y63</f>
        <v>1452834</v>
      </c>
      <c r="AE63" s="344">
        <f t="shared" si="33"/>
        <v>1452834</v>
      </c>
      <c r="AF63" s="344">
        <f t="shared" si="33"/>
        <v>0</v>
      </c>
      <c r="AG63" s="344">
        <f t="shared" si="33"/>
        <v>0</v>
      </c>
      <c r="AH63" s="344">
        <f t="shared" si="33"/>
        <v>0</v>
      </c>
    </row>
    <row r="64" spans="1:34" ht="95.25" customHeight="1" outlineLevel="1" x14ac:dyDescent="0.2">
      <c r="A64" s="335" t="s">
        <v>482</v>
      </c>
      <c r="B64" s="147" t="s">
        <v>126</v>
      </c>
      <c r="C64" s="59" t="s">
        <v>53</v>
      </c>
      <c r="D64" s="331" t="s">
        <v>48</v>
      </c>
      <c r="E64" s="333">
        <v>846</v>
      </c>
      <c r="F64" s="334">
        <v>846</v>
      </c>
      <c r="G64" s="334">
        <v>0</v>
      </c>
      <c r="H64" s="334">
        <v>0</v>
      </c>
      <c r="I64" s="334">
        <v>0</v>
      </c>
      <c r="J64" s="333">
        <f>K64+L64+M64+N64</f>
        <v>846</v>
      </c>
      <c r="K64" s="334">
        <v>846</v>
      </c>
      <c r="L64" s="334">
        <v>0</v>
      </c>
      <c r="M64" s="334">
        <v>0</v>
      </c>
      <c r="N64" s="334">
        <v>0</v>
      </c>
      <c r="O64" s="333">
        <f t="shared" si="32"/>
        <v>868</v>
      </c>
      <c r="P64" s="334">
        <f>846+22</f>
        <v>868</v>
      </c>
      <c r="Q64" s="334">
        <v>0</v>
      </c>
      <c r="R64" s="334">
        <v>0</v>
      </c>
      <c r="S64" s="334">
        <v>0</v>
      </c>
      <c r="T64" s="333">
        <f>SUM(U64:X64)</f>
        <v>964</v>
      </c>
      <c r="U64" s="334">
        <f>846+118</f>
        <v>964</v>
      </c>
      <c r="V64" s="334">
        <v>0</v>
      </c>
      <c r="W64" s="334">
        <v>0</v>
      </c>
      <c r="X64" s="334">
        <v>0</v>
      </c>
      <c r="Y64" s="333">
        <f>SUM(Z64:AC64)</f>
        <v>968</v>
      </c>
      <c r="Z64" s="334">
        <f>846+122</f>
        <v>968</v>
      </c>
      <c r="AA64" s="334">
        <v>0</v>
      </c>
      <c r="AB64" s="334">
        <v>0</v>
      </c>
      <c r="AC64" s="334">
        <v>0</v>
      </c>
      <c r="AD64" s="333">
        <f t="shared" si="33"/>
        <v>4492</v>
      </c>
      <c r="AE64" s="344">
        <f t="shared" si="33"/>
        <v>4492</v>
      </c>
      <c r="AF64" s="344">
        <f t="shared" si="33"/>
        <v>0</v>
      </c>
      <c r="AG64" s="344">
        <f t="shared" si="33"/>
        <v>0</v>
      </c>
      <c r="AH64" s="344">
        <f t="shared" si="33"/>
        <v>0</v>
      </c>
    </row>
    <row r="65" spans="1:34" ht="36.6" customHeight="1" outlineLevel="1" x14ac:dyDescent="0.2">
      <c r="A65" s="353" t="s">
        <v>44</v>
      </c>
      <c r="B65" s="461" t="s">
        <v>495</v>
      </c>
      <c r="C65" s="462"/>
      <c r="D65" s="462"/>
      <c r="E65" s="462"/>
      <c r="F65" s="462"/>
      <c r="G65" s="462"/>
      <c r="H65" s="462"/>
      <c r="I65" s="462"/>
      <c r="J65" s="462"/>
      <c r="K65" s="462"/>
      <c r="L65" s="462"/>
      <c r="M65" s="462"/>
      <c r="N65" s="462"/>
      <c r="O65" s="462"/>
      <c r="P65" s="462"/>
      <c r="Q65" s="462"/>
      <c r="R65" s="462"/>
      <c r="S65" s="462"/>
      <c r="T65" s="462"/>
      <c r="U65" s="462"/>
      <c r="V65" s="462"/>
      <c r="W65" s="462"/>
      <c r="X65" s="462"/>
      <c r="Y65" s="462"/>
      <c r="Z65" s="462"/>
      <c r="AA65" s="462"/>
      <c r="AB65" s="462"/>
      <c r="AC65" s="462"/>
      <c r="AD65" s="465"/>
      <c r="AE65" s="355"/>
      <c r="AF65" s="78"/>
      <c r="AG65" s="78"/>
      <c r="AH65" s="78"/>
    </row>
    <row r="66" spans="1:34" ht="106.5" customHeight="1" outlineLevel="1" x14ac:dyDescent="0.2">
      <c r="A66" s="335" t="s">
        <v>453</v>
      </c>
      <c r="B66" s="147" t="s">
        <v>79</v>
      </c>
      <c r="C66" s="59" t="s">
        <v>53</v>
      </c>
      <c r="D66" s="331" t="s">
        <v>48</v>
      </c>
      <c r="E66" s="333">
        <f>F66+G66+H66+I66</f>
        <v>29931</v>
      </c>
      <c r="F66" s="334">
        <f>30000-69</f>
        <v>29931</v>
      </c>
      <c r="G66" s="334">
        <v>0</v>
      </c>
      <c r="H66" s="334">
        <v>0</v>
      </c>
      <c r="I66" s="334">
        <v>0</v>
      </c>
      <c r="J66" s="333">
        <f>K66+L66+M66+N66</f>
        <v>30000</v>
      </c>
      <c r="K66" s="334">
        <v>30000</v>
      </c>
      <c r="L66" s="334">
        <v>0</v>
      </c>
      <c r="M66" s="334">
        <v>0</v>
      </c>
      <c r="N66" s="334">
        <v>0</v>
      </c>
      <c r="O66" s="333">
        <f t="shared" si="32"/>
        <v>25868</v>
      </c>
      <c r="P66" s="334">
        <f>30000-4132</f>
        <v>25868</v>
      </c>
      <c r="Q66" s="334">
        <v>0</v>
      </c>
      <c r="R66" s="334">
        <v>0</v>
      </c>
      <c r="S66" s="334">
        <v>0</v>
      </c>
      <c r="T66" s="333">
        <f>SUM(U66:X66)</f>
        <v>53164</v>
      </c>
      <c r="U66" s="334">
        <f>31200-1200+25000-1836</f>
        <v>53164</v>
      </c>
      <c r="V66" s="334">
        <v>0</v>
      </c>
      <c r="W66" s="334">
        <v>0</v>
      </c>
      <c r="X66" s="334">
        <v>0</v>
      </c>
      <c r="Y66" s="333">
        <f>SUM(Z66:AC66)</f>
        <v>36000</v>
      </c>
      <c r="Z66" s="334">
        <f>31200+4800</f>
        <v>36000</v>
      </c>
      <c r="AA66" s="334">
        <v>0</v>
      </c>
      <c r="AB66" s="334">
        <v>0</v>
      </c>
      <c r="AC66" s="334">
        <v>0</v>
      </c>
      <c r="AD66" s="333">
        <f>E66+J66+O66+T66+Y66</f>
        <v>174963</v>
      </c>
      <c r="AE66" s="344">
        <f>F66+K66+P66+U66+Z66</f>
        <v>174963</v>
      </c>
      <c r="AF66" s="344">
        <f>G66+L66+Q66+V66+AA66</f>
        <v>0</v>
      </c>
      <c r="AG66" s="344">
        <f>H66+M66+R66+W66+AB66</f>
        <v>0</v>
      </c>
      <c r="AH66" s="344">
        <f>I66+N66+S66+X66+AC66</f>
        <v>0</v>
      </c>
    </row>
    <row r="67" spans="1:34" ht="119.25" customHeight="1" outlineLevel="1" x14ac:dyDescent="0.2">
      <c r="A67" s="335" t="s">
        <v>483</v>
      </c>
      <c r="B67" s="147" t="s">
        <v>541</v>
      </c>
      <c r="C67" s="59" t="s">
        <v>53</v>
      </c>
      <c r="D67" s="331" t="s">
        <v>48</v>
      </c>
      <c r="E67" s="333">
        <f>F67+G67+H67+I67</f>
        <v>8312</v>
      </c>
      <c r="F67" s="334">
        <v>8312</v>
      </c>
      <c r="G67" s="334">
        <v>0</v>
      </c>
      <c r="H67" s="334">
        <v>0</v>
      </c>
      <c r="I67" s="334">
        <v>0</v>
      </c>
      <c r="J67" s="333">
        <f>K67+L67+M67+N67</f>
        <v>8031</v>
      </c>
      <c r="K67" s="334">
        <f>831+7200</f>
        <v>8031</v>
      </c>
      <c r="L67" s="334">
        <v>0</v>
      </c>
      <c r="M67" s="334">
        <v>0</v>
      </c>
      <c r="N67" s="334">
        <v>0</v>
      </c>
      <c r="O67" s="333">
        <f t="shared" si="32"/>
        <v>1200</v>
      </c>
      <c r="P67" s="334">
        <f>1219-9-10</f>
        <v>1200</v>
      </c>
      <c r="Q67" s="334">
        <v>0</v>
      </c>
      <c r="R67" s="334">
        <v>0</v>
      </c>
      <c r="S67" s="334">
        <v>0</v>
      </c>
      <c r="T67" s="333">
        <f>SUM(U67:X67)</f>
        <v>1200</v>
      </c>
      <c r="U67" s="334">
        <v>1200</v>
      </c>
      <c r="V67" s="334">
        <v>0</v>
      </c>
      <c r="W67" s="334">
        <v>0</v>
      </c>
      <c r="X67" s="334">
        <v>0</v>
      </c>
      <c r="Y67" s="333">
        <f>SUM(Z67:AC67)</f>
        <v>2817</v>
      </c>
      <c r="Z67" s="334">
        <v>2817</v>
      </c>
      <c r="AA67" s="334">
        <v>0</v>
      </c>
      <c r="AB67" s="334">
        <v>0</v>
      </c>
      <c r="AC67" s="334">
        <v>0</v>
      </c>
      <c r="AD67" s="333">
        <f>E67+J67+O67+T67+Y67</f>
        <v>21560</v>
      </c>
      <c r="AE67" s="344"/>
      <c r="AF67" s="344"/>
      <c r="AG67" s="344"/>
      <c r="AH67" s="344"/>
    </row>
    <row r="68" spans="1:34" ht="207" customHeight="1" outlineLevel="1" x14ac:dyDescent="0.2">
      <c r="A68" s="335" t="s">
        <v>484</v>
      </c>
      <c r="B68" s="147" t="s">
        <v>330</v>
      </c>
      <c r="C68" s="59" t="s">
        <v>53</v>
      </c>
      <c r="D68" s="331">
        <v>2021</v>
      </c>
      <c r="E68" s="333">
        <f>F68+G68+H68+I68</f>
        <v>111</v>
      </c>
      <c r="F68" s="334">
        <f>625-257-257</f>
        <v>111</v>
      </c>
      <c r="G68" s="334">
        <v>0</v>
      </c>
      <c r="H68" s="334">
        <v>0</v>
      </c>
      <c r="I68" s="334">
        <v>0</v>
      </c>
      <c r="J68" s="333">
        <f>K68+L68+M68+N68</f>
        <v>0</v>
      </c>
      <c r="K68" s="334">
        <v>0</v>
      </c>
      <c r="L68" s="334">
        <v>0</v>
      </c>
      <c r="M68" s="334">
        <v>0</v>
      </c>
      <c r="N68" s="334">
        <v>0</v>
      </c>
      <c r="O68" s="333">
        <f t="shared" si="32"/>
        <v>0</v>
      </c>
      <c r="P68" s="334">
        <v>0</v>
      </c>
      <c r="Q68" s="334">
        <v>0</v>
      </c>
      <c r="R68" s="334">
        <v>0</v>
      </c>
      <c r="S68" s="334">
        <v>0</v>
      </c>
      <c r="T68" s="333">
        <f>SUM(U68:X68)</f>
        <v>0</v>
      </c>
      <c r="U68" s="334">
        <v>0</v>
      </c>
      <c r="V68" s="334">
        <v>0</v>
      </c>
      <c r="W68" s="334">
        <v>0</v>
      </c>
      <c r="X68" s="334">
        <v>0</v>
      </c>
      <c r="Y68" s="333">
        <f>SUM(Z68:AC68)</f>
        <v>0</v>
      </c>
      <c r="Z68" s="334">
        <v>0</v>
      </c>
      <c r="AA68" s="334">
        <v>0</v>
      </c>
      <c r="AB68" s="334">
        <v>0</v>
      </c>
      <c r="AC68" s="334">
        <v>0</v>
      </c>
      <c r="AD68" s="333">
        <f>E68+J68+O68+T68+Y68</f>
        <v>111</v>
      </c>
      <c r="AE68" s="344"/>
      <c r="AF68" s="344"/>
      <c r="AG68" s="344"/>
      <c r="AH68" s="344"/>
    </row>
    <row r="69" spans="1:34" ht="112.15" customHeight="1" outlineLevel="1" x14ac:dyDescent="0.2">
      <c r="A69" s="335" t="s">
        <v>485</v>
      </c>
      <c r="B69" s="147" t="s">
        <v>347</v>
      </c>
      <c r="C69" s="59" t="s">
        <v>53</v>
      </c>
      <c r="D69" s="331">
        <v>2021</v>
      </c>
      <c r="E69" s="333">
        <f>F69+G69+H69+I69</f>
        <v>269</v>
      </c>
      <c r="F69" s="334">
        <v>269</v>
      </c>
      <c r="G69" s="334">
        <v>0</v>
      </c>
      <c r="H69" s="334">
        <v>0</v>
      </c>
      <c r="I69" s="334">
        <v>0</v>
      </c>
      <c r="J69" s="333">
        <f>K69+L69+M69+N69</f>
        <v>0</v>
      </c>
      <c r="K69" s="334">
        <v>0</v>
      </c>
      <c r="L69" s="334">
        <v>0</v>
      </c>
      <c r="M69" s="334">
        <v>0</v>
      </c>
      <c r="N69" s="334">
        <v>0</v>
      </c>
      <c r="O69" s="333">
        <f t="shared" si="32"/>
        <v>0</v>
      </c>
      <c r="P69" s="334">
        <v>0</v>
      </c>
      <c r="Q69" s="334">
        <v>0</v>
      </c>
      <c r="R69" s="334">
        <v>0</v>
      </c>
      <c r="S69" s="334">
        <v>0</v>
      </c>
      <c r="T69" s="333">
        <f>SUM(U69:X69)</f>
        <v>0</v>
      </c>
      <c r="U69" s="334">
        <v>0</v>
      </c>
      <c r="V69" s="334">
        <v>0</v>
      </c>
      <c r="W69" s="334">
        <v>0</v>
      </c>
      <c r="X69" s="334">
        <v>0</v>
      </c>
      <c r="Y69" s="333">
        <f>SUM(Z69:AC69)</f>
        <v>0</v>
      </c>
      <c r="Z69" s="334">
        <v>0</v>
      </c>
      <c r="AA69" s="334">
        <v>0</v>
      </c>
      <c r="AB69" s="334">
        <v>0</v>
      </c>
      <c r="AC69" s="334">
        <v>0</v>
      </c>
      <c r="AD69" s="333">
        <f>E69+J69+O69+T69+Y69</f>
        <v>269</v>
      </c>
      <c r="AE69" s="344"/>
      <c r="AF69" s="344"/>
      <c r="AG69" s="344"/>
      <c r="AH69" s="344"/>
    </row>
    <row r="70" spans="1:34" ht="318.75" customHeight="1" outlineLevel="1" x14ac:dyDescent="0.2">
      <c r="A70" s="335" t="s">
        <v>577</v>
      </c>
      <c r="B70" s="356" t="s">
        <v>1163</v>
      </c>
      <c r="C70" s="59" t="s">
        <v>53</v>
      </c>
      <c r="D70" s="331" t="s">
        <v>1164</v>
      </c>
      <c r="E70" s="333">
        <f>F70+G70+H70+I70</f>
        <v>0</v>
      </c>
      <c r="F70" s="334">
        <v>0</v>
      </c>
      <c r="G70" s="334">
        <v>0</v>
      </c>
      <c r="H70" s="334">
        <v>0</v>
      </c>
      <c r="I70" s="334">
        <v>0</v>
      </c>
      <c r="J70" s="333">
        <f>K70+L70+M70+N70</f>
        <v>0</v>
      </c>
      <c r="K70" s="334">
        <v>0</v>
      </c>
      <c r="L70" s="334">
        <v>0</v>
      </c>
      <c r="M70" s="334">
        <v>0</v>
      </c>
      <c r="N70" s="334">
        <v>0</v>
      </c>
      <c r="O70" s="333">
        <f>S70+R70+Q70+P70</f>
        <v>298</v>
      </c>
      <c r="P70" s="334">
        <f>400-102</f>
        <v>298</v>
      </c>
      <c r="Q70" s="334">
        <v>0</v>
      </c>
      <c r="R70" s="334">
        <v>0</v>
      </c>
      <c r="S70" s="334">
        <v>0</v>
      </c>
      <c r="T70" s="333">
        <f>U70+V70+W70+X70</f>
        <v>1529</v>
      </c>
      <c r="U70" s="334">
        <v>1529</v>
      </c>
      <c r="V70" s="334">
        <v>0</v>
      </c>
      <c r="W70" s="334">
        <v>0</v>
      </c>
      <c r="X70" s="334">
        <v>0</v>
      </c>
      <c r="Y70" s="333">
        <f>Z70+AA70+AB70+AC70</f>
        <v>0</v>
      </c>
      <c r="Z70" s="334">
        <v>0</v>
      </c>
      <c r="AA70" s="334">
        <v>0</v>
      </c>
      <c r="AB70" s="334">
        <v>0</v>
      </c>
      <c r="AC70" s="334">
        <v>0</v>
      </c>
      <c r="AD70" s="333">
        <f>E70+J70+O70+T70+Y70</f>
        <v>1827</v>
      </c>
      <c r="AE70" s="344"/>
      <c r="AF70" s="344"/>
      <c r="AG70" s="344"/>
      <c r="AH70" s="344"/>
    </row>
    <row r="71" spans="1:34" ht="39" customHeight="1" outlineLevel="1" x14ac:dyDescent="0.2">
      <c r="A71" s="477" t="s">
        <v>80</v>
      </c>
      <c r="B71" s="477"/>
      <c r="C71" s="477"/>
      <c r="D71" s="357"/>
      <c r="E71" s="333">
        <f t="shared" ref="E71:AD71" si="34">SUM(E63:E70)</f>
        <v>281861</v>
      </c>
      <c r="F71" s="333">
        <f t="shared" si="34"/>
        <v>281861</v>
      </c>
      <c r="G71" s="333">
        <f t="shared" si="34"/>
        <v>0</v>
      </c>
      <c r="H71" s="333">
        <f t="shared" si="34"/>
        <v>0</v>
      </c>
      <c r="I71" s="333">
        <f t="shared" si="34"/>
        <v>0</v>
      </c>
      <c r="J71" s="333">
        <f t="shared" si="34"/>
        <v>260184</v>
      </c>
      <c r="K71" s="333">
        <f t="shared" si="34"/>
        <v>260184</v>
      </c>
      <c r="L71" s="333">
        <f t="shared" si="34"/>
        <v>0</v>
      </c>
      <c r="M71" s="333">
        <f t="shared" si="34"/>
        <v>0</v>
      </c>
      <c r="N71" s="333">
        <f t="shared" si="34"/>
        <v>0</v>
      </c>
      <c r="O71" s="333">
        <f t="shared" si="34"/>
        <v>255878</v>
      </c>
      <c r="P71" s="333">
        <f>SUM(P63:P70)</f>
        <v>255878</v>
      </c>
      <c r="Q71" s="333">
        <f t="shared" si="34"/>
        <v>0</v>
      </c>
      <c r="R71" s="333">
        <f t="shared" si="34"/>
        <v>0</v>
      </c>
      <c r="S71" s="333">
        <f t="shared" si="34"/>
        <v>0</v>
      </c>
      <c r="T71" s="333">
        <f>SUM(T63:T70)</f>
        <v>320298</v>
      </c>
      <c r="U71" s="333">
        <f>SUM(U63:U70)</f>
        <v>320298</v>
      </c>
      <c r="V71" s="333">
        <f t="shared" si="34"/>
        <v>0</v>
      </c>
      <c r="W71" s="333">
        <f t="shared" si="34"/>
        <v>0</v>
      </c>
      <c r="X71" s="333">
        <f t="shared" si="34"/>
        <v>0</v>
      </c>
      <c r="Y71" s="333">
        <f t="shared" si="34"/>
        <v>537835</v>
      </c>
      <c r="Z71" s="333">
        <f t="shared" si="34"/>
        <v>537835</v>
      </c>
      <c r="AA71" s="333">
        <f t="shared" si="34"/>
        <v>0</v>
      </c>
      <c r="AB71" s="333">
        <f t="shared" si="34"/>
        <v>0</v>
      </c>
      <c r="AC71" s="333">
        <f t="shared" si="34"/>
        <v>0</v>
      </c>
      <c r="AD71" s="333">
        <f t="shared" si="34"/>
        <v>1656056</v>
      </c>
      <c r="AE71" s="344">
        <f>F71+K71+P71+U71+Z71</f>
        <v>1656056</v>
      </c>
      <c r="AF71" s="344">
        <f>G71+L71+Q71+V71+AA71</f>
        <v>0</v>
      </c>
      <c r="AG71" s="344">
        <f>H71+M71+R71+W71+AB71</f>
        <v>0</v>
      </c>
      <c r="AH71" s="344">
        <f>I71+N71+S71+X71+AC71</f>
        <v>0</v>
      </c>
    </row>
    <row r="72" spans="1:34" ht="39" customHeight="1" outlineLevel="1" x14ac:dyDescent="0.2">
      <c r="A72" s="329" t="s">
        <v>486</v>
      </c>
      <c r="B72" s="463" t="s">
        <v>1156</v>
      </c>
      <c r="C72" s="464"/>
      <c r="D72" s="464"/>
      <c r="E72" s="464"/>
      <c r="F72" s="464"/>
      <c r="G72" s="464"/>
      <c r="H72" s="464"/>
      <c r="I72" s="464"/>
      <c r="J72" s="464"/>
      <c r="K72" s="464"/>
      <c r="L72" s="464"/>
      <c r="M72" s="464"/>
      <c r="N72" s="464"/>
      <c r="O72" s="464"/>
      <c r="P72" s="464"/>
      <c r="Q72" s="464"/>
      <c r="R72" s="464"/>
      <c r="S72" s="464"/>
      <c r="T72" s="464"/>
      <c r="U72" s="464"/>
      <c r="V72" s="464"/>
      <c r="W72" s="464"/>
      <c r="X72" s="464"/>
      <c r="Y72" s="464"/>
      <c r="Z72" s="464"/>
      <c r="AA72" s="464"/>
      <c r="AB72" s="464"/>
      <c r="AC72" s="464"/>
      <c r="AD72" s="466"/>
      <c r="AE72" s="69"/>
      <c r="AF72" s="69"/>
      <c r="AG72" s="69"/>
      <c r="AH72" s="69"/>
    </row>
    <row r="73" spans="1:34" s="9" customFormat="1" ht="38.450000000000003" customHeight="1" outlineLevel="1" x14ac:dyDescent="0.2">
      <c r="A73" s="482" t="s">
        <v>136</v>
      </c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  <c r="AB73" s="482"/>
      <c r="AC73" s="482"/>
      <c r="AD73" s="482"/>
      <c r="AE73" s="56"/>
      <c r="AF73" s="56"/>
      <c r="AG73" s="56"/>
      <c r="AH73" s="56"/>
    </row>
    <row r="74" spans="1:34" ht="34.15" customHeight="1" x14ac:dyDescent="0.2">
      <c r="A74" s="469" t="s">
        <v>1155</v>
      </c>
      <c r="B74" s="469"/>
      <c r="C74" s="469"/>
      <c r="D74" s="469"/>
      <c r="E74" s="469"/>
      <c r="F74" s="469"/>
      <c r="G74" s="469"/>
      <c r="H74" s="469"/>
      <c r="I74" s="469"/>
      <c r="J74" s="469"/>
      <c r="K74" s="469"/>
      <c r="L74" s="469"/>
      <c r="M74" s="469"/>
      <c r="N74" s="469"/>
      <c r="O74" s="469"/>
      <c r="P74" s="469"/>
      <c r="Q74" s="469"/>
      <c r="R74" s="469"/>
      <c r="S74" s="469"/>
      <c r="T74" s="469"/>
      <c r="U74" s="469"/>
      <c r="V74" s="469"/>
      <c r="W74" s="469"/>
      <c r="X74" s="469"/>
      <c r="Y74" s="469"/>
      <c r="Z74" s="469"/>
      <c r="AA74" s="469"/>
      <c r="AB74" s="469"/>
      <c r="AC74" s="469"/>
      <c r="AD74" s="469"/>
      <c r="AE74" s="358"/>
      <c r="AF74" s="358"/>
      <c r="AG74" s="358"/>
      <c r="AH74" s="358"/>
    </row>
    <row r="75" spans="1:34" ht="42" customHeight="1" x14ac:dyDescent="0.2">
      <c r="A75" s="328" t="s">
        <v>37</v>
      </c>
      <c r="B75" s="461" t="s">
        <v>487</v>
      </c>
      <c r="C75" s="462"/>
      <c r="D75" s="462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462"/>
      <c r="R75" s="462"/>
      <c r="S75" s="462"/>
      <c r="T75" s="462"/>
      <c r="U75" s="462"/>
      <c r="V75" s="462"/>
      <c r="W75" s="462"/>
      <c r="X75" s="462"/>
      <c r="Y75" s="462"/>
      <c r="Z75" s="462"/>
      <c r="AA75" s="462"/>
      <c r="AB75" s="462"/>
      <c r="AC75" s="462"/>
      <c r="AD75" s="465"/>
      <c r="AE75" s="358"/>
      <c r="AF75" s="358"/>
      <c r="AG75" s="358"/>
      <c r="AH75" s="358"/>
    </row>
    <row r="76" spans="1:34" ht="96" customHeight="1" x14ac:dyDescent="0.2">
      <c r="A76" s="335" t="s">
        <v>454</v>
      </c>
      <c r="B76" s="331" t="s">
        <v>50</v>
      </c>
      <c r="C76" s="59" t="s">
        <v>49</v>
      </c>
      <c r="D76" s="331" t="s">
        <v>48</v>
      </c>
      <c r="E76" s="333">
        <f>F76+G76+H76+I76</f>
        <v>112</v>
      </c>
      <c r="F76" s="334">
        <v>0</v>
      </c>
      <c r="G76" s="334">
        <v>0</v>
      </c>
      <c r="H76" s="334">
        <v>0</v>
      </c>
      <c r="I76" s="334">
        <v>112</v>
      </c>
      <c r="J76" s="333">
        <f>K76+L76+M76+N76</f>
        <v>112</v>
      </c>
      <c r="K76" s="334">
        <v>0</v>
      </c>
      <c r="L76" s="334">
        <v>0</v>
      </c>
      <c r="M76" s="334">
        <v>0</v>
      </c>
      <c r="N76" s="334">
        <v>112</v>
      </c>
      <c r="O76" s="333">
        <f>SUM(P76:S76)</f>
        <v>0</v>
      </c>
      <c r="P76" s="334">
        <v>0</v>
      </c>
      <c r="Q76" s="334">
        <v>0</v>
      </c>
      <c r="R76" s="334">
        <v>0</v>
      </c>
      <c r="S76" s="334">
        <f>112-112</f>
        <v>0</v>
      </c>
      <c r="T76" s="333">
        <f>SUM(U76:X76)</f>
        <v>681</v>
      </c>
      <c r="U76" s="334">
        <f>681</f>
        <v>681</v>
      </c>
      <c r="V76" s="334">
        <v>0</v>
      </c>
      <c r="W76" s="334">
        <v>0</v>
      </c>
      <c r="X76" s="334">
        <f>112-112</f>
        <v>0</v>
      </c>
      <c r="Y76" s="333">
        <f>SUM(Z76:AC76)</f>
        <v>0</v>
      </c>
      <c r="Z76" s="334">
        <v>0</v>
      </c>
      <c r="AA76" s="334">
        <v>0</v>
      </c>
      <c r="AB76" s="334">
        <v>0</v>
      </c>
      <c r="AC76" s="334">
        <f>112-112</f>
        <v>0</v>
      </c>
      <c r="AD76" s="333">
        <f>E76+J76+O76+T76+Y76</f>
        <v>905</v>
      </c>
      <c r="AE76" s="56"/>
      <c r="AF76" s="56"/>
      <c r="AG76" s="56"/>
      <c r="AH76" s="56"/>
    </row>
    <row r="77" spans="1:34" ht="96" customHeight="1" x14ac:dyDescent="0.2">
      <c r="A77" s="335" t="s">
        <v>655</v>
      </c>
      <c r="B77" s="331" t="s">
        <v>656</v>
      </c>
      <c r="C77" s="59" t="s">
        <v>49</v>
      </c>
      <c r="D77" s="331">
        <v>2024</v>
      </c>
      <c r="E77" s="333">
        <v>0</v>
      </c>
      <c r="F77" s="334">
        <v>0</v>
      </c>
      <c r="G77" s="334">
        <v>0</v>
      </c>
      <c r="H77" s="334">
        <v>0</v>
      </c>
      <c r="I77" s="334">
        <v>0</v>
      </c>
      <c r="J77" s="333">
        <v>0</v>
      </c>
      <c r="K77" s="334">
        <v>0</v>
      </c>
      <c r="L77" s="334">
        <v>0</v>
      </c>
      <c r="M77" s="334">
        <v>0</v>
      </c>
      <c r="N77" s="334">
        <v>0</v>
      </c>
      <c r="O77" s="333">
        <v>0</v>
      </c>
      <c r="P77" s="334">
        <v>0</v>
      </c>
      <c r="Q77" s="334">
        <v>0</v>
      </c>
      <c r="R77" s="334">
        <v>0</v>
      </c>
      <c r="S77" s="334">
        <v>0</v>
      </c>
      <c r="T77" s="333">
        <f>SUM(U77:X77)</f>
        <v>8000</v>
      </c>
      <c r="U77" s="334">
        <v>8000</v>
      </c>
      <c r="V77" s="334">
        <v>0</v>
      </c>
      <c r="W77" s="334">
        <v>0</v>
      </c>
      <c r="X77" s="334">
        <v>0</v>
      </c>
      <c r="Y77" s="333">
        <f>SUM(Z77:AC77)</f>
        <v>0</v>
      </c>
      <c r="Z77" s="334">
        <v>0</v>
      </c>
      <c r="AA77" s="334">
        <v>0</v>
      </c>
      <c r="AB77" s="334">
        <v>0</v>
      </c>
      <c r="AC77" s="334">
        <v>0</v>
      </c>
      <c r="AD77" s="333">
        <f>E77+J77+O77+T77+Y77</f>
        <v>8000</v>
      </c>
      <c r="AE77" s="56"/>
      <c r="AF77" s="56"/>
      <c r="AG77" s="56"/>
      <c r="AH77" s="56"/>
    </row>
    <row r="78" spans="1:34" ht="38.25" customHeight="1" x14ac:dyDescent="0.2">
      <c r="A78" s="329" t="s">
        <v>3</v>
      </c>
      <c r="B78" s="463" t="s">
        <v>488</v>
      </c>
      <c r="C78" s="464"/>
      <c r="D78" s="464"/>
      <c r="E78" s="464"/>
      <c r="F78" s="464"/>
      <c r="G78" s="464"/>
      <c r="H78" s="464"/>
      <c r="I78" s="464"/>
      <c r="J78" s="464"/>
      <c r="K78" s="464"/>
      <c r="L78" s="464"/>
      <c r="M78" s="464"/>
      <c r="N78" s="464"/>
      <c r="O78" s="464"/>
      <c r="P78" s="464"/>
      <c r="Q78" s="464"/>
      <c r="R78" s="464"/>
      <c r="S78" s="464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6"/>
      <c r="AE78" s="56"/>
      <c r="AF78" s="56"/>
      <c r="AG78" s="56"/>
      <c r="AH78" s="56"/>
    </row>
    <row r="79" spans="1:34" s="12" customFormat="1" ht="171" customHeight="1" x14ac:dyDescent="0.2">
      <c r="A79" s="335" t="s">
        <v>455</v>
      </c>
      <c r="B79" s="359" t="s">
        <v>344</v>
      </c>
      <c r="C79" s="360" t="s">
        <v>49</v>
      </c>
      <c r="D79" s="361" t="s">
        <v>48</v>
      </c>
      <c r="E79" s="362">
        <f>F79+G79+H79+I79</f>
        <v>17888</v>
      </c>
      <c r="F79" s="363">
        <v>17888</v>
      </c>
      <c r="G79" s="363">
        <v>0</v>
      </c>
      <c r="H79" s="363">
        <v>0</v>
      </c>
      <c r="I79" s="363">
        <v>0</v>
      </c>
      <c r="J79" s="362">
        <f>K79+L79+M79+N79</f>
        <v>15100</v>
      </c>
      <c r="K79" s="363">
        <f>11647+3453</f>
        <v>15100</v>
      </c>
      <c r="L79" s="363">
        <v>0</v>
      </c>
      <c r="M79" s="363">
        <v>0</v>
      </c>
      <c r="N79" s="363">
        <v>0</v>
      </c>
      <c r="O79" s="362">
        <f>SUM(P79:S79)</f>
        <v>17715</v>
      </c>
      <c r="P79" s="363">
        <f>15105+2610</f>
        <v>17715</v>
      </c>
      <c r="Q79" s="363">
        <v>0</v>
      </c>
      <c r="R79" s="363">
        <v>0</v>
      </c>
      <c r="S79" s="363">
        <v>0</v>
      </c>
      <c r="T79" s="362">
        <f>SUM(U79:X79)</f>
        <v>20138</v>
      </c>
      <c r="U79" s="363">
        <f>15105+5033</f>
        <v>20138</v>
      </c>
      <c r="V79" s="363">
        <v>0</v>
      </c>
      <c r="W79" s="363">
        <v>0</v>
      </c>
      <c r="X79" s="363">
        <v>0</v>
      </c>
      <c r="Y79" s="362">
        <f>SUM(Z79:AC79)</f>
        <v>17500</v>
      </c>
      <c r="Z79" s="363">
        <f>15105+2395</f>
        <v>17500</v>
      </c>
      <c r="AA79" s="363">
        <v>0</v>
      </c>
      <c r="AB79" s="363">
        <v>0</v>
      </c>
      <c r="AC79" s="363">
        <v>0</v>
      </c>
      <c r="AD79" s="362">
        <f>E79+J79+O79+T79+Y79</f>
        <v>88341</v>
      </c>
      <c r="AE79" s="56"/>
      <c r="AF79" s="56"/>
      <c r="AG79" s="56"/>
      <c r="AH79" s="56"/>
    </row>
    <row r="80" spans="1:34" s="12" customFormat="1" ht="399.75" customHeight="1" x14ac:dyDescent="0.2">
      <c r="A80" s="335" t="s">
        <v>489</v>
      </c>
      <c r="B80" s="359" t="s">
        <v>343</v>
      </c>
      <c r="C80" s="360" t="s">
        <v>49</v>
      </c>
      <c r="D80" s="361" t="s">
        <v>373</v>
      </c>
      <c r="E80" s="362">
        <f>F80+G80+H80+I80</f>
        <v>29008</v>
      </c>
      <c r="F80" s="363">
        <v>290</v>
      </c>
      <c r="G80" s="363">
        <v>28718</v>
      </c>
      <c r="H80" s="363">
        <v>0</v>
      </c>
      <c r="I80" s="363">
        <v>0</v>
      </c>
      <c r="J80" s="364">
        <f>K80+L80+M80+N80</f>
        <v>68767</v>
      </c>
      <c r="K80" s="365">
        <f>435+253</f>
        <v>688</v>
      </c>
      <c r="L80" s="365">
        <f>43081+24998</f>
        <v>68079</v>
      </c>
      <c r="M80" s="363">
        <v>0</v>
      </c>
      <c r="N80" s="363">
        <v>0</v>
      </c>
      <c r="O80" s="362">
        <f>SUM(P80:S80)</f>
        <v>0</v>
      </c>
      <c r="P80" s="363">
        <v>0</v>
      </c>
      <c r="Q80" s="363">
        <v>0</v>
      </c>
      <c r="R80" s="363">
        <v>0</v>
      </c>
      <c r="S80" s="363">
        <v>0</v>
      </c>
      <c r="T80" s="362">
        <f>SUM(U80:X80)</f>
        <v>0</v>
      </c>
      <c r="U80" s="363">
        <v>0</v>
      </c>
      <c r="V80" s="363">
        <v>0</v>
      </c>
      <c r="W80" s="363">
        <v>0</v>
      </c>
      <c r="X80" s="363">
        <v>0</v>
      </c>
      <c r="Y80" s="362">
        <f>SUM(Z80:AC80)</f>
        <v>0</v>
      </c>
      <c r="Z80" s="363">
        <v>0</v>
      </c>
      <c r="AA80" s="363">
        <v>0</v>
      </c>
      <c r="AB80" s="363">
        <v>0</v>
      </c>
      <c r="AC80" s="363">
        <v>0</v>
      </c>
      <c r="AD80" s="362">
        <f>E80+J80+O80+T80+Y80</f>
        <v>97775</v>
      </c>
      <c r="AE80" s="56"/>
      <c r="AF80" s="56"/>
      <c r="AG80" s="56"/>
      <c r="AH80" s="56"/>
    </row>
    <row r="81" spans="1:34" s="12" customFormat="1" ht="104.25" customHeight="1" x14ac:dyDescent="0.2">
      <c r="A81" s="335" t="s">
        <v>490</v>
      </c>
      <c r="B81" s="366" t="s">
        <v>320</v>
      </c>
      <c r="C81" s="59" t="s">
        <v>49</v>
      </c>
      <c r="D81" s="331"/>
      <c r="E81" s="333">
        <v>0</v>
      </c>
      <c r="F81" s="334">
        <v>0</v>
      </c>
      <c r="G81" s="334">
        <v>0</v>
      </c>
      <c r="H81" s="334">
        <v>0</v>
      </c>
      <c r="I81" s="334">
        <v>0</v>
      </c>
      <c r="J81" s="333">
        <v>0</v>
      </c>
      <c r="K81" s="334">
        <v>0</v>
      </c>
      <c r="L81" s="334">
        <v>0</v>
      </c>
      <c r="M81" s="334">
        <v>0</v>
      </c>
      <c r="N81" s="334">
        <v>0</v>
      </c>
      <c r="O81" s="333">
        <f>SUM(P81:S81)</f>
        <v>0</v>
      </c>
      <c r="P81" s="334">
        <v>0</v>
      </c>
      <c r="Q81" s="334">
        <v>0</v>
      </c>
      <c r="R81" s="334">
        <v>0</v>
      </c>
      <c r="S81" s="334">
        <v>0</v>
      </c>
      <c r="T81" s="333">
        <f>SUM(U81:X81)</f>
        <v>0</v>
      </c>
      <c r="U81" s="334">
        <v>0</v>
      </c>
      <c r="V81" s="334">
        <v>0</v>
      </c>
      <c r="W81" s="334">
        <v>0</v>
      </c>
      <c r="X81" s="334">
        <v>0</v>
      </c>
      <c r="Y81" s="333">
        <f>SUM(Z81:AC81)</f>
        <v>0</v>
      </c>
      <c r="Z81" s="334">
        <f>26509-100-26409</f>
        <v>0</v>
      </c>
      <c r="AA81" s="334">
        <v>0</v>
      </c>
      <c r="AB81" s="334">
        <v>0</v>
      </c>
      <c r="AC81" s="334">
        <v>0</v>
      </c>
      <c r="AD81" s="333">
        <f>E81+J81+O81+T81+Y81</f>
        <v>0</v>
      </c>
      <c r="AE81" s="56"/>
      <c r="AF81" s="56"/>
      <c r="AG81" s="56"/>
      <c r="AH81" s="56"/>
    </row>
    <row r="82" spans="1:34" s="12" customFormat="1" ht="181.5" customHeight="1" x14ac:dyDescent="0.2">
      <c r="A82" s="335" t="s">
        <v>491</v>
      </c>
      <c r="B82" s="366" t="s">
        <v>637</v>
      </c>
      <c r="C82" s="331" t="s">
        <v>49</v>
      </c>
      <c r="D82" s="331" t="s">
        <v>48</v>
      </c>
      <c r="E82" s="333">
        <f>F82+G82+H82+I82</f>
        <v>214462</v>
      </c>
      <c r="F82" s="334">
        <f>214652+100-290</f>
        <v>214462</v>
      </c>
      <c r="G82" s="334">
        <v>0</v>
      </c>
      <c r="H82" s="334">
        <v>0</v>
      </c>
      <c r="I82" s="334">
        <v>0</v>
      </c>
      <c r="J82" s="333">
        <f>K82+L82+M82+N82</f>
        <v>258636</v>
      </c>
      <c r="K82" s="334">
        <f>214752+384</f>
        <v>215136</v>
      </c>
      <c r="L82" s="334">
        <v>43500</v>
      </c>
      <c r="M82" s="334">
        <v>0</v>
      </c>
      <c r="N82" s="334">
        <v>0</v>
      </c>
      <c r="O82" s="333">
        <f>SUM(P82:S82)</f>
        <v>298863</v>
      </c>
      <c r="P82" s="334">
        <f>214752+40676+544-609</f>
        <v>255363</v>
      </c>
      <c r="Q82" s="334">
        <v>43500</v>
      </c>
      <c r="R82" s="334">
        <v>0</v>
      </c>
      <c r="S82" s="334">
        <v>0</v>
      </c>
      <c r="T82" s="333">
        <f>SUM(U82:X82)</f>
        <v>995811</v>
      </c>
      <c r="U82" s="334">
        <f>214752+50870+17934-2500+187599-25854</f>
        <v>442801</v>
      </c>
      <c r="V82" s="334">
        <f>43500+35747+473763</f>
        <v>553010</v>
      </c>
      <c r="W82" s="334">
        <v>0</v>
      </c>
      <c r="X82" s="334">
        <v>0</v>
      </c>
      <c r="Y82" s="333">
        <f>SUM(Z82:AC82)</f>
        <v>598670</v>
      </c>
      <c r="Z82" s="334">
        <f>214652+100+50870+22298+314647-47397</f>
        <v>555170</v>
      </c>
      <c r="AA82" s="334">
        <v>43500</v>
      </c>
      <c r="AB82" s="334">
        <v>0</v>
      </c>
      <c r="AC82" s="334">
        <v>0</v>
      </c>
      <c r="AD82" s="333">
        <f>E82+J82+O82+T82+Y82</f>
        <v>2366442</v>
      </c>
      <c r="AE82" s="56"/>
      <c r="AF82" s="56"/>
      <c r="AG82" s="56"/>
      <c r="AH82" s="56"/>
    </row>
    <row r="83" spans="1:34" s="33" customFormat="1" ht="39" customHeight="1" x14ac:dyDescent="0.2">
      <c r="A83" s="329" t="s">
        <v>38</v>
      </c>
      <c r="B83" s="464" t="s">
        <v>492</v>
      </c>
      <c r="C83" s="464"/>
      <c r="D83" s="464"/>
      <c r="E83" s="464"/>
      <c r="F83" s="464"/>
      <c r="G83" s="464"/>
      <c r="H83" s="464"/>
      <c r="I83" s="464"/>
      <c r="J83" s="464"/>
      <c r="K83" s="464"/>
      <c r="L83" s="464"/>
      <c r="M83" s="464"/>
      <c r="N83" s="464"/>
      <c r="O83" s="464"/>
      <c r="P83" s="464"/>
      <c r="Q83" s="464"/>
      <c r="R83" s="464"/>
      <c r="S83" s="464"/>
      <c r="T83" s="464"/>
      <c r="U83" s="464"/>
      <c r="V83" s="464"/>
      <c r="W83" s="464"/>
      <c r="X83" s="464"/>
      <c r="Y83" s="464"/>
      <c r="Z83" s="464"/>
      <c r="AA83" s="464"/>
      <c r="AB83" s="464"/>
      <c r="AC83" s="464"/>
      <c r="AD83" s="466"/>
      <c r="AE83" s="367"/>
      <c r="AF83" s="367"/>
      <c r="AG83" s="367"/>
      <c r="AH83" s="367"/>
    </row>
    <row r="84" spans="1:34" s="12" customFormat="1" ht="44.45" customHeight="1" x14ac:dyDescent="0.2">
      <c r="A84" s="470" t="s">
        <v>456</v>
      </c>
      <c r="B84" s="490" t="s">
        <v>638</v>
      </c>
      <c r="C84" s="478" t="s">
        <v>49</v>
      </c>
      <c r="D84" s="420" t="s">
        <v>48</v>
      </c>
      <c r="E84" s="476">
        <f>F84+G84+H84+I84</f>
        <v>76067</v>
      </c>
      <c r="F84" s="475">
        <v>761</v>
      </c>
      <c r="G84" s="475">
        <f>75306</f>
        <v>75306</v>
      </c>
      <c r="H84" s="475">
        <v>0</v>
      </c>
      <c r="I84" s="475">
        <v>0</v>
      </c>
      <c r="J84" s="476">
        <f>K84+L84+M84+N84</f>
        <v>76067</v>
      </c>
      <c r="K84" s="475">
        <v>761</v>
      </c>
      <c r="L84" s="475">
        <v>75306</v>
      </c>
      <c r="M84" s="475">
        <v>0</v>
      </c>
      <c r="N84" s="475">
        <v>0</v>
      </c>
      <c r="O84" s="476">
        <f t="shared" ref="O84:O93" si="35">SUM(P84:S84)</f>
        <v>75512</v>
      </c>
      <c r="P84" s="475">
        <f>761-5</f>
        <v>756</v>
      </c>
      <c r="Q84" s="475">
        <v>74756</v>
      </c>
      <c r="R84" s="475">
        <v>0</v>
      </c>
      <c r="S84" s="475">
        <v>0</v>
      </c>
      <c r="T84" s="476">
        <f>SUM(U84:X84)</f>
        <v>75511</v>
      </c>
      <c r="U84" s="475">
        <f>761-5-1</f>
        <v>755</v>
      </c>
      <c r="V84" s="475">
        <v>74756</v>
      </c>
      <c r="W84" s="475">
        <v>0</v>
      </c>
      <c r="X84" s="475">
        <v>0</v>
      </c>
      <c r="Y84" s="476">
        <f>SUM(Z84:AC84)</f>
        <v>62927</v>
      </c>
      <c r="Z84" s="475">
        <v>630</v>
      </c>
      <c r="AA84" s="475">
        <v>62297</v>
      </c>
      <c r="AB84" s="475">
        <v>0</v>
      </c>
      <c r="AC84" s="475">
        <v>0</v>
      </c>
      <c r="AD84" s="476">
        <f>E84+J84+O84+T84+Y84</f>
        <v>366084</v>
      </c>
      <c r="AE84" s="56"/>
      <c r="AF84" s="56"/>
      <c r="AG84" s="56"/>
      <c r="AH84" s="56"/>
    </row>
    <row r="85" spans="1:34" s="12" customFormat="1" ht="285" customHeight="1" x14ac:dyDescent="0.2">
      <c r="A85" s="470"/>
      <c r="B85" s="490"/>
      <c r="C85" s="478"/>
      <c r="D85" s="420"/>
      <c r="E85" s="476"/>
      <c r="F85" s="475"/>
      <c r="G85" s="475"/>
      <c r="H85" s="475"/>
      <c r="I85" s="475"/>
      <c r="J85" s="476"/>
      <c r="K85" s="475"/>
      <c r="L85" s="475"/>
      <c r="M85" s="475"/>
      <c r="N85" s="475"/>
      <c r="O85" s="476">
        <f t="shared" si="35"/>
        <v>0</v>
      </c>
      <c r="P85" s="475"/>
      <c r="Q85" s="475"/>
      <c r="R85" s="475"/>
      <c r="S85" s="475"/>
      <c r="T85" s="476">
        <f>SUM(U85:X85)</f>
        <v>0</v>
      </c>
      <c r="U85" s="475"/>
      <c r="V85" s="475"/>
      <c r="W85" s="475"/>
      <c r="X85" s="475"/>
      <c r="Y85" s="476">
        <f>SUM(Z85:AC85)</f>
        <v>0</v>
      </c>
      <c r="Z85" s="475"/>
      <c r="AA85" s="475"/>
      <c r="AB85" s="475"/>
      <c r="AC85" s="475"/>
      <c r="AD85" s="476"/>
      <c r="AE85" s="344">
        <f>F84+K84+P84+U84+Z84</f>
        <v>3663</v>
      </c>
      <c r="AF85" s="344">
        <f>G85+L85+Q85+V84+AA84</f>
        <v>137053</v>
      </c>
      <c r="AG85" s="344">
        <f>H85+M85+R85+W85+AB85</f>
        <v>0</v>
      </c>
      <c r="AH85" s="344">
        <f>I85+N85+S85+X85+AC85</f>
        <v>0</v>
      </c>
    </row>
    <row r="86" spans="1:34" s="12" customFormat="1" ht="150" customHeight="1" x14ac:dyDescent="0.2">
      <c r="A86" s="335" t="s">
        <v>523</v>
      </c>
      <c r="B86" s="366" t="s">
        <v>524</v>
      </c>
      <c r="C86" s="59" t="s">
        <v>49</v>
      </c>
      <c r="D86" s="331" t="s">
        <v>144</v>
      </c>
      <c r="E86" s="333">
        <f>F86+G86+H86+I86</f>
        <v>0</v>
      </c>
      <c r="F86" s="334">
        <v>0</v>
      </c>
      <c r="G86" s="334">
        <v>0</v>
      </c>
      <c r="H86" s="334">
        <v>0</v>
      </c>
      <c r="I86" s="334">
        <v>0</v>
      </c>
      <c r="J86" s="333">
        <f>K86+L86+M86+N86</f>
        <v>143197</v>
      </c>
      <c r="K86" s="334">
        <v>0</v>
      </c>
      <c r="L86" s="334">
        <v>143197</v>
      </c>
      <c r="M86" s="334">
        <v>0</v>
      </c>
      <c r="N86" s="334">
        <v>0</v>
      </c>
      <c r="O86" s="333">
        <f t="shared" si="35"/>
        <v>28398</v>
      </c>
      <c r="P86" s="334">
        <v>28398</v>
      </c>
      <c r="Q86" s="334">
        <v>0</v>
      </c>
      <c r="R86" s="334">
        <v>0</v>
      </c>
      <c r="S86" s="334">
        <v>0</v>
      </c>
      <c r="T86" s="333">
        <f>SUM(U86:X86)</f>
        <v>48682</v>
      </c>
      <c r="U86" s="334">
        <v>48682</v>
      </c>
      <c r="V86" s="334">
        <v>0</v>
      </c>
      <c r="W86" s="334">
        <v>0</v>
      </c>
      <c r="X86" s="334">
        <v>0</v>
      </c>
      <c r="Y86" s="333">
        <f>SUM(Z86:AC86)</f>
        <v>48682</v>
      </c>
      <c r="Z86" s="334">
        <v>48682</v>
      </c>
      <c r="AA86" s="334">
        <v>0</v>
      </c>
      <c r="AB86" s="334">
        <v>0</v>
      </c>
      <c r="AC86" s="334">
        <v>0</v>
      </c>
      <c r="AD86" s="333">
        <f>J86+O86+T86+Y86</f>
        <v>268959</v>
      </c>
      <c r="AE86" s="344"/>
      <c r="AF86" s="344"/>
      <c r="AG86" s="344"/>
      <c r="AH86" s="344"/>
    </row>
    <row r="87" spans="1:34" s="12" customFormat="1" ht="198" customHeight="1" x14ac:dyDescent="0.2">
      <c r="A87" s="335" t="s">
        <v>587</v>
      </c>
      <c r="B87" s="366" t="s">
        <v>622</v>
      </c>
      <c r="C87" s="59" t="s">
        <v>49</v>
      </c>
      <c r="D87" s="331">
        <v>2024</v>
      </c>
      <c r="E87" s="333">
        <f>F87+G87+H87+I87</f>
        <v>0</v>
      </c>
      <c r="F87" s="334">
        <v>0</v>
      </c>
      <c r="G87" s="334">
        <v>0</v>
      </c>
      <c r="H87" s="334">
        <v>0</v>
      </c>
      <c r="I87" s="334">
        <v>0</v>
      </c>
      <c r="J87" s="333">
        <f>K87+L87+M87+N87</f>
        <v>0</v>
      </c>
      <c r="K87" s="334">
        <v>0</v>
      </c>
      <c r="L87" s="334">
        <v>0</v>
      </c>
      <c r="M87" s="334">
        <v>0</v>
      </c>
      <c r="N87" s="334">
        <v>0</v>
      </c>
      <c r="O87" s="333">
        <f t="shared" si="35"/>
        <v>0</v>
      </c>
      <c r="P87" s="334">
        <v>0</v>
      </c>
      <c r="Q87" s="334">
        <v>0</v>
      </c>
      <c r="R87" s="334">
        <v>0</v>
      </c>
      <c r="S87" s="334">
        <v>0</v>
      </c>
      <c r="T87" s="333">
        <f>SUM(U87:X87)</f>
        <v>217638</v>
      </c>
      <c r="U87" s="334">
        <v>2176</v>
      </c>
      <c r="V87" s="334">
        <v>215462</v>
      </c>
      <c r="W87" s="334">
        <v>0</v>
      </c>
      <c r="X87" s="334">
        <v>0</v>
      </c>
      <c r="Y87" s="333">
        <f>SUM(Z87:AC87)</f>
        <v>0</v>
      </c>
      <c r="Z87" s="334">
        <v>0</v>
      </c>
      <c r="AA87" s="334">
        <v>0</v>
      </c>
      <c r="AB87" s="334">
        <v>0</v>
      </c>
      <c r="AC87" s="334">
        <v>0</v>
      </c>
      <c r="AD87" s="333">
        <f>J87+O87+T87+Y87</f>
        <v>217638</v>
      </c>
      <c r="AE87" s="344"/>
      <c r="AF87" s="344"/>
      <c r="AG87" s="344"/>
      <c r="AH87" s="344"/>
    </row>
    <row r="88" spans="1:34" s="12" customFormat="1" ht="38.25" customHeight="1" x14ac:dyDescent="0.2">
      <c r="A88" s="328" t="s">
        <v>570</v>
      </c>
      <c r="B88" s="491" t="s">
        <v>576</v>
      </c>
      <c r="C88" s="49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92"/>
      <c r="Y88" s="492"/>
      <c r="Z88" s="492"/>
      <c r="AA88" s="492"/>
      <c r="AB88" s="492"/>
      <c r="AC88" s="492"/>
      <c r="AD88" s="493"/>
      <c r="AE88" s="344"/>
      <c r="AF88" s="344"/>
      <c r="AG88" s="344"/>
      <c r="AH88" s="344"/>
    </row>
    <row r="89" spans="1:34" s="12" customFormat="1" ht="333" customHeight="1" x14ac:dyDescent="0.2">
      <c r="A89" s="368" t="s">
        <v>571</v>
      </c>
      <c r="B89" s="369" t="s">
        <v>572</v>
      </c>
      <c r="C89" s="331" t="s">
        <v>49</v>
      </c>
      <c r="D89" s="331" t="s">
        <v>569</v>
      </c>
      <c r="E89" s="333">
        <f>SUM(F89:I89)</f>
        <v>0</v>
      </c>
      <c r="F89" s="334">
        <v>0</v>
      </c>
      <c r="G89" s="334">
        <v>0</v>
      </c>
      <c r="H89" s="334">
        <v>0</v>
      </c>
      <c r="I89" s="334">
        <v>0</v>
      </c>
      <c r="J89" s="333">
        <f>SUM(K89:N89)</f>
        <v>0</v>
      </c>
      <c r="K89" s="334">
        <v>0</v>
      </c>
      <c r="L89" s="334">
        <v>0</v>
      </c>
      <c r="M89" s="334">
        <v>0</v>
      </c>
      <c r="N89" s="334">
        <v>0</v>
      </c>
      <c r="O89" s="333">
        <f>SUM(P89:S89)</f>
        <v>3854</v>
      </c>
      <c r="P89" s="334">
        <v>3854</v>
      </c>
      <c r="Q89" s="334">
        <v>0</v>
      </c>
      <c r="R89" s="334">
        <v>0</v>
      </c>
      <c r="S89" s="334">
        <v>0</v>
      </c>
      <c r="T89" s="333">
        <f>SUM(U89:X89)</f>
        <v>2706</v>
      </c>
      <c r="U89" s="334">
        <f>3854-1148</f>
        <v>2706</v>
      </c>
      <c r="V89" s="334">
        <v>0</v>
      </c>
      <c r="W89" s="334">
        <v>0</v>
      </c>
      <c r="X89" s="334">
        <v>0</v>
      </c>
      <c r="Y89" s="333">
        <f>SUM(Z89:AC89)</f>
        <v>2706</v>
      </c>
      <c r="Z89" s="334">
        <f>3854-1148</f>
        <v>2706</v>
      </c>
      <c r="AA89" s="334">
        <v>0</v>
      </c>
      <c r="AB89" s="334">
        <v>0</v>
      </c>
      <c r="AC89" s="334">
        <v>0</v>
      </c>
      <c r="AD89" s="333">
        <f>E89+J89+O89+T89+Y89</f>
        <v>9266</v>
      </c>
      <c r="AE89" s="344"/>
      <c r="AF89" s="344"/>
      <c r="AG89" s="344"/>
      <c r="AH89" s="344"/>
    </row>
    <row r="90" spans="1:34" s="5" customFormat="1" ht="42" customHeight="1" x14ac:dyDescent="0.25">
      <c r="A90" s="477" t="s">
        <v>47</v>
      </c>
      <c r="B90" s="477"/>
      <c r="C90" s="477"/>
      <c r="D90" s="370"/>
      <c r="E90" s="333">
        <f>SUM(F90:I90)</f>
        <v>337537</v>
      </c>
      <c r="F90" s="333">
        <f>SUM(F76:F89)</f>
        <v>233401</v>
      </c>
      <c r="G90" s="333">
        <f>SUM(G76:G89)</f>
        <v>104024</v>
      </c>
      <c r="H90" s="333">
        <f>SUM(H76:H85)</f>
        <v>0</v>
      </c>
      <c r="I90" s="333">
        <f>SUM(I76:I86)</f>
        <v>112</v>
      </c>
      <c r="J90" s="333">
        <f>SUM(K90:N90)</f>
        <v>561879</v>
      </c>
      <c r="K90" s="333">
        <f>SUM(K76:K89)</f>
        <v>231685</v>
      </c>
      <c r="L90" s="333">
        <f>SUM(L76:L89)</f>
        <v>330082</v>
      </c>
      <c r="M90" s="333">
        <f>SUM(M76:M85)</f>
        <v>0</v>
      </c>
      <c r="N90" s="333">
        <f>SUM(N76:N85)</f>
        <v>112</v>
      </c>
      <c r="O90" s="333">
        <f>SUM(P90:S90)</f>
        <v>424342</v>
      </c>
      <c r="P90" s="333">
        <f>SUM(P76:P89)</f>
        <v>306086</v>
      </c>
      <c r="Q90" s="333">
        <f>SUM(Q76:Q89)</f>
        <v>118256</v>
      </c>
      <c r="R90" s="333">
        <f>SUM(R76:R86)</f>
        <v>0</v>
      </c>
      <c r="S90" s="333">
        <f>SUM(S76:S86)</f>
        <v>0</v>
      </c>
      <c r="T90" s="333">
        <f>SUM(U90:X90)</f>
        <v>1369167</v>
      </c>
      <c r="U90" s="333">
        <f>SUM(U76:U89)</f>
        <v>525939</v>
      </c>
      <c r="V90" s="333">
        <f>SUM(V76:V89)</f>
        <v>843228</v>
      </c>
      <c r="W90" s="333">
        <f>SUM(W76:W86)</f>
        <v>0</v>
      </c>
      <c r="X90" s="333">
        <f>SUM(X76:X86)</f>
        <v>0</v>
      </c>
      <c r="Y90" s="333">
        <f>SUM(Z90:AC90)</f>
        <v>730485</v>
      </c>
      <c r="Z90" s="333">
        <f>SUM(Z76:Z89)</f>
        <v>624688</v>
      </c>
      <c r="AA90" s="333">
        <f>SUM(AA76:AA89)</f>
        <v>105797</v>
      </c>
      <c r="AB90" s="333">
        <f>SUM(AB76:AB86)</f>
        <v>0</v>
      </c>
      <c r="AC90" s="333">
        <f>SUM(AC76:AC86)</f>
        <v>0</v>
      </c>
      <c r="AD90" s="333">
        <f>SUM(AD76:AD89)</f>
        <v>3423410</v>
      </c>
      <c r="AE90" s="344">
        <f>F90+K90+P90+U90+Z90</f>
        <v>1921799</v>
      </c>
      <c r="AF90" s="344">
        <f>G90+L90+Q90+V90+AA90</f>
        <v>1501387</v>
      </c>
      <c r="AG90" s="344">
        <f>H90+M90+R90+W90+AB90</f>
        <v>0</v>
      </c>
      <c r="AH90" s="344">
        <f>I90+N90+S90+X90+AC90</f>
        <v>224</v>
      </c>
    </row>
    <row r="91" spans="1:34" s="5" customFormat="1" ht="42" customHeight="1" x14ac:dyDescent="0.25">
      <c r="A91" s="451" t="s">
        <v>393</v>
      </c>
      <c r="B91" s="451"/>
      <c r="C91" s="451"/>
      <c r="D91" s="370"/>
      <c r="E91" s="333">
        <f>E93-E92</f>
        <v>2377245</v>
      </c>
      <c r="F91" s="333">
        <f t="shared" ref="F91:AC91" si="36">F93-F92</f>
        <v>797208</v>
      </c>
      <c r="G91" s="333">
        <f t="shared" si="36"/>
        <v>1453132</v>
      </c>
      <c r="H91" s="333">
        <f t="shared" si="36"/>
        <v>126793</v>
      </c>
      <c r="I91" s="333">
        <f t="shared" si="36"/>
        <v>112</v>
      </c>
      <c r="J91" s="333">
        <f>J93-J92</f>
        <v>2475929</v>
      </c>
      <c r="K91" s="333">
        <f>K93-K92</f>
        <v>854874</v>
      </c>
      <c r="L91" s="333">
        <f t="shared" si="36"/>
        <v>1620943</v>
      </c>
      <c r="M91" s="333">
        <f t="shared" si="36"/>
        <v>0</v>
      </c>
      <c r="N91" s="333">
        <f t="shared" si="36"/>
        <v>112</v>
      </c>
      <c r="O91" s="333">
        <f t="shared" si="35"/>
        <v>2886963</v>
      </c>
      <c r="P91" s="333">
        <f t="shared" si="36"/>
        <v>989594</v>
      </c>
      <c r="Q91" s="333">
        <f t="shared" si="36"/>
        <v>1897369</v>
      </c>
      <c r="R91" s="333">
        <f t="shared" si="36"/>
        <v>0</v>
      </c>
      <c r="S91" s="333">
        <f t="shared" si="36"/>
        <v>0</v>
      </c>
      <c r="T91" s="333">
        <f>SUM(U91:X91)</f>
        <v>3365844</v>
      </c>
      <c r="U91" s="333">
        <f t="shared" si="36"/>
        <v>1368592</v>
      </c>
      <c r="V91" s="333">
        <f t="shared" si="36"/>
        <v>1997252</v>
      </c>
      <c r="W91" s="333">
        <f t="shared" si="36"/>
        <v>0</v>
      </c>
      <c r="X91" s="333">
        <f t="shared" si="36"/>
        <v>0</v>
      </c>
      <c r="Y91" s="333">
        <f>SUM(Z91:AC91)</f>
        <v>1509857</v>
      </c>
      <c r="Z91" s="333">
        <f t="shared" si="36"/>
        <v>1404060</v>
      </c>
      <c r="AA91" s="333">
        <f>AA93-AA92</f>
        <v>105797</v>
      </c>
      <c r="AB91" s="333">
        <f t="shared" si="36"/>
        <v>0</v>
      </c>
      <c r="AC91" s="333">
        <f t="shared" si="36"/>
        <v>0</v>
      </c>
      <c r="AD91" s="333">
        <f>E91+J91+O91+T91+Y91</f>
        <v>12615838</v>
      </c>
      <c r="AE91" s="344">
        <f>AE93-AD92</f>
        <v>5414328</v>
      </c>
      <c r="AF91" s="344">
        <f>AF93</f>
        <v>7074493</v>
      </c>
      <c r="AG91" s="344">
        <f>AG93</f>
        <v>126793</v>
      </c>
      <c r="AH91" s="344">
        <f>AH93</f>
        <v>224</v>
      </c>
    </row>
    <row r="92" spans="1:34" s="5" customFormat="1" ht="35.25" customHeight="1" x14ac:dyDescent="0.25">
      <c r="A92" s="477" t="s">
        <v>392</v>
      </c>
      <c r="B92" s="477"/>
      <c r="C92" s="477"/>
      <c r="D92" s="370"/>
      <c r="E92" s="333">
        <f>F92+G92+H92+I92</f>
        <v>988</v>
      </c>
      <c r="F92" s="333">
        <f>F48</f>
        <v>988</v>
      </c>
      <c r="G92" s="333">
        <f>G48</f>
        <v>0</v>
      </c>
      <c r="H92" s="333">
        <f>H48</f>
        <v>0</v>
      </c>
      <c r="I92" s="333">
        <f>I48</f>
        <v>0</v>
      </c>
      <c r="J92" s="333">
        <f>K92+L92+M92+N92</f>
        <v>1584</v>
      </c>
      <c r="K92" s="333">
        <f>K48</f>
        <v>1584</v>
      </c>
      <c r="L92" s="333">
        <f>L48</f>
        <v>0</v>
      </c>
      <c r="M92" s="333">
        <f>M48</f>
        <v>0</v>
      </c>
      <c r="N92" s="333">
        <f>N48</f>
        <v>0</v>
      </c>
      <c r="O92" s="333">
        <f t="shared" si="35"/>
        <v>3417</v>
      </c>
      <c r="P92" s="333">
        <f>O39</f>
        <v>3417</v>
      </c>
      <c r="Q92" s="333">
        <f>Q48</f>
        <v>0</v>
      </c>
      <c r="R92" s="333">
        <f>R48</f>
        <v>0</v>
      </c>
      <c r="S92" s="333">
        <f>S48</f>
        <v>0</v>
      </c>
      <c r="T92" s="333">
        <f>SUM(U92:X92)</f>
        <v>0</v>
      </c>
      <c r="U92" s="333">
        <f>U48</f>
        <v>0</v>
      </c>
      <c r="V92" s="333">
        <f>V48</f>
        <v>0</v>
      </c>
      <c r="W92" s="333">
        <f>W48</f>
        <v>0</v>
      </c>
      <c r="X92" s="333">
        <f>X48</f>
        <v>0</v>
      </c>
      <c r="Y92" s="333">
        <f>SUM(Z92:AC92)</f>
        <v>0</v>
      </c>
      <c r="Z92" s="333">
        <f>Z48</f>
        <v>0</v>
      </c>
      <c r="AA92" s="333">
        <f>AA48</f>
        <v>0</v>
      </c>
      <c r="AB92" s="333">
        <f>AB48</f>
        <v>0</v>
      </c>
      <c r="AC92" s="333">
        <f>AC48</f>
        <v>0</v>
      </c>
      <c r="AD92" s="333">
        <f>E92+J92+O92+T92+Y92</f>
        <v>5989</v>
      </c>
      <c r="AE92" s="344"/>
      <c r="AF92" s="344"/>
      <c r="AG92" s="344"/>
      <c r="AH92" s="344"/>
    </row>
    <row r="93" spans="1:34" s="34" customFormat="1" ht="42" customHeight="1" x14ac:dyDescent="0.25">
      <c r="A93" s="451" t="s">
        <v>394</v>
      </c>
      <c r="B93" s="451"/>
      <c r="C93" s="451"/>
      <c r="D93" s="357"/>
      <c r="E93" s="333">
        <f t="shared" ref="E93:N93" si="37">E40+E90+E58+E71</f>
        <v>2378233</v>
      </c>
      <c r="F93" s="333">
        <f t="shared" si="37"/>
        <v>798196</v>
      </c>
      <c r="G93" s="333">
        <f t="shared" si="37"/>
        <v>1453132</v>
      </c>
      <c r="H93" s="333">
        <f t="shared" si="37"/>
        <v>126793</v>
      </c>
      <c r="I93" s="333">
        <f t="shared" si="37"/>
        <v>112</v>
      </c>
      <c r="J93" s="333">
        <f t="shared" si="37"/>
        <v>2477513</v>
      </c>
      <c r="K93" s="333">
        <f t="shared" si="37"/>
        <v>856458</v>
      </c>
      <c r="L93" s="333">
        <f t="shared" si="37"/>
        <v>1620943</v>
      </c>
      <c r="M93" s="333">
        <f t="shared" si="37"/>
        <v>0</v>
      </c>
      <c r="N93" s="333">
        <f t="shared" si="37"/>
        <v>112</v>
      </c>
      <c r="O93" s="333">
        <f t="shared" si="35"/>
        <v>2890380</v>
      </c>
      <c r="P93" s="333">
        <f>P40+P90+P58+P71</f>
        <v>993011</v>
      </c>
      <c r="Q93" s="333">
        <f>Q40+Q90+Q58+Q71</f>
        <v>1897369</v>
      </c>
      <c r="R93" s="333">
        <f>R40+R90+R58+R71</f>
        <v>0</v>
      </c>
      <c r="S93" s="333">
        <f>S40+S90+S58+S71</f>
        <v>0</v>
      </c>
      <c r="T93" s="333">
        <f>SUM(U93:X93)</f>
        <v>3365844</v>
      </c>
      <c r="U93" s="333">
        <f>U40+U90+U58+U71</f>
        <v>1368592</v>
      </c>
      <c r="V93" s="333">
        <f>V40+V90+V58+V71</f>
        <v>1997252</v>
      </c>
      <c r="W93" s="333">
        <f>W40+W90+W58+W71</f>
        <v>0</v>
      </c>
      <c r="X93" s="333">
        <f>X40+X90+X58+X71</f>
        <v>0</v>
      </c>
      <c r="Y93" s="333">
        <f>SUM(Z93:AC93)</f>
        <v>1509857</v>
      </c>
      <c r="Z93" s="333">
        <f>Z40+Z90+Z58+Z71</f>
        <v>1404060</v>
      </c>
      <c r="AA93" s="333">
        <f t="shared" ref="AA93:AH93" si="38">AA40+AA90+AA58+AA71</f>
        <v>105797</v>
      </c>
      <c r="AB93" s="333">
        <f t="shared" si="38"/>
        <v>0</v>
      </c>
      <c r="AC93" s="333">
        <f t="shared" si="38"/>
        <v>0</v>
      </c>
      <c r="AD93" s="333">
        <f t="shared" si="38"/>
        <v>12621827</v>
      </c>
      <c r="AE93" s="344">
        <f t="shared" si="38"/>
        <v>5420317</v>
      </c>
      <c r="AF93" s="344">
        <f t="shared" si="38"/>
        <v>7074493</v>
      </c>
      <c r="AG93" s="344">
        <f t="shared" si="38"/>
        <v>126793</v>
      </c>
      <c r="AH93" s="344">
        <f t="shared" si="38"/>
        <v>224</v>
      </c>
    </row>
    <row r="94" spans="1:34" ht="42" customHeight="1" x14ac:dyDescent="0.2">
      <c r="E94" s="36"/>
      <c r="M94" s="37"/>
      <c r="N94" s="37"/>
      <c r="O94" s="38"/>
      <c r="P94" s="37"/>
      <c r="Q94" s="37"/>
    </row>
    <row r="95" spans="1:34" ht="42" customHeight="1" x14ac:dyDescent="0.2">
      <c r="C95" s="489" t="s">
        <v>338</v>
      </c>
      <c r="E95" s="39">
        <v>172475</v>
      </c>
      <c r="F95" s="48">
        <v>172475</v>
      </c>
      <c r="G95" s="48">
        <v>0</v>
      </c>
      <c r="H95" s="48">
        <v>0</v>
      </c>
      <c r="I95" s="48">
        <v>0</v>
      </c>
      <c r="J95" s="48">
        <v>98858</v>
      </c>
      <c r="K95" s="48">
        <v>98858</v>
      </c>
      <c r="L95" s="48">
        <v>0</v>
      </c>
      <c r="M95" s="48">
        <v>0</v>
      </c>
      <c r="N95" s="48">
        <v>0</v>
      </c>
      <c r="O95" s="48">
        <v>98858</v>
      </c>
      <c r="P95" s="48">
        <v>98858</v>
      </c>
      <c r="Q95" s="48">
        <v>0</v>
      </c>
      <c r="R95" s="48">
        <v>0</v>
      </c>
      <c r="S95" s="48">
        <v>0</v>
      </c>
      <c r="T95" s="48">
        <v>68359</v>
      </c>
      <c r="U95" s="48">
        <v>68359</v>
      </c>
      <c r="V95" s="48">
        <v>0</v>
      </c>
      <c r="W95" s="48">
        <v>0</v>
      </c>
      <c r="X95" s="48">
        <v>0</v>
      </c>
      <c r="Y95" s="48">
        <v>68359</v>
      </c>
      <c r="Z95" s="48">
        <v>68359</v>
      </c>
      <c r="AA95" s="48">
        <v>0</v>
      </c>
      <c r="AB95" s="48">
        <v>0</v>
      </c>
      <c r="AC95" s="48">
        <v>0</v>
      </c>
      <c r="AD95" s="48">
        <v>506909</v>
      </c>
      <c r="AE95" s="40">
        <f t="shared" ref="AE95:AE102" si="39">F95+K95+P95+U95+Z95</f>
        <v>506909</v>
      </c>
      <c r="AF95" s="40">
        <f t="shared" ref="AF95:AF102" si="40">G95+L95+Q95+V95+AA95</f>
        <v>0</v>
      </c>
      <c r="AG95" s="40">
        <f t="shared" ref="AG95:AG102" si="41">H95+M95+R95+W95+AB95</f>
        <v>0</v>
      </c>
      <c r="AH95" s="41">
        <f t="shared" ref="AH95:AH102" si="42">I95+N95+S95+X95+AC95</f>
        <v>0</v>
      </c>
    </row>
    <row r="96" spans="1:34" ht="42" customHeight="1" x14ac:dyDescent="0.2">
      <c r="C96" s="489"/>
      <c r="E96" s="48">
        <f t="shared" ref="E96:AD96" si="43">E40-E95</f>
        <v>537</v>
      </c>
      <c r="F96" s="48">
        <f t="shared" si="43"/>
        <v>537</v>
      </c>
      <c r="G96" s="48">
        <f t="shared" si="43"/>
        <v>0</v>
      </c>
      <c r="H96" s="48">
        <f t="shared" si="43"/>
        <v>0</v>
      </c>
      <c r="I96" s="48">
        <f t="shared" si="43"/>
        <v>0</v>
      </c>
      <c r="J96" s="48">
        <f t="shared" si="43"/>
        <v>4996</v>
      </c>
      <c r="K96" s="48">
        <f t="shared" si="43"/>
        <v>4996</v>
      </c>
      <c r="L96" s="48">
        <f t="shared" si="43"/>
        <v>0</v>
      </c>
      <c r="M96" s="48">
        <f t="shared" si="43"/>
        <v>0</v>
      </c>
      <c r="N96" s="48">
        <f t="shared" si="43"/>
        <v>0</v>
      </c>
      <c r="O96" s="48">
        <f t="shared" si="43"/>
        <v>30621</v>
      </c>
      <c r="P96" s="48">
        <f t="shared" si="43"/>
        <v>30621</v>
      </c>
      <c r="Q96" s="48">
        <f t="shared" si="43"/>
        <v>0</v>
      </c>
      <c r="R96" s="48">
        <f t="shared" si="43"/>
        <v>0</v>
      </c>
      <c r="S96" s="48">
        <f t="shared" si="43"/>
        <v>0</v>
      </c>
      <c r="T96" s="48">
        <f t="shared" si="43"/>
        <v>150134</v>
      </c>
      <c r="U96" s="48">
        <f t="shared" si="43"/>
        <v>150134</v>
      </c>
      <c r="V96" s="48">
        <f t="shared" si="43"/>
        <v>0</v>
      </c>
      <c r="W96" s="48">
        <f t="shared" si="43"/>
        <v>0</v>
      </c>
      <c r="X96" s="48">
        <f t="shared" si="43"/>
        <v>0</v>
      </c>
      <c r="Y96" s="48">
        <f t="shared" si="43"/>
        <v>84824</v>
      </c>
      <c r="Z96" s="48">
        <f t="shared" si="43"/>
        <v>84824</v>
      </c>
      <c r="AA96" s="48">
        <f t="shared" si="43"/>
        <v>0</v>
      </c>
      <c r="AB96" s="48">
        <f t="shared" si="43"/>
        <v>0</v>
      </c>
      <c r="AC96" s="48">
        <f t="shared" si="43"/>
        <v>0</v>
      </c>
      <c r="AD96" s="48">
        <f t="shared" si="43"/>
        <v>271112</v>
      </c>
      <c r="AE96" s="40">
        <f t="shared" si="39"/>
        <v>271112</v>
      </c>
      <c r="AF96" s="40">
        <f t="shared" si="40"/>
        <v>0</v>
      </c>
      <c r="AG96" s="40">
        <f t="shared" si="41"/>
        <v>0</v>
      </c>
      <c r="AH96" s="41">
        <f t="shared" si="42"/>
        <v>0</v>
      </c>
    </row>
    <row r="97" spans="3:34" ht="42" customHeight="1" x14ac:dyDescent="0.2">
      <c r="C97" s="489" t="s">
        <v>339</v>
      </c>
      <c r="E97" s="48">
        <v>1479778</v>
      </c>
      <c r="F97" s="48">
        <v>103538</v>
      </c>
      <c r="G97" s="48">
        <v>1249447</v>
      </c>
      <c r="H97" s="48">
        <v>126793</v>
      </c>
      <c r="I97" s="48">
        <v>0</v>
      </c>
      <c r="J97" s="48">
        <v>886241</v>
      </c>
      <c r="K97" s="48">
        <v>133580</v>
      </c>
      <c r="L97" s="48">
        <v>714418</v>
      </c>
      <c r="M97" s="48">
        <v>38243</v>
      </c>
      <c r="N97" s="48">
        <v>0</v>
      </c>
      <c r="O97" s="48">
        <v>832699</v>
      </c>
      <c r="P97" s="48">
        <v>132699</v>
      </c>
      <c r="Q97" s="48">
        <v>700000</v>
      </c>
      <c r="R97" s="48">
        <v>0</v>
      </c>
      <c r="S97" s="48">
        <v>0</v>
      </c>
      <c r="T97" s="48">
        <v>3082707</v>
      </c>
      <c r="U97" s="48">
        <v>345627</v>
      </c>
      <c r="V97" s="48">
        <v>2737080</v>
      </c>
      <c r="W97" s="48">
        <v>0</v>
      </c>
      <c r="X97" s="48">
        <v>0</v>
      </c>
      <c r="Y97" s="48">
        <v>2507975</v>
      </c>
      <c r="Z97" s="48">
        <v>188906</v>
      </c>
      <c r="AA97" s="48">
        <v>2319069</v>
      </c>
      <c r="AB97" s="48">
        <v>0</v>
      </c>
      <c r="AC97" s="48">
        <v>0</v>
      </c>
      <c r="AD97" s="48">
        <v>8789400</v>
      </c>
      <c r="AE97" s="40">
        <f t="shared" si="39"/>
        <v>904350</v>
      </c>
      <c r="AF97" s="40">
        <f t="shared" si="40"/>
        <v>7720014</v>
      </c>
      <c r="AG97" s="40">
        <f t="shared" si="41"/>
        <v>165036</v>
      </c>
      <c r="AH97" s="41">
        <f t="shared" si="42"/>
        <v>0</v>
      </c>
    </row>
    <row r="98" spans="3:34" ht="42" customHeight="1" x14ac:dyDescent="0.2">
      <c r="C98" s="489"/>
      <c r="E98" s="48">
        <f t="shared" ref="E98:AD98" si="44">E58-E97</f>
        <v>106045</v>
      </c>
      <c r="F98" s="48">
        <f t="shared" si="44"/>
        <v>6384</v>
      </c>
      <c r="G98" s="48">
        <f t="shared" si="44"/>
        <v>99661</v>
      </c>
      <c r="H98" s="48">
        <f t="shared" si="44"/>
        <v>0</v>
      </c>
      <c r="I98" s="48">
        <f t="shared" si="44"/>
        <v>0</v>
      </c>
      <c r="J98" s="48">
        <f t="shared" si="44"/>
        <v>665355</v>
      </c>
      <c r="K98" s="48">
        <f t="shared" si="44"/>
        <v>127155</v>
      </c>
      <c r="L98" s="48">
        <f t="shared" si="44"/>
        <v>576443</v>
      </c>
      <c r="M98" s="48">
        <f t="shared" si="44"/>
        <v>-38243</v>
      </c>
      <c r="N98" s="48">
        <f t="shared" si="44"/>
        <v>0</v>
      </c>
      <c r="O98" s="48">
        <f t="shared" si="44"/>
        <v>1247982</v>
      </c>
      <c r="P98" s="48">
        <f t="shared" si="44"/>
        <v>168869</v>
      </c>
      <c r="Q98" s="48">
        <f t="shared" si="44"/>
        <v>1079113</v>
      </c>
      <c r="R98" s="48">
        <f t="shared" si="44"/>
        <v>0</v>
      </c>
      <c r="S98" s="48">
        <f t="shared" si="44"/>
        <v>0</v>
      </c>
      <c r="T98" s="48">
        <f t="shared" si="44"/>
        <v>-1624821</v>
      </c>
      <c r="U98" s="48">
        <f t="shared" si="44"/>
        <v>-41765</v>
      </c>
      <c r="V98" s="48">
        <f t="shared" si="44"/>
        <v>-1583056</v>
      </c>
      <c r="W98" s="48">
        <f t="shared" si="44"/>
        <v>0</v>
      </c>
      <c r="X98" s="48">
        <f t="shared" si="44"/>
        <v>0</v>
      </c>
      <c r="Y98" s="48">
        <f t="shared" si="44"/>
        <v>-2419621</v>
      </c>
      <c r="Z98" s="48">
        <f t="shared" si="44"/>
        <v>-100552</v>
      </c>
      <c r="AA98" s="48">
        <f t="shared" si="44"/>
        <v>-2319069</v>
      </c>
      <c r="AB98" s="48">
        <f t="shared" si="44"/>
        <v>0</v>
      </c>
      <c r="AC98" s="48">
        <f t="shared" si="44"/>
        <v>0</v>
      </c>
      <c r="AD98" s="48">
        <f t="shared" si="44"/>
        <v>-2025060</v>
      </c>
      <c r="AE98" s="40">
        <f t="shared" si="39"/>
        <v>160091</v>
      </c>
      <c r="AF98" s="40">
        <f t="shared" si="40"/>
        <v>-2146908</v>
      </c>
      <c r="AG98" s="40">
        <f t="shared" si="41"/>
        <v>-38243</v>
      </c>
      <c r="AH98" s="41">
        <f t="shared" si="42"/>
        <v>0</v>
      </c>
    </row>
    <row r="99" spans="3:34" ht="42" customHeight="1" x14ac:dyDescent="0.2">
      <c r="C99" s="49" t="s">
        <v>340</v>
      </c>
      <c r="E99" s="48">
        <v>305611</v>
      </c>
      <c r="F99" s="48">
        <v>305611</v>
      </c>
      <c r="G99" s="48">
        <v>0</v>
      </c>
      <c r="H99" s="48">
        <v>0</v>
      </c>
      <c r="I99" s="48">
        <v>0</v>
      </c>
      <c r="J99" s="48">
        <v>421548</v>
      </c>
      <c r="K99" s="48">
        <v>421548</v>
      </c>
      <c r="L99" s="48">
        <v>0</v>
      </c>
      <c r="M99" s="48">
        <v>0</v>
      </c>
      <c r="N99" s="48">
        <v>0</v>
      </c>
      <c r="O99" s="48">
        <v>421548</v>
      </c>
      <c r="P99" s="48">
        <v>421548</v>
      </c>
      <c r="Q99" s="48">
        <v>0</v>
      </c>
      <c r="R99" s="48">
        <v>0</v>
      </c>
      <c r="S99" s="48">
        <v>0</v>
      </c>
      <c r="T99" s="48">
        <v>438410</v>
      </c>
      <c r="U99" s="48">
        <v>438410</v>
      </c>
      <c r="V99" s="48">
        <v>0</v>
      </c>
      <c r="W99" s="48">
        <v>0</v>
      </c>
      <c r="X99" s="48">
        <v>0</v>
      </c>
      <c r="Y99" s="48">
        <v>455946</v>
      </c>
      <c r="Z99" s="48">
        <v>455946</v>
      </c>
      <c r="AA99" s="48">
        <v>0</v>
      </c>
      <c r="AB99" s="48">
        <v>0</v>
      </c>
      <c r="AC99" s="48">
        <v>0</v>
      </c>
      <c r="AD99" s="48">
        <v>2043063</v>
      </c>
      <c r="AE99" s="40">
        <f t="shared" si="39"/>
        <v>2043063</v>
      </c>
      <c r="AF99" s="40">
        <f t="shared" si="40"/>
        <v>0</v>
      </c>
      <c r="AG99" s="40">
        <f t="shared" si="41"/>
        <v>0</v>
      </c>
      <c r="AH99" s="41">
        <f t="shared" si="42"/>
        <v>0</v>
      </c>
    </row>
    <row r="100" spans="3:34" ht="42" customHeight="1" x14ac:dyDescent="0.2">
      <c r="C100" s="49"/>
      <c r="E100" s="48">
        <f t="shared" ref="E100:AD100" si="45">E71-E99</f>
        <v>-23750</v>
      </c>
      <c r="F100" s="48">
        <f t="shared" si="45"/>
        <v>-23750</v>
      </c>
      <c r="G100" s="48">
        <f t="shared" si="45"/>
        <v>0</v>
      </c>
      <c r="H100" s="48">
        <f t="shared" si="45"/>
        <v>0</v>
      </c>
      <c r="I100" s="48">
        <f t="shared" si="45"/>
        <v>0</v>
      </c>
      <c r="J100" s="48">
        <f t="shared" si="45"/>
        <v>-161364</v>
      </c>
      <c r="K100" s="48">
        <f t="shared" si="45"/>
        <v>-161364</v>
      </c>
      <c r="L100" s="48">
        <f t="shared" si="45"/>
        <v>0</v>
      </c>
      <c r="M100" s="48">
        <f t="shared" si="45"/>
        <v>0</v>
      </c>
      <c r="N100" s="48">
        <f t="shared" si="45"/>
        <v>0</v>
      </c>
      <c r="O100" s="48">
        <f t="shared" si="45"/>
        <v>-165670</v>
      </c>
      <c r="P100" s="48">
        <f t="shared" si="45"/>
        <v>-165670</v>
      </c>
      <c r="Q100" s="48">
        <f t="shared" si="45"/>
        <v>0</v>
      </c>
      <c r="R100" s="48">
        <f t="shared" si="45"/>
        <v>0</v>
      </c>
      <c r="S100" s="48">
        <f t="shared" si="45"/>
        <v>0</v>
      </c>
      <c r="T100" s="48">
        <f t="shared" si="45"/>
        <v>-118112</v>
      </c>
      <c r="U100" s="48">
        <f t="shared" si="45"/>
        <v>-118112</v>
      </c>
      <c r="V100" s="48">
        <f t="shared" si="45"/>
        <v>0</v>
      </c>
      <c r="W100" s="48">
        <f t="shared" si="45"/>
        <v>0</v>
      </c>
      <c r="X100" s="48">
        <f t="shared" si="45"/>
        <v>0</v>
      </c>
      <c r="Y100" s="48">
        <f t="shared" si="45"/>
        <v>81889</v>
      </c>
      <c r="Z100" s="48">
        <f t="shared" si="45"/>
        <v>81889</v>
      </c>
      <c r="AA100" s="48">
        <f t="shared" si="45"/>
        <v>0</v>
      </c>
      <c r="AB100" s="48">
        <f t="shared" si="45"/>
        <v>0</v>
      </c>
      <c r="AC100" s="48">
        <f t="shared" si="45"/>
        <v>0</v>
      </c>
      <c r="AD100" s="48">
        <f t="shared" si="45"/>
        <v>-387007</v>
      </c>
      <c r="AE100" s="40">
        <f t="shared" si="39"/>
        <v>-387007</v>
      </c>
      <c r="AF100" s="40">
        <f t="shared" si="40"/>
        <v>0</v>
      </c>
      <c r="AG100" s="40">
        <f t="shared" si="41"/>
        <v>0</v>
      </c>
      <c r="AH100" s="41">
        <f t="shared" si="42"/>
        <v>0</v>
      </c>
    </row>
    <row r="101" spans="3:34" ht="42" customHeight="1" x14ac:dyDescent="0.2">
      <c r="C101" s="49" t="s">
        <v>341</v>
      </c>
      <c r="E101" s="48">
        <v>316674</v>
      </c>
      <c r="F101" s="48">
        <v>241256</v>
      </c>
      <c r="G101" s="48">
        <v>75306</v>
      </c>
      <c r="H101" s="48">
        <v>0</v>
      </c>
      <c r="I101" s="48">
        <v>112</v>
      </c>
      <c r="J101" s="48">
        <v>317340</v>
      </c>
      <c r="K101" s="48">
        <v>241922</v>
      </c>
      <c r="L101" s="48">
        <v>75306</v>
      </c>
      <c r="M101" s="48">
        <v>0</v>
      </c>
      <c r="N101" s="48">
        <v>112</v>
      </c>
      <c r="O101" s="48">
        <v>317340</v>
      </c>
      <c r="P101" s="48">
        <v>241922</v>
      </c>
      <c r="Q101" s="48">
        <v>75306</v>
      </c>
      <c r="R101" s="48">
        <v>0</v>
      </c>
      <c r="S101" s="48">
        <v>112</v>
      </c>
      <c r="T101" s="48">
        <v>316784</v>
      </c>
      <c r="U101" s="48">
        <v>241916</v>
      </c>
      <c r="V101" s="48">
        <v>74756</v>
      </c>
      <c r="W101" s="48">
        <v>0</v>
      </c>
      <c r="X101" s="48">
        <v>112</v>
      </c>
      <c r="Y101" s="48">
        <v>304259</v>
      </c>
      <c r="Z101" s="48">
        <v>241791</v>
      </c>
      <c r="AA101" s="48">
        <v>62356</v>
      </c>
      <c r="AB101" s="48">
        <v>0</v>
      </c>
      <c r="AC101" s="48">
        <v>112</v>
      </c>
      <c r="AD101" s="48">
        <v>1572397</v>
      </c>
      <c r="AE101" s="40">
        <f t="shared" si="39"/>
        <v>1208807</v>
      </c>
      <c r="AF101" s="40">
        <f t="shared" si="40"/>
        <v>363030</v>
      </c>
      <c r="AG101" s="40">
        <f t="shared" si="41"/>
        <v>0</v>
      </c>
      <c r="AH101" s="41">
        <f t="shared" si="42"/>
        <v>560</v>
      </c>
    </row>
    <row r="102" spans="3:34" ht="42" customHeight="1" x14ac:dyDescent="0.2">
      <c r="E102" s="48">
        <f>E90-E101</f>
        <v>20863</v>
      </c>
      <c r="F102" s="48">
        <f t="shared" ref="F102:AD102" si="46">F90-F101</f>
        <v>-7855</v>
      </c>
      <c r="G102" s="48">
        <f t="shared" si="46"/>
        <v>28718</v>
      </c>
      <c r="H102" s="48">
        <f t="shared" si="46"/>
        <v>0</v>
      </c>
      <c r="I102" s="48">
        <f t="shared" si="46"/>
        <v>0</v>
      </c>
      <c r="J102" s="48">
        <f t="shared" si="46"/>
        <v>244539</v>
      </c>
      <c r="K102" s="48">
        <f t="shared" si="46"/>
        <v>-10237</v>
      </c>
      <c r="L102" s="48">
        <f t="shared" si="46"/>
        <v>254776</v>
      </c>
      <c r="M102" s="48">
        <f t="shared" si="46"/>
        <v>0</v>
      </c>
      <c r="N102" s="48">
        <f t="shared" si="46"/>
        <v>0</v>
      </c>
      <c r="O102" s="48">
        <f t="shared" si="46"/>
        <v>107002</v>
      </c>
      <c r="P102" s="48">
        <f t="shared" si="46"/>
        <v>64164</v>
      </c>
      <c r="Q102" s="48">
        <f t="shared" si="46"/>
        <v>42950</v>
      </c>
      <c r="R102" s="48">
        <f t="shared" si="46"/>
        <v>0</v>
      </c>
      <c r="S102" s="48">
        <f t="shared" si="46"/>
        <v>-112</v>
      </c>
      <c r="T102" s="48">
        <f t="shared" si="46"/>
        <v>1052383</v>
      </c>
      <c r="U102" s="48">
        <f t="shared" si="46"/>
        <v>284023</v>
      </c>
      <c r="V102" s="48">
        <f t="shared" si="46"/>
        <v>768472</v>
      </c>
      <c r="W102" s="48">
        <f t="shared" si="46"/>
        <v>0</v>
      </c>
      <c r="X102" s="48">
        <f t="shared" si="46"/>
        <v>-112</v>
      </c>
      <c r="Y102" s="48">
        <f t="shared" si="46"/>
        <v>426226</v>
      </c>
      <c r="Z102" s="48">
        <f t="shared" si="46"/>
        <v>382897</v>
      </c>
      <c r="AA102" s="48">
        <f t="shared" si="46"/>
        <v>43441</v>
      </c>
      <c r="AB102" s="48">
        <f t="shared" si="46"/>
        <v>0</v>
      </c>
      <c r="AC102" s="48">
        <f t="shared" si="46"/>
        <v>-112</v>
      </c>
      <c r="AD102" s="48">
        <f t="shared" si="46"/>
        <v>1851013</v>
      </c>
      <c r="AE102" s="40">
        <f t="shared" si="39"/>
        <v>712992</v>
      </c>
      <c r="AF102" s="40">
        <f t="shared" si="40"/>
        <v>1138357</v>
      </c>
      <c r="AG102" s="40">
        <f t="shared" si="41"/>
        <v>0</v>
      </c>
      <c r="AH102" s="41">
        <f t="shared" si="42"/>
        <v>-336</v>
      </c>
    </row>
    <row r="103" spans="3:34" ht="42" customHeight="1" x14ac:dyDescent="0.2">
      <c r="E103" s="40">
        <v>2274538</v>
      </c>
      <c r="F103" s="40">
        <v>822880</v>
      </c>
      <c r="G103" s="40">
        <v>1324753</v>
      </c>
      <c r="H103" s="40">
        <v>126793</v>
      </c>
      <c r="I103" s="40">
        <v>112</v>
      </c>
      <c r="J103" s="40">
        <v>1723987</v>
      </c>
      <c r="K103" s="40">
        <v>895908</v>
      </c>
      <c r="L103" s="40">
        <v>789724</v>
      </c>
      <c r="M103" s="40">
        <v>38243</v>
      </c>
      <c r="N103" s="40">
        <v>112</v>
      </c>
      <c r="O103" s="40">
        <v>1670445</v>
      </c>
      <c r="P103" s="40">
        <v>895027</v>
      </c>
      <c r="Q103" s="40">
        <v>775306</v>
      </c>
      <c r="R103" s="40">
        <v>0</v>
      </c>
      <c r="S103" s="40">
        <v>112</v>
      </c>
      <c r="T103" s="40">
        <v>3906260</v>
      </c>
      <c r="U103" s="40">
        <v>1094312</v>
      </c>
      <c r="V103" s="40">
        <v>2811836</v>
      </c>
      <c r="W103" s="40">
        <v>0</v>
      </c>
      <c r="X103" s="40">
        <v>112</v>
      </c>
      <c r="Y103" s="40">
        <v>3336539</v>
      </c>
      <c r="Z103" s="40">
        <v>955002</v>
      </c>
      <c r="AA103" s="40">
        <v>2381425</v>
      </c>
      <c r="AB103" s="40">
        <v>0</v>
      </c>
      <c r="AC103" s="40">
        <v>112</v>
      </c>
      <c r="AD103" s="40">
        <v>12911769</v>
      </c>
      <c r="AE103" s="40">
        <f>F103+K103+P103+U103+Z103</f>
        <v>4663129</v>
      </c>
      <c r="AF103" s="40">
        <f>G103+L103+Q103+V103+AA103</f>
        <v>8083044</v>
      </c>
      <c r="AG103" s="40">
        <f>H103+M103+R103+W103+AB103</f>
        <v>165036</v>
      </c>
      <c r="AH103" s="41">
        <f>I103+N103+S103+X103+AC103</f>
        <v>560</v>
      </c>
    </row>
    <row r="104" spans="3:34" ht="42" customHeight="1" x14ac:dyDescent="0.2">
      <c r="E104" s="40">
        <f>E93-E103</f>
        <v>103695</v>
      </c>
      <c r="F104" s="40">
        <f t="shared" ref="F104:AD104" si="47">F93-F103</f>
        <v>-24684</v>
      </c>
      <c r="G104" s="40">
        <f t="shared" si="47"/>
        <v>128379</v>
      </c>
      <c r="H104" s="40">
        <f t="shared" si="47"/>
        <v>0</v>
      </c>
      <c r="I104" s="40">
        <f t="shared" si="47"/>
        <v>0</v>
      </c>
      <c r="J104" s="40">
        <f t="shared" si="47"/>
        <v>753526</v>
      </c>
      <c r="K104" s="40">
        <f t="shared" si="47"/>
        <v>-39450</v>
      </c>
      <c r="L104" s="40">
        <f t="shared" si="47"/>
        <v>831219</v>
      </c>
      <c r="M104" s="40">
        <f t="shared" si="47"/>
        <v>-38243</v>
      </c>
      <c r="N104" s="40">
        <f t="shared" si="47"/>
        <v>0</v>
      </c>
      <c r="O104" s="40">
        <f t="shared" si="47"/>
        <v>1219935</v>
      </c>
      <c r="P104" s="40">
        <f t="shared" si="47"/>
        <v>97984</v>
      </c>
      <c r="Q104" s="40">
        <f t="shared" si="47"/>
        <v>1122063</v>
      </c>
      <c r="R104" s="40">
        <f t="shared" si="47"/>
        <v>0</v>
      </c>
      <c r="S104" s="40">
        <f t="shared" si="47"/>
        <v>-112</v>
      </c>
      <c r="T104" s="40">
        <f t="shared" si="47"/>
        <v>-540416</v>
      </c>
      <c r="U104" s="40">
        <f t="shared" si="47"/>
        <v>274280</v>
      </c>
      <c r="V104" s="40">
        <f t="shared" si="47"/>
        <v>-814584</v>
      </c>
      <c r="W104" s="40">
        <f t="shared" si="47"/>
        <v>0</v>
      </c>
      <c r="X104" s="40">
        <f t="shared" si="47"/>
        <v>-112</v>
      </c>
      <c r="Y104" s="40">
        <f t="shared" si="47"/>
        <v>-1826682</v>
      </c>
      <c r="Z104" s="40">
        <f t="shared" si="47"/>
        <v>449058</v>
      </c>
      <c r="AA104" s="40">
        <f t="shared" si="47"/>
        <v>-2275628</v>
      </c>
      <c r="AB104" s="40">
        <f t="shared" si="47"/>
        <v>0</v>
      </c>
      <c r="AC104" s="40">
        <f t="shared" si="47"/>
        <v>-112</v>
      </c>
      <c r="AD104" s="40">
        <f t="shared" si="47"/>
        <v>-289942</v>
      </c>
      <c r="AE104" s="40">
        <f>AE93-AE103</f>
        <v>757188</v>
      </c>
      <c r="AF104" s="40">
        <f>AF93-AF103</f>
        <v>-1008551</v>
      </c>
      <c r="AG104" s="40">
        <f>AG93-AG103</f>
        <v>-38243</v>
      </c>
      <c r="AH104" s="40">
        <f>AH93-AH103</f>
        <v>-336</v>
      </c>
    </row>
  </sheetData>
  <mergeCells count="90">
    <mergeCell ref="C97:C98"/>
    <mergeCell ref="A84:A85"/>
    <mergeCell ref="A93:C93"/>
    <mergeCell ref="A91:C91"/>
    <mergeCell ref="A92:C92"/>
    <mergeCell ref="C84:C85"/>
    <mergeCell ref="B84:B85"/>
    <mergeCell ref="C95:C96"/>
    <mergeCell ref="A90:C90"/>
    <mergeCell ref="B88:AD88"/>
    <mergeCell ref="N84:N85"/>
    <mergeCell ref="O84:O85"/>
    <mergeCell ref="U84:U85"/>
    <mergeCell ref="V84:V85"/>
    <mergeCell ref="Y84:Y85"/>
    <mergeCell ref="X84:X85"/>
    <mergeCell ref="E5:I5"/>
    <mergeCell ref="J5:N5"/>
    <mergeCell ref="T5:X5"/>
    <mergeCell ref="A40:C40"/>
    <mergeCell ref="A58:C58"/>
    <mergeCell ref="A42:AD42"/>
    <mergeCell ref="A43:AD43"/>
    <mergeCell ref="B9:AD9"/>
    <mergeCell ref="C17:C18"/>
    <mergeCell ref="A38:C38"/>
    <mergeCell ref="A39:C39"/>
    <mergeCell ref="AA2:AD2"/>
    <mergeCell ref="P84:P85"/>
    <mergeCell ref="Q84:Q85"/>
    <mergeCell ref="R84:R85"/>
    <mergeCell ref="S84:S85"/>
    <mergeCell ref="O5:S5"/>
    <mergeCell ref="Y5:AC5"/>
    <mergeCell ref="AA84:AA85"/>
    <mergeCell ref="Z84:Z85"/>
    <mergeCell ref="A8:AD8"/>
    <mergeCell ref="A74:AD74"/>
    <mergeCell ref="A73:AD73"/>
    <mergeCell ref="A10:AD10"/>
    <mergeCell ref="A11:AD11"/>
    <mergeCell ref="J84:J85"/>
    <mergeCell ref="K84:K85"/>
    <mergeCell ref="AA1:AD1"/>
    <mergeCell ref="AC84:AC85"/>
    <mergeCell ref="AD84:AD85"/>
    <mergeCell ref="AB84:AB85"/>
    <mergeCell ref="A49:A50"/>
    <mergeCell ref="C49:C50"/>
    <mergeCell ref="A51:A52"/>
    <mergeCell ref="C51:C52"/>
    <mergeCell ref="A4:A6"/>
    <mergeCell ref="B4:B6"/>
    <mergeCell ref="C4:C6"/>
    <mergeCell ref="D4:D6"/>
    <mergeCell ref="E4:AC4"/>
    <mergeCell ref="AD4:AD6"/>
    <mergeCell ref="A60:AD60"/>
    <mergeCell ref="B3:AD3"/>
    <mergeCell ref="W84:W85"/>
    <mergeCell ref="T84:T85"/>
    <mergeCell ref="A71:C71"/>
    <mergeCell ref="B72:AD72"/>
    <mergeCell ref="B75:AD75"/>
    <mergeCell ref="B78:AD78"/>
    <mergeCell ref="B83:AD83"/>
    <mergeCell ref="E84:E85"/>
    <mergeCell ref="F84:F85"/>
    <mergeCell ref="M84:M85"/>
    <mergeCell ref="I84:I85"/>
    <mergeCell ref="G84:G85"/>
    <mergeCell ref="H84:H85"/>
    <mergeCell ref="D84:D85"/>
    <mergeCell ref="L84:L85"/>
    <mergeCell ref="B62:AD62"/>
    <mergeCell ref="B59:AD59"/>
    <mergeCell ref="B65:AD65"/>
    <mergeCell ref="B12:AD12"/>
    <mergeCell ref="B44:AD44"/>
    <mergeCell ref="B41:AD41"/>
    <mergeCell ref="B23:AD23"/>
    <mergeCell ref="B36:AD36"/>
    <mergeCell ref="B47:B48"/>
    <mergeCell ref="A61:AD61"/>
    <mergeCell ref="A47:A48"/>
    <mergeCell ref="C47:C48"/>
    <mergeCell ref="A57:C57"/>
    <mergeCell ref="A56:C56"/>
    <mergeCell ref="A17:A18"/>
    <mergeCell ref="B17:B18"/>
  </mergeCells>
  <phoneticPr fontId="3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6" firstPageNumber="36" fitToHeight="0" orientation="landscape" useFirstPageNumber="1" r:id="rId1"/>
  <headerFooter alignWithMargins="0">
    <oddHeader>&amp;C&amp;P</oddHeader>
  </headerFooter>
  <rowBreaks count="7" manualBreakCount="7">
    <brk id="19" max="29" man="1"/>
    <brk id="29" max="29" man="1"/>
    <brk id="43" max="29" man="1"/>
    <brk id="50" max="29" man="1"/>
    <brk id="62" max="29" man="1"/>
    <brk id="71" max="29" man="1"/>
    <brk id="82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34"/>
  <sheetViews>
    <sheetView tabSelected="1" view="pageBreakPreview" zoomScale="80" zoomScaleNormal="100" zoomScaleSheetLayoutView="80" workbookViewId="0">
      <selection activeCell="C2" sqref="C2"/>
    </sheetView>
  </sheetViews>
  <sheetFormatPr defaultRowHeight="12.75" x14ac:dyDescent="0.2"/>
  <cols>
    <col min="1" max="1" width="6.140625" style="1" customWidth="1"/>
    <col min="2" max="2" width="34.140625" style="1" customWidth="1"/>
    <col min="3" max="3" width="58.28515625" style="1" customWidth="1"/>
    <col min="4" max="4" width="8.85546875" style="1"/>
    <col min="5" max="5" width="9.140625" style="1" customWidth="1"/>
    <col min="6" max="6" width="11.28515625" style="1" customWidth="1"/>
    <col min="7" max="7" width="11.5703125" style="1" customWidth="1"/>
    <col min="8" max="8" width="14" style="1" customWidth="1"/>
    <col min="9" max="9" width="13.85546875" style="1" customWidth="1"/>
    <col min="10" max="10" width="13.42578125" style="1" customWidth="1"/>
    <col min="11" max="16" width="9.140625" style="1"/>
    <col min="17" max="17" width="14.140625" style="1" customWidth="1"/>
    <col min="18" max="16384" width="9.140625" style="1"/>
  </cols>
  <sheetData>
    <row r="1" spans="1:14" ht="58.5" customHeight="1" x14ac:dyDescent="0.2">
      <c r="G1" s="527" t="s">
        <v>1395</v>
      </c>
      <c r="H1" s="527"/>
      <c r="I1" s="527"/>
      <c r="J1" s="527"/>
    </row>
    <row r="2" spans="1:14" ht="85.5" customHeight="1" x14ac:dyDescent="0.2">
      <c r="G2" s="536" t="s">
        <v>451</v>
      </c>
      <c r="H2" s="536"/>
      <c r="I2" s="536"/>
      <c r="J2" s="536"/>
    </row>
    <row r="3" spans="1:14" ht="21.75" customHeight="1" x14ac:dyDescent="0.2">
      <c r="A3" s="8"/>
      <c r="B3" s="42"/>
      <c r="C3" s="43"/>
      <c r="D3" s="44"/>
      <c r="E3" s="45"/>
      <c r="F3" s="45"/>
      <c r="G3" s="45"/>
      <c r="H3" s="45"/>
      <c r="I3" s="45"/>
      <c r="J3" s="45"/>
    </row>
    <row r="4" spans="1:14" ht="31.5" customHeight="1" x14ac:dyDescent="0.2">
      <c r="A4" s="534" t="s">
        <v>690</v>
      </c>
      <c r="B4" s="535"/>
      <c r="C4" s="535"/>
      <c r="D4" s="535"/>
      <c r="E4" s="535"/>
      <c r="F4" s="534"/>
      <c r="G4" s="534"/>
      <c r="H4" s="534"/>
      <c r="I4" s="534"/>
      <c r="J4" s="534"/>
    </row>
    <row r="5" spans="1:14" ht="18.75" customHeight="1" x14ac:dyDescent="0.2">
      <c r="A5" s="528" t="s">
        <v>75</v>
      </c>
      <c r="B5" s="529" t="s">
        <v>98</v>
      </c>
      <c r="C5" s="505" t="s">
        <v>99</v>
      </c>
      <c r="D5" s="505" t="s">
        <v>100</v>
      </c>
      <c r="E5" s="532" t="s">
        <v>101</v>
      </c>
      <c r="F5" s="505" t="s">
        <v>102</v>
      </c>
      <c r="G5" s="505"/>
      <c r="H5" s="531"/>
      <c r="I5" s="531"/>
      <c r="J5" s="531"/>
    </row>
    <row r="6" spans="1:14" ht="7.5" customHeight="1" x14ac:dyDescent="0.2">
      <c r="A6" s="528"/>
      <c r="B6" s="530"/>
      <c r="C6" s="505"/>
      <c r="D6" s="531"/>
      <c r="E6" s="533"/>
      <c r="F6" s="531"/>
      <c r="G6" s="531"/>
      <c r="H6" s="531"/>
      <c r="I6" s="531"/>
      <c r="J6" s="531"/>
    </row>
    <row r="7" spans="1:14" ht="9" customHeight="1" x14ac:dyDescent="0.2">
      <c r="A7" s="528"/>
      <c r="B7" s="530"/>
      <c r="C7" s="505"/>
      <c r="D7" s="531"/>
      <c r="E7" s="533"/>
      <c r="F7" s="528">
        <v>2021</v>
      </c>
      <c r="G7" s="528">
        <v>2022</v>
      </c>
      <c r="H7" s="528">
        <v>2023</v>
      </c>
      <c r="I7" s="528">
        <v>2024</v>
      </c>
      <c r="J7" s="528">
        <v>2025</v>
      </c>
    </row>
    <row r="8" spans="1:14" ht="12" customHeight="1" x14ac:dyDescent="0.2">
      <c r="A8" s="528"/>
      <c r="B8" s="530"/>
      <c r="C8" s="505"/>
      <c r="D8" s="531"/>
      <c r="E8" s="533"/>
      <c r="F8" s="528"/>
      <c r="G8" s="528"/>
      <c r="H8" s="528"/>
      <c r="I8" s="528"/>
      <c r="J8" s="528"/>
    </row>
    <row r="9" spans="1:14" x14ac:dyDescent="0.2">
      <c r="A9" s="83">
        <v>1</v>
      </c>
      <c r="B9" s="83">
        <v>2</v>
      </c>
      <c r="C9" s="83">
        <v>3</v>
      </c>
      <c r="D9" s="83">
        <v>4</v>
      </c>
      <c r="E9" s="83">
        <v>5</v>
      </c>
      <c r="F9" s="83">
        <v>6</v>
      </c>
      <c r="G9" s="83">
        <v>7</v>
      </c>
      <c r="H9" s="83">
        <v>8</v>
      </c>
      <c r="I9" s="83">
        <v>9</v>
      </c>
      <c r="J9" s="83">
        <v>10</v>
      </c>
    </row>
    <row r="10" spans="1:14" ht="25.5" customHeight="1" x14ac:dyDescent="0.2">
      <c r="A10" s="537" t="s">
        <v>1153</v>
      </c>
      <c r="B10" s="537"/>
      <c r="C10" s="537"/>
      <c r="D10" s="537"/>
      <c r="E10" s="537"/>
      <c r="F10" s="537"/>
      <c r="G10" s="537"/>
      <c r="H10" s="537"/>
      <c r="I10" s="537"/>
      <c r="J10" s="537"/>
    </row>
    <row r="11" spans="1:14" ht="27.75" customHeight="1" x14ac:dyDescent="0.2">
      <c r="A11" s="84" t="s">
        <v>459</v>
      </c>
      <c r="B11" s="504" t="s">
        <v>1154</v>
      </c>
      <c r="C11" s="494"/>
      <c r="D11" s="494"/>
      <c r="E11" s="494"/>
      <c r="F11" s="494"/>
      <c r="G11" s="494"/>
      <c r="H11" s="494"/>
      <c r="I11" s="494"/>
      <c r="J11" s="495"/>
    </row>
    <row r="12" spans="1:14" ht="17.45" customHeight="1" x14ac:dyDescent="0.2">
      <c r="A12" s="538" t="s">
        <v>78</v>
      </c>
      <c r="B12" s="538"/>
      <c r="C12" s="538"/>
      <c r="D12" s="538"/>
      <c r="E12" s="538"/>
      <c r="F12" s="538"/>
      <c r="G12" s="538"/>
      <c r="H12" s="538"/>
      <c r="I12" s="538"/>
      <c r="J12" s="538"/>
    </row>
    <row r="13" spans="1:14" ht="25.15" customHeight="1" x14ac:dyDescent="0.2">
      <c r="A13" s="537" t="s">
        <v>1160</v>
      </c>
      <c r="B13" s="537"/>
      <c r="C13" s="537"/>
      <c r="D13" s="537"/>
      <c r="E13" s="537"/>
      <c r="F13" s="537"/>
      <c r="G13" s="537"/>
      <c r="H13" s="537"/>
      <c r="I13" s="537"/>
      <c r="J13" s="537"/>
    </row>
    <row r="14" spans="1:14" ht="27.75" customHeight="1" x14ac:dyDescent="0.2">
      <c r="A14" s="85" t="s">
        <v>1</v>
      </c>
      <c r="B14" s="504" t="s">
        <v>458</v>
      </c>
      <c r="C14" s="494"/>
      <c r="D14" s="494"/>
      <c r="E14" s="494"/>
      <c r="F14" s="494"/>
      <c r="G14" s="494"/>
      <c r="H14" s="494"/>
      <c r="I14" s="494"/>
      <c r="J14" s="495"/>
    </row>
    <row r="15" spans="1:14" ht="39" customHeight="1" x14ac:dyDescent="0.2">
      <c r="A15" s="86" t="s">
        <v>8</v>
      </c>
      <c r="B15" s="87" t="s">
        <v>128</v>
      </c>
      <c r="C15" s="88" t="s">
        <v>129</v>
      </c>
      <c r="D15" s="89" t="s">
        <v>103</v>
      </c>
      <c r="E15" s="90">
        <v>3</v>
      </c>
      <c r="F15" s="90">
        <f>5+1</f>
        <v>6</v>
      </c>
      <c r="G15" s="91">
        <v>3</v>
      </c>
      <c r="H15" s="91">
        <f>2-1+1</f>
        <v>2</v>
      </c>
      <c r="I15" s="91">
        <f>2-1+1+1</f>
        <v>3</v>
      </c>
      <c r="J15" s="90">
        <f>0+1</f>
        <v>1</v>
      </c>
      <c r="K15" s="92" t="s">
        <v>189</v>
      </c>
    </row>
    <row r="16" spans="1:14" ht="40.5" customHeight="1" x14ac:dyDescent="0.2">
      <c r="A16" s="93" t="s">
        <v>15</v>
      </c>
      <c r="B16" s="94" t="s">
        <v>363</v>
      </c>
      <c r="C16" s="95" t="s">
        <v>432</v>
      </c>
      <c r="D16" s="96" t="s">
        <v>103</v>
      </c>
      <c r="E16" s="97" t="s">
        <v>104</v>
      </c>
      <c r="F16" s="97">
        <v>1</v>
      </c>
      <c r="G16" s="97">
        <v>1</v>
      </c>
      <c r="H16" s="97">
        <f>0+2</f>
        <v>2</v>
      </c>
      <c r="I16" s="97">
        <f>2+1+1+1</f>
        <v>5</v>
      </c>
      <c r="J16" s="98" t="s">
        <v>104</v>
      </c>
      <c r="K16" s="99" t="s">
        <v>104</v>
      </c>
      <c r="L16" s="100" t="s">
        <v>104</v>
      </c>
      <c r="M16" s="101" t="s">
        <v>104</v>
      </c>
      <c r="N16" s="102" t="s">
        <v>104</v>
      </c>
    </row>
    <row r="17" spans="1:10" ht="14.25" customHeight="1" x14ac:dyDescent="0.2">
      <c r="A17" s="517" t="s">
        <v>26</v>
      </c>
      <c r="B17" s="539" t="s">
        <v>105</v>
      </c>
      <c r="C17" s="95" t="s">
        <v>106</v>
      </c>
      <c r="D17" s="103" t="s">
        <v>103</v>
      </c>
      <c r="E17" s="97">
        <v>9</v>
      </c>
      <c r="F17" s="97">
        <v>11</v>
      </c>
      <c r="G17" s="97">
        <v>11</v>
      </c>
      <c r="H17" s="97">
        <f>11-6+9+12+4+12</f>
        <v>42</v>
      </c>
      <c r="I17" s="97">
        <f>12-1-7+21</f>
        <v>25</v>
      </c>
      <c r="J17" s="97">
        <f>0+12-7-2</f>
        <v>3</v>
      </c>
    </row>
    <row r="18" spans="1:10" ht="29.45" customHeight="1" x14ac:dyDescent="0.2">
      <c r="A18" s="502"/>
      <c r="B18" s="540"/>
      <c r="C18" s="95" t="s">
        <v>433</v>
      </c>
      <c r="D18" s="104" t="s">
        <v>103</v>
      </c>
      <c r="E18" s="105" t="s">
        <v>104</v>
      </c>
      <c r="F18" s="105" t="s">
        <v>104</v>
      </c>
      <c r="G18" s="105" t="s">
        <v>104</v>
      </c>
      <c r="H18" s="105" t="s">
        <v>104</v>
      </c>
      <c r="I18" s="105" t="s">
        <v>104</v>
      </c>
      <c r="J18" s="105" t="s">
        <v>104</v>
      </c>
    </row>
    <row r="19" spans="1:10" ht="27" customHeight="1" x14ac:dyDescent="0.2">
      <c r="A19" s="502" t="s">
        <v>466</v>
      </c>
      <c r="B19" s="541" t="s">
        <v>319</v>
      </c>
      <c r="C19" s="95" t="s">
        <v>434</v>
      </c>
      <c r="D19" s="106" t="s">
        <v>103</v>
      </c>
      <c r="E19" s="97">
        <v>2</v>
      </c>
      <c r="F19" s="97">
        <v>3</v>
      </c>
      <c r="G19" s="97">
        <v>10</v>
      </c>
      <c r="H19" s="97">
        <f>0+1+2-1</f>
        <v>2</v>
      </c>
      <c r="I19" s="97">
        <f>0+5+1-5+1+1</f>
        <v>3</v>
      </c>
      <c r="J19" s="97">
        <f>0+2-1+1</f>
        <v>2</v>
      </c>
    </row>
    <row r="20" spans="1:10" ht="27.6" customHeight="1" x14ac:dyDescent="0.2">
      <c r="A20" s="503"/>
      <c r="B20" s="542"/>
      <c r="C20" s="88" t="s">
        <v>107</v>
      </c>
      <c r="D20" s="107" t="s">
        <v>103</v>
      </c>
      <c r="E20" s="90">
        <v>1</v>
      </c>
      <c r="F20" s="108" t="s">
        <v>104</v>
      </c>
      <c r="G20" s="108" t="s">
        <v>104</v>
      </c>
      <c r="H20" s="108" t="s">
        <v>104</v>
      </c>
      <c r="I20" s="108" t="s">
        <v>104</v>
      </c>
      <c r="J20" s="108" t="s">
        <v>104</v>
      </c>
    </row>
    <row r="21" spans="1:10" ht="21" customHeight="1" x14ac:dyDescent="0.2">
      <c r="A21" s="93" t="s">
        <v>467</v>
      </c>
      <c r="B21" s="109" t="s">
        <v>58</v>
      </c>
      <c r="C21" s="95" t="s">
        <v>108</v>
      </c>
      <c r="D21" s="106" t="s">
        <v>103</v>
      </c>
      <c r="E21" s="97">
        <v>5</v>
      </c>
      <c r="F21" s="97">
        <v>12</v>
      </c>
      <c r="G21" s="110">
        <v>3</v>
      </c>
      <c r="H21" s="110">
        <f>10-9+1+3+1</f>
        <v>6</v>
      </c>
      <c r="I21" s="97">
        <f>2+5+3</f>
        <v>10</v>
      </c>
      <c r="J21" s="97">
        <f>7</f>
        <v>7</v>
      </c>
    </row>
    <row r="22" spans="1:10" ht="42.75" customHeight="1" x14ac:dyDescent="0.2">
      <c r="A22" s="93" t="s">
        <v>468</v>
      </c>
      <c r="B22" s="109" t="s">
        <v>321</v>
      </c>
      <c r="C22" s="95" t="s">
        <v>446</v>
      </c>
      <c r="D22" s="111" t="s">
        <v>103</v>
      </c>
      <c r="E22" s="112" t="s">
        <v>104</v>
      </c>
      <c r="F22" s="113">
        <v>2</v>
      </c>
      <c r="G22" s="113">
        <f>1+1</f>
        <v>2</v>
      </c>
      <c r="H22" s="114">
        <f>2+1+2-1+2</f>
        <v>6</v>
      </c>
      <c r="I22" s="114">
        <f>0+2-1+1+3+1</f>
        <v>6</v>
      </c>
      <c r="J22" s="113" t="s">
        <v>104</v>
      </c>
    </row>
    <row r="23" spans="1:10" ht="39" customHeight="1" x14ac:dyDescent="0.2">
      <c r="A23" s="93" t="s">
        <v>469</v>
      </c>
      <c r="B23" s="109" t="s">
        <v>372</v>
      </c>
      <c r="C23" s="95" t="s">
        <v>399</v>
      </c>
      <c r="D23" s="111" t="s">
        <v>103</v>
      </c>
      <c r="E23" s="112" t="s">
        <v>104</v>
      </c>
      <c r="F23" s="113" t="s">
        <v>104</v>
      </c>
      <c r="G23" s="113" t="s">
        <v>104</v>
      </c>
      <c r="H23" s="113">
        <f>0+1</f>
        <v>1</v>
      </c>
      <c r="I23" s="112" t="s">
        <v>104</v>
      </c>
      <c r="J23" s="112" t="s">
        <v>104</v>
      </c>
    </row>
    <row r="24" spans="1:10" ht="28.5" customHeight="1" x14ac:dyDescent="0.2">
      <c r="A24" s="502" t="s">
        <v>562</v>
      </c>
      <c r="B24" s="500" t="s">
        <v>567</v>
      </c>
      <c r="C24" s="95" t="s">
        <v>564</v>
      </c>
      <c r="D24" s="111" t="s">
        <v>103</v>
      </c>
      <c r="E24" s="112" t="s">
        <v>104</v>
      </c>
      <c r="F24" s="113" t="s">
        <v>104</v>
      </c>
      <c r="G24" s="113" t="s">
        <v>104</v>
      </c>
      <c r="H24" s="113">
        <v>1</v>
      </c>
      <c r="I24" s="112" t="s">
        <v>104</v>
      </c>
      <c r="J24" s="112" t="s">
        <v>104</v>
      </c>
    </row>
    <row r="25" spans="1:10" ht="22.5" customHeight="1" x14ac:dyDescent="0.2">
      <c r="A25" s="503"/>
      <c r="B25" s="501"/>
      <c r="C25" s="95" t="s">
        <v>563</v>
      </c>
      <c r="D25" s="111" t="s">
        <v>103</v>
      </c>
      <c r="E25" s="112" t="s">
        <v>104</v>
      </c>
      <c r="F25" s="113" t="s">
        <v>104</v>
      </c>
      <c r="G25" s="113" t="s">
        <v>104</v>
      </c>
      <c r="H25" s="113">
        <v>6</v>
      </c>
      <c r="I25" s="112" t="s">
        <v>104</v>
      </c>
      <c r="J25" s="112" t="s">
        <v>104</v>
      </c>
    </row>
    <row r="26" spans="1:10" ht="19.5" customHeight="1" x14ac:dyDescent="0.2">
      <c r="A26" s="93" t="s">
        <v>600</v>
      </c>
      <c r="B26" s="115" t="s">
        <v>626</v>
      </c>
      <c r="C26" s="95" t="s">
        <v>601</v>
      </c>
      <c r="D26" s="111" t="s">
        <v>103</v>
      </c>
      <c r="E26" s="112" t="s">
        <v>104</v>
      </c>
      <c r="F26" s="113" t="s">
        <v>104</v>
      </c>
      <c r="G26" s="113" t="s">
        <v>104</v>
      </c>
      <c r="H26" s="113" t="s">
        <v>104</v>
      </c>
      <c r="I26" s="97">
        <v>8</v>
      </c>
      <c r="J26" s="97">
        <v>8</v>
      </c>
    </row>
    <row r="27" spans="1:10" ht="36" customHeight="1" x14ac:dyDescent="0.2">
      <c r="A27" s="85" t="s">
        <v>10</v>
      </c>
      <c r="B27" s="504" t="s">
        <v>493</v>
      </c>
      <c r="C27" s="494"/>
      <c r="D27" s="494"/>
      <c r="E27" s="494"/>
      <c r="F27" s="494"/>
      <c r="G27" s="494"/>
      <c r="H27" s="494"/>
      <c r="I27" s="494"/>
      <c r="J27" s="495"/>
    </row>
    <row r="28" spans="1:10" ht="19.149999999999999" customHeight="1" x14ac:dyDescent="0.2">
      <c r="A28" s="543" t="s">
        <v>11</v>
      </c>
      <c r="B28" s="506" t="s">
        <v>227</v>
      </c>
      <c r="C28" s="95" t="s">
        <v>212</v>
      </c>
      <c r="D28" s="106" t="s">
        <v>109</v>
      </c>
      <c r="E28" s="116">
        <v>6.79</v>
      </c>
      <c r="F28" s="116">
        <v>6.39</v>
      </c>
      <c r="G28" s="116">
        <v>0.38200000000000001</v>
      </c>
      <c r="H28" s="116">
        <f>0.561-0.2+0.378</f>
        <v>0.7390000000000001</v>
      </c>
      <c r="I28" s="116">
        <f>0.042+0.018+0.776</f>
        <v>0.83600000000000008</v>
      </c>
      <c r="J28" s="116" t="s">
        <v>104</v>
      </c>
    </row>
    <row r="29" spans="1:10" ht="15" customHeight="1" x14ac:dyDescent="0.2">
      <c r="A29" s="543"/>
      <c r="B29" s="506"/>
      <c r="C29" s="95" t="s">
        <v>110</v>
      </c>
      <c r="D29" s="106" t="s">
        <v>103</v>
      </c>
      <c r="E29" s="97">
        <v>41</v>
      </c>
      <c r="F29" s="97">
        <v>50</v>
      </c>
      <c r="G29" s="97">
        <v>12</v>
      </c>
      <c r="H29" s="97">
        <f>12+7+13+5+28</f>
        <v>65</v>
      </c>
      <c r="I29" s="97">
        <f>18-16+2+8+1+49</f>
        <v>62</v>
      </c>
      <c r="J29" s="97">
        <f>26-24+2-3</f>
        <v>1</v>
      </c>
    </row>
    <row r="30" spans="1:10" ht="19.899999999999999" customHeight="1" x14ac:dyDescent="0.2">
      <c r="A30" s="543"/>
      <c r="B30" s="506"/>
      <c r="C30" s="95" t="s">
        <v>301</v>
      </c>
      <c r="D30" s="106" t="s">
        <v>103</v>
      </c>
      <c r="E30" s="97">
        <v>460</v>
      </c>
      <c r="F30" s="97">
        <v>483</v>
      </c>
      <c r="G30" s="97">
        <v>590</v>
      </c>
      <c r="H30" s="97">
        <f>590-429+28+14+14</f>
        <v>217</v>
      </c>
      <c r="I30" s="97">
        <f>130-110+11+113+121+206</f>
        <v>471</v>
      </c>
      <c r="J30" s="97">
        <f>130-110-5+13+1903</f>
        <v>1931</v>
      </c>
    </row>
    <row r="31" spans="1:10" ht="28.9" customHeight="1" x14ac:dyDescent="0.2">
      <c r="A31" s="517" t="s">
        <v>12</v>
      </c>
      <c r="B31" s="506" t="s">
        <v>111</v>
      </c>
      <c r="C31" s="95" t="s">
        <v>435</v>
      </c>
      <c r="D31" s="106" t="s">
        <v>103</v>
      </c>
      <c r="E31" s="98" t="s">
        <v>104</v>
      </c>
      <c r="F31" s="97" t="s">
        <v>104</v>
      </c>
      <c r="G31" s="97" t="s">
        <v>104</v>
      </c>
      <c r="H31" s="97" t="s">
        <v>104</v>
      </c>
      <c r="I31" s="97">
        <f>7+22-26+1</f>
        <v>4</v>
      </c>
      <c r="J31" s="97">
        <f>0+1</f>
        <v>1</v>
      </c>
    </row>
    <row r="32" spans="1:10" ht="31.9" customHeight="1" x14ac:dyDescent="0.2">
      <c r="A32" s="517"/>
      <c r="B32" s="506"/>
      <c r="C32" s="95" t="s">
        <v>433</v>
      </c>
      <c r="D32" s="106" t="s">
        <v>103</v>
      </c>
      <c r="E32" s="97">
        <v>1</v>
      </c>
      <c r="F32" s="98" t="s">
        <v>104</v>
      </c>
      <c r="G32" s="98" t="s">
        <v>104</v>
      </c>
      <c r="H32" s="98" t="s">
        <v>104</v>
      </c>
      <c r="I32" s="98" t="s">
        <v>104</v>
      </c>
      <c r="J32" s="98" t="s">
        <v>104</v>
      </c>
    </row>
    <row r="33" spans="1:30" ht="41.45" customHeight="1" x14ac:dyDescent="0.2">
      <c r="A33" s="93" t="s">
        <v>17</v>
      </c>
      <c r="B33" s="109" t="s">
        <v>223</v>
      </c>
      <c r="C33" s="95" t="s">
        <v>302</v>
      </c>
      <c r="D33" s="106" t="s">
        <v>103</v>
      </c>
      <c r="E33" s="97">
        <v>4</v>
      </c>
      <c r="F33" s="97">
        <v>2</v>
      </c>
      <c r="G33" s="97">
        <f>1+1</f>
        <v>2</v>
      </c>
      <c r="H33" s="97">
        <v>1</v>
      </c>
      <c r="I33" s="97">
        <v>18</v>
      </c>
      <c r="J33" s="98" t="s">
        <v>104</v>
      </c>
    </row>
    <row r="34" spans="1:30" ht="39.75" customHeight="1" x14ac:dyDescent="0.2">
      <c r="A34" s="93" t="s">
        <v>471</v>
      </c>
      <c r="B34" s="109" t="s">
        <v>232</v>
      </c>
      <c r="C34" s="95" t="s">
        <v>436</v>
      </c>
      <c r="D34" s="106" t="s">
        <v>103</v>
      </c>
      <c r="E34" s="98" t="s">
        <v>104</v>
      </c>
      <c r="F34" s="98" t="s">
        <v>104</v>
      </c>
      <c r="G34" s="97">
        <v>3</v>
      </c>
      <c r="H34" s="97">
        <f>5-4</f>
        <v>1</v>
      </c>
      <c r="I34" s="97" t="s">
        <v>104</v>
      </c>
      <c r="J34" s="97" t="s">
        <v>104</v>
      </c>
    </row>
    <row r="35" spans="1:30" ht="29.45" customHeight="1" x14ac:dyDescent="0.2">
      <c r="A35" s="93" t="s">
        <v>472</v>
      </c>
      <c r="B35" s="109" t="s">
        <v>224</v>
      </c>
      <c r="C35" s="95" t="s">
        <v>225</v>
      </c>
      <c r="D35" s="106" t="s">
        <v>103</v>
      </c>
      <c r="E35" s="98" t="s">
        <v>104</v>
      </c>
      <c r="F35" s="97">
        <v>1</v>
      </c>
      <c r="G35" s="97">
        <f>5-3</f>
        <v>2</v>
      </c>
      <c r="H35" s="97">
        <v>1</v>
      </c>
      <c r="I35" s="97" t="s">
        <v>104</v>
      </c>
      <c r="J35" s="98" t="s">
        <v>104</v>
      </c>
      <c r="K35" s="92" t="s">
        <v>145</v>
      </c>
    </row>
    <row r="36" spans="1:30" ht="33" customHeight="1" x14ac:dyDescent="0.2">
      <c r="A36" s="93" t="s">
        <v>473</v>
      </c>
      <c r="B36" s="109" t="s">
        <v>229</v>
      </c>
      <c r="C36" s="95" t="s">
        <v>231</v>
      </c>
      <c r="D36" s="106" t="s">
        <v>103</v>
      </c>
      <c r="E36" s="98" t="s">
        <v>104</v>
      </c>
      <c r="F36" s="97">
        <v>734</v>
      </c>
      <c r="G36" s="110">
        <f>534+28+604+42</f>
        <v>1208</v>
      </c>
      <c r="H36" s="97">
        <f>534+629+390</f>
        <v>1553</v>
      </c>
      <c r="I36" s="97">
        <f>534+1455-994</f>
        <v>995</v>
      </c>
      <c r="J36" s="97" t="s">
        <v>104</v>
      </c>
      <c r="K36" s="92"/>
    </row>
    <row r="37" spans="1:30" ht="24.6" customHeight="1" x14ac:dyDescent="0.2">
      <c r="A37" s="93" t="s">
        <v>474</v>
      </c>
      <c r="B37" s="109" t="s">
        <v>55</v>
      </c>
      <c r="C37" s="95" t="s">
        <v>112</v>
      </c>
      <c r="D37" s="106" t="s">
        <v>113</v>
      </c>
      <c r="E37" s="97">
        <v>2</v>
      </c>
      <c r="F37" s="98" t="s">
        <v>104</v>
      </c>
      <c r="G37" s="117" t="s">
        <v>104</v>
      </c>
      <c r="H37" s="98" t="s">
        <v>104</v>
      </c>
      <c r="I37" s="98" t="s">
        <v>104</v>
      </c>
      <c r="J37" s="97" t="s">
        <v>104</v>
      </c>
      <c r="K37" s="118" t="s">
        <v>190</v>
      </c>
    </row>
    <row r="38" spans="1:30" ht="42.6" customHeight="1" x14ac:dyDescent="0.2">
      <c r="A38" s="93" t="s">
        <v>475</v>
      </c>
      <c r="B38" s="109" t="s">
        <v>114</v>
      </c>
      <c r="C38" s="95" t="s">
        <v>115</v>
      </c>
      <c r="D38" s="106" t="s">
        <v>103</v>
      </c>
      <c r="E38" s="97">
        <v>61</v>
      </c>
      <c r="F38" s="97">
        <v>41</v>
      </c>
      <c r="G38" s="110">
        <f>43-21</f>
        <v>22</v>
      </c>
      <c r="H38" s="97">
        <f>47-25+7</f>
        <v>29</v>
      </c>
      <c r="I38" s="97">
        <v>22</v>
      </c>
      <c r="J38" s="97">
        <v>22</v>
      </c>
    </row>
    <row r="39" spans="1:30" ht="42.6" customHeight="1" x14ac:dyDescent="0.2">
      <c r="A39" s="93" t="s">
        <v>476</v>
      </c>
      <c r="B39" s="119" t="s">
        <v>448</v>
      </c>
      <c r="C39" s="95" t="s">
        <v>400</v>
      </c>
      <c r="D39" s="106" t="s">
        <v>103</v>
      </c>
      <c r="E39" s="97" t="s">
        <v>104</v>
      </c>
      <c r="F39" s="97" t="s">
        <v>104</v>
      </c>
      <c r="G39" s="110">
        <f>5-1</f>
        <v>4</v>
      </c>
      <c r="H39" s="97">
        <f>0+2-1+1+1</f>
        <v>3</v>
      </c>
      <c r="I39" s="97">
        <f>0+1+10</f>
        <v>11</v>
      </c>
      <c r="J39" s="97" t="s">
        <v>104</v>
      </c>
    </row>
    <row r="40" spans="1:30" ht="27" customHeight="1" x14ac:dyDescent="0.2">
      <c r="A40" s="544" t="s">
        <v>477</v>
      </c>
      <c r="B40" s="541" t="s">
        <v>645</v>
      </c>
      <c r="C40" s="95" t="s">
        <v>437</v>
      </c>
      <c r="D40" s="106" t="s">
        <v>103</v>
      </c>
      <c r="E40" s="97" t="s">
        <v>104</v>
      </c>
      <c r="F40" s="97" t="s">
        <v>104</v>
      </c>
      <c r="G40" s="120">
        <v>1</v>
      </c>
      <c r="H40" s="97">
        <f>0+1</f>
        <v>1</v>
      </c>
      <c r="I40" s="97">
        <v>1</v>
      </c>
      <c r="J40" s="97" t="s">
        <v>104</v>
      </c>
    </row>
    <row r="41" spans="1:30" ht="27" customHeight="1" x14ac:dyDescent="0.2">
      <c r="A41" s="545"/>
      <c r="B41" s="542"/>
      <c r="C41" s="95" t="s">
        <v>647</v>
      </c>
      <c r="D41" s="106" t="s">
        <v>103</v>
      </c>
      <c r="E41" s="97" t="s">
        <v>104</v>
      </c>
      <c r="F41" s="97" t="s">
        <v>104</v>
      </c>
      <c r="G41" s="120" t="s">
        <v>104</v>
      </c>
      <c r="H41" s="97" t="s">
        <v>104</v>
      </c>
      <c r="I41" s="97">
        <v>1</v>
      </c>
      <c r="J41" s="97" t="s">
        <v>104</v>
      </c>
    </row>
    <row r="42" spans="1:30" ht="45.75" customHeight="1" x14ac:dyDescent="0.2">
      <c r="A42" s="121" t="s">
        <v>478</v>
      </c>
      <c r="B42" s="122" t="s">
        <v>418</v>
      </c>
      <c r="C42" s="95" t="s">
        <v>422</v>
      </c>
      <c r="D42" s="106" t="s">
        <v>103</v>
      </c>
      <c r="E42" s="97" t="s">
        <v>104</v>
      </c>
      <c r="F42" s="97" t="s">
        <v>104</v>
      </c>
      <c r="G42" s="120">
        <v>9</v>
      </c>
      <c r="H42" s="97" t="s">
        <v>104</v>
      </c>
      <c r="I42" s="97">
        <v>2</v>
      </c>
      <c r="J42" s="97" t="s">
        <v>104</v>
      </c>
    </row>
    <row r="43" spans="1:30" ht="17.25" customHeight="1" x14ac:dyDescent="0.2">
      <c r="A43" s="502" t="s">
        <v>479</v>
      </c>
      <c r="B43" s="507" t="s">
        <v>423</v>
      </c>
      <c r="C43" s="95" t="s">
        <v>212</v>
      </c>
      <c r="D43" s="106" t="s">
        <v>109</v>
      </c>
      <c r="E43" s="97" t="s">
        <v>104</v>
      </c>
      <c r="F43" s="97" t="s">
        <v>104</v>
      </c>
      <c r="G43" s="98">
        <v>0.04</v>
      </c>
      <c r="H43" s="97" t="s">
        <v>104</v>
      </c>
      <c r="I43" s="97" t="s">
        <v>104</v>
      </c>
      <c r="J43" s="97" t="s">
        <v>104</v>
      </c>
    </row>
    <row r="44" spans="1:30" ht="17.25" customHeight="1" x14ac:dyDescent="0.2">
      <c r="A44" s="519"/>
      <c r="B44" s="508"/>
      <c r="C44" s="95" t="s">
        <v>110</v>
      </c>
      <c r="D44" s="106" t="s">
        <v>103</v>
      </c>
      <c r="E44" s="97" t="s">
        <v>104</v>
      </c>
      <c r="F44" s="97" t="s">
        <v>104</v>
      </c>
      <c r="G44" s="97">
        <v>8</v>
      </c>
      <c r="H44" s="97">
        <f>3</f>
        <v>3</v>
      </c>
      <c r="I44" s="97">
        <f>1+1</f>
        <v>2</v>
      </c>
      <c r="J44" s="97">
        <v>2</v>
      </c>
    </row>
    <row r="45" spans="1:30" ht="17.25" customHeight="1" x14ac:dyDescent="0.2">
      <c r="A45" s="503"/>
      <c r="B45" s="509"/>
      <c r="C45" s="95" t="s">
        <v>230</v>
      </c>
      <c r="D45" s="106" t="s">
        <v>103</v>
      </c>
      <c r="E45" s="97" t="s">
        <v>104</v>
      </c>
      <c r="F45" s="97" t="s">
        <v>104</v>
      </c>
      <c r="G45" s="97">
        <v>162</v>
      </c>
      <c r="H45" s="97">
        <f>77+1</f>
        <v>78</v>
      </c>
      <c r="I45" s="97" t="s">
        <v>104</v>
      </c>
      <c r="J45" s="97" t="s">
        <v>104</v>
      </c>
    </row>
    <row r="46" spans="1:30" ht="30.6" customHeight="1" x14ac:dyDescent="0.2">
      <c r="A46" s="85" t="s">
        <v>16</v>
      </c>
      <c r="B46" s="504" t="s">
        <v>494</v>
      </c>
      <c r="C46" s="494"/>
      <c r="D46" s="494"/>
      <c r="E46" s="494"/>
      <c r="F46" s="494"/>
      <c r="G46" s="494"/>
      <c r="H46" s="494"/>
      <c r="I46" s="494"/>
      <c r="J46" s="495"/>
    </row>
    <row r="47" spans="1:30" ht="29.25" customHeight="1" x14ac:dyDescent="0.2">
      <c r="A47" s="93" t="s">
        <v>134</v>
      </c>
      <c r="B47" s="109" t="s">
        <v>52</v>
      </c>
      <c r="C47" s="95" t="s">
        <v>116</v>
      </c>
      <c r="D47" s="123" t="s">
        <v>117</v>
      </c>
      <c r="E47" s="124">
        <v>98.9</v>
      </c>
      <c r="F47" s="124">
        <v>99.5</v>
      </c>
      <c r="G47" s="124">
        <v>99.5</v>
      </c>
      <c r="H47" s="124">
        <v>99.5</v>
      </c>
      <c r="I47" s="124" t="s">
        <v>625</v>
      </c>
      <c r="J47" s="124" t="s">
        <v>625</v>
      </c>
    </row>
    <row r="48" spans="1:30" ht="45.6" customHeight="1" x14ac:dyDescent="0.2">
      <c r="A48" s="85" t="s">
        <v>460</v>
      </c>
      <c r="B48" s="504" t="s">
        <v>1158</v>
      </c>
      <c r="C48" s="494"/>
      <c r="D48" s="494"/>
      <c r="E48" s="494"/>
      <c r="F48" s="494"/>
      <c r="G48" s="494"/>
      <c r="H48" s="494"/>
      <c r="I48" s="494"/>
      <c r="J48" s="495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ht="33.6" customHeight="1" x14ac:dyDescent="0.2">
      <c r="A49" s="513" t="s">
        <v>202</v>
      </c>
      <c r="B49" s="513"/>
      <c r="C49" s="513"/>
      <c r="D49" s="513"/>
      <c r="E49" s="513"/>
      <c r="F49" s="513"/>
      <c r="G49" s="513"/>
      <c r="H49" s="513"/>
      <c r="I49" s="513"/>
      <c r="J49" s="5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ht="44.45" customHeight="1" x14ac:dyDescent="0.2">
      <c r="A50" s="514" t="s">
        <v>1145</v>
      </c>
      <c r="B50" s="514"/>
      <c r="C50" s="514"/>
      <c r="D50" s="514"/>
      <c r="E50" s="514"/>
      <c r="F50" s="514"/>
      <c r="G50" s="514"/>
      <c r="H50" s="514"/>
      <c r="I50" s="514"/>
      <c r="J50" s="514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43.9" customHeight="1" x14ac:dyDescent="0.2">
      <c r="A51" s="85" t="s">
        <v>2</v>
      </c>
      <c r="B51" s="504" t="s">
        <v>1161</v>
      </c>
      <c r="C51" s="494"/>
      <c r="D51" s="494"/>
      <c r="E51" s="494"/>
      <c r="F51" s="494"/>
      <c r="G51" s="494"/>
      <c r="H51" s="494"/>
      <c r="I51" s="494"/>
      <c r="J51" s="495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45" customHeight="1" x14ac:dyDescent="0.2">
      <c r="A52" s="517" t="s">
        <v>9</v>
      </c>
      <c r="B52" s="515" t="s">
        <v>642</v>
      </c>
      <c r="C52" s="109" t="s">
        <v>193</v>
      </c>
      <c r="D52" s="106" t="s">
        <v>120</v>
      </c>
      <c r="E52" s="125">
        <v>0.1</v>
      </c>
      <c r="F52" s="106">
        <v>3.06</v>
      </c>
      <c r="G52" s="126">
        <f>1.31-1.1-0.2</f>
        <v>9.9999999999999534E-3</v>
      </c>
      <c r="H52" s="126">
        <f>0+1.69-1.48</f>
        <v>0.20999999999999996</v>
      </c>
      <c r="I52" s="127">
        <f>0.968+0.57</f>
        <v>1.5379999999999998</v>
      </c>
      <c r="J52" s="126" t="s">
        <v>104</v>
      </c>
      <c r="K52" s="128">
        <v>3.2</v>
      </c>
    </row>
    <row r="53" spans="1:30" ht="47.25" customHeight="1" x14ac:dyDescent="0.2">
      <c r="A53" s="517"/>
      <c r="B53" s="515"/>
      <c r="C53" s="109" t="s">
        <v>582</v>
      </c>
      <c r="D53" s="106" t="s">
        <v>103</v>
      </c>
      <c r="E53" s="125" t="s">
        <v>104</v>
      </c>
      <c r="F53" s="106" t="s">
        <v>104</v>
      </c>
      <c r="G53" s="126" t="s">
        <v>104</v>
      </c>
      <c r="H53" s="126" t="s">
        <v>104</v>
      </c>
      <c r="I53" s="129" t="s">
        <v>104</v>
      </c>
      <c r="J53" s="126" t="s">
        <v>104</v>
      </c>
      <c r="K53" s="128"/>
    </row>
    <row r="54" spans="1:30" ht="45" customHeight="1" x14ac:dyDescent="0.2">
      <c r="A54" s="517"/>
      <c r="B54" s="515"/>
      <c r="C54" s="109" t="s">
        <v>349</v>
      </c>
      <c r="D54" s="106" t="s">
        <v>103</v>
      </c>
      <c r="E54" s="130" t="s">
        <v>104</v>
      </c>
      <c r="F54" s="106">
        <v>4</v>
      </c>
      <c r="G54" s="106" t="s">
        <v>104</v>
      </c>
      <c r="H54" s="106" t="s">
        <v>104</v>
      </c>
      <c r="I54" s="106">
        <v>1</v>
      </c>
      <c r="J54" s="106" t="s">
        <v>104</v>
      </c>
      <c r="K54" s="128"/>
    </row>
    <row r="55" spans="1:30" ht="30" customHeight="1" x14ac:dyDescent="0.2">
      <c r="A55" s="502" t="s">
        <v>41</v>
      </c>
      <c r="B55" s="507" t="s">
        <v>627</v>
      </c>
      <c r="C55" s="109" t="s">
        <v>194</v>
      </c>
      <c r="D55" s="106" t="s">
        <v>120</v>
      </c>
      <c r="E55" s="130" t="s">
        <v>104</v>
      </c>
      <c r="F55" s="106">
        <v>1</v>
      </c>
      <c r="G55" s="131">
        <f>0.45-0.42</f>
        <v>3.0000000000000027E-2</v>
      </c>
      <c r="H55" s="129">
        <v>1.96</v>
      </c>
      <c r="I55" s="106" t="s">
        <v>104</v>
      </c>
      <c r="J55" s="126" t="s">
        <v>104</v>
      </c>
      <c r="K55" s="128">
        <v>0.69</v>
      </c>
    </row>
    <row r="56" spans="1:30" ht="30" customHeight="1" x14ac:dyDescent="0.2">
      <c r="A56" s="519"/>
      <c r="B56" s="508"/>
      <c r="C56" s="109" t="s">
        <v>623</v>
      </c>
      <c r="D56" s="106" t="s">
        <v>103</v>
      </c>
      <c r="E56" s="130" t="s">
        <v>104</v>
      </c>
      <c r="F56" s="106" t="s">
        <v>104</v>
      </c>
      <c r="G56" s="131" t="s">
        <v>104</v>
      </c>
      <c r="H56" s="129" t="s">
        <v>104</v>
      </c>
      <c r="I56" s="106">
        <v>1</v>
      </c>
      <c r="J56" s="126" t="s">
        <v>104</v>
      </c>
      <c r="K56" s="132"/>
    </row>
    <row r="57" spans="1:30" ht="43.5" customHeight="1" x14ac:dyDescent="0.2">
      <c r="A57" s="519"/>
      <c r="B57" s="508"/>
      <c r="C57" s="109" t="s">
        <v>346</v>
      </c>
      <c r="D57" s="106" t="s">
        <v>103</v>
      </c>
      <c r="E57" s="130" t="s">
        <v>104</v>
      </c>
      <c r="F57" s="106">
        <v>1</v>
      </c>
      <c r="G57" s="130" t="s">
        <v>104</v>
      </c>
      <c r="H57" s="106">
        <v>1</v>
      </c>
      <c r="I57" s="106" t="s">
        <v>104</v>
      </c>
      <c r="J57" s="106" t="s">
        <v>104</v>
      </c>
      <c r="K57" s="132"/>
    </row>
    <row r="58" spans="1:30" ht="45" customHeight="1" x14ac:dyDescent="0.2">
      <c r="A58" s="502" t="s">
        <v>133</v>
      </c>
      <c r="B58" s="507" t="s">
        <v>407</v>
      </c>
      <c r="C58" s="94" t="s">
        <v>195</v>
      </c>
      <c r="D58" s="106" t="s">
        <v>103</v>
      </c>
      <c r="E58" s="130" t="s">
        <v>104</v>
      </c>
      <c r="F58" s="106">
        <v>6</v>
      </c>
      <c r="G58" s="106">
        <f>7-5</f>
        <v>2</v>
      </c>
      <c r="H58" s="106">
        <v>1</v>
      </c>
      <c r="I58" s="106">
        <v>2</v>
      </c>
      <c r="J58" s="106">
        <v>2</v>
      </c>
      <c r="K58" s="133">
        <v>1</v>
      </c>
    </row>
    <row r="59" spans="1:30" ht="45" customHeight="1" x14ac:dyDescent="0.2">
      <c r="A59" s="519"/>
      <c r="B59" s="508"/>
      <c r="C59" s="94" t="s">
        <v>196</v>
      </c>
      <c r="D59" s="106" t="s">
        <v>103</v>
      </c>
      <c r="E59" s="130" t="s">
        <v>104</v>
      </c>
      <c r="F59" s="106">
        <v>3</v>
      </c>
      <c r="G59" s="106">
        <v>2</v>
      </c>
      <c r="H59" s="106">
        <f>0+2+2-2</f>
        <v>2</v>
      </c>
      <c r="I59" s="106">
        <f>3-2+2</f>
        <v>3</v>
      </c>
      <c r="J59" s="106">
        <v>1</v>
      </c>
      <c r="K59" s="133">
        <v>1</v>
      </c>
    </row>
    <row r="60" spans="1:30" ht="30.75" customHeight="1" x14ac:dyDescent="0.2">
      <c r="A60" s="519"/>
      <c r="B60" s="508"/>
      <c r="C60" s="94" t="s">
        <v>387</v>
      </c>
      <c r="D60" s="106" t="s">
        <v>103</v>
      </c>
      <c r="E60" s="130" t="s">
        <v>104</v>
      </c>
      <c r="F60" s="130">
        <v>1</v>
      </c>
      <c r="G60" s="130" t="s">
        <v>104</v>
      </c>
      <c r="H60" s="130" t="s">
        <v>104</v>
      </c>
      <c r="I60" s="130" t="s">
        <v>104</v>
      </c>
      <c r="J60" s="130" t="s">
        <v>104</v>
      </c>
      <c r="K60" s="133">
        <v>7</v>
      </c>
    </row>
    <row r="61" spans="1:30" ht="43.15" customHeight="1" x14ac:dyDescent="0.2">
      <c r="A61" s="519"/>
      <c r="B61" s="508"/>
      <c r="C61" s="94" t="s">
        <v>165</v>
      </c>
      <c r="D61" s="106" t="s">
        <v>103</v>
      </c>
      <c r="E61" s="106">
        <v>1</v>
      </c>
      <c r="F61" s="106">
        <v>2</v>
      </c>
      <c r="G61" s="106">
        <v>1</v>
      </c>
      <c r="H61" s="106" t="s">
        <v>104</v>
      </c>
      <c r="I61" s="106">
        <f>1+1-1</f>
        <v>1</v>
      </c>
      <c r="J61" s="106">
        <v>2</v>
      </c>
      <c r="K61" s="133"/>
    </row>
    <row r="62" spans="1:30" ht="43.15" customHeight="1" x14ac:dyDescent="0.2">
      <c r="A62" s="519"/>
      <c r="B62" s="508"/>
      <c r="C62" s="94" t="s">
        <v>166</v>
      </c>
      <c r="D62" s="106" t="s">
        <v>103</v>
      </c>
      <c r="E62" s="130" t="s">
        <v>104</v>
      </c>
      <c r="F62" s="130" t="s">
        <v>104</v>
      </c>
      <c r="G62" s="130" t="s">
        <v>104</v>
      </c>
      <c r="H62" s="106" t="s">
        <v>104</v>
      </c>
      <c r="I62" s="106" t="s">
        <v>104</v>
      </c>
      <c r="J62" s="106" t="s">
        <v>104</v>
      </c>
      <c r="K62" s="133">
        <v>40</v>
      </c>
      <c r="M62" s="1" t="s">
        <v>139</v>
      </c>
    </row>
    <row r="63" spans="1:30" ht="45.75" customHeight="1" x14ac:dyDescent="0.2">
      <c r="A63" s="519"/>
      <c r="B63" s="508"/>
      <c r="C63" s="94" t="s">
        <v>192</v>
      </c>
      <c r="D63" s="106" t="s">
        <v>120</v>
      </c>
      <c r="E63" s="106">
        <v>33.46</v>
      </c>
      <c r="F63" s="130" t="s">
        <v>104</v>
      </c>
      <c r="G63" s="126" t="s">
        <v>104</v>
      </c>
      <c r="H63" s="126" t="s">
        <v>104</v>
      </c>
      <c r="I63" s="134" t="s">
        <v>104</v>
      </c>
      <c r="J63" s="134" t="s">
        <v>104</v>
      </c>
      <c r="K63" s="133"/>
    </row>
    <row r="64" spans="1:30" ht="45" customHeight="1" x14ac:dyDescent="0.2">
      <c r="A64" s="519"/>
      <c r="B64" s="508"/>
      <c r="C64" s="94" t="s">
        <v>119</v>
      </c>
      <c r="D64" s="106" t="s">
        <v>308</v>
      </c>
      <c r="E64" s="130" t="s">
        <v>104</v>
      </c>
      <c r="F64" s="130" t="s">
        <v>104</v>
      </c>
      <c r="G64" s="106" t="s">
        <v>104</v>
      </c>
      <c r="H64" s="106" t="s">
        <v>104</v>
      </c>
      <c r="I64" s="106" t="s">
        <v>104</v>
      </c>
      <c r="J64" s="106" t="s">
        <v>104</v>
      </c>
      <c r="K64" s="133"/>
    </row>
    <row r="65" spans="1:12" ht="57" customHeight="1" x14ac:dyDescent="0.2">
      <c r="A65" s="519"/>
      <c r="B65" s="508"/>
      <c r="C65" s="109" t="s">
        <v>420</v>
      </c>
      <c r="D65" s="106" t="s">
        <v>103</v>
      </c>
      <c r="E65" s="130" t="s">
        <v>104</v>
      </c>
      <c r="F65" s="106" t="s">
        <v>104</v>
      </c>
      <c r="G65" s="130">
        <v>1</v>
      </c>
      <c r="H65" s="106" t="s">
        <v>104</v>
      </c>
      <c r="I65" s="106" t="s">
        <v>104</v>
      </c>
      <c r="J65" s="106" t="s">
        <v>104</v>
      </c>
      <c r="K65" s="133"/>
    </row>
    <row r="66" spans="1:12" ht="29.25" customHeight="1" x14ac:dyDescent="0.2">
      <c r="A66" s="135"/>
      <c r="B66" s="136"/>
      <c r="C66" s="109" t="s">
        <v>402</v>
      </c>
      <c r="D66" s="106" t="s">
        <v>103</v>
      </c>
      <c r="E66" s="106" t="s">
        <v>104</v>
      </c>
      <c r="F66" s="106" t="s">
        <v>104</v>
      </c>
      <c r="G66" s="106" t="s">
        <v>104</v>
      </c>
      <c r="H66" s="106" t="s">
        <v>104</v>
      </c>
      <c r="I66" s="106">
        <v>1</v>
      </c>
      <c r="J66" s="106" t="s">
        <v>104</v>
      </c>
      <c r="K66" s="133"/>
    </row>
    <row r="67" spans="1:12" ht="59.25" customHeight="1" x14ac:dyDescent="0.2">
      <c r="A67" s="510" t="s">
        <v>461</v>
      </c>
      <c r="B67" s="498" t="s">
        <v>628</v>
      </c>
      <c r="C67" s="109" t="s">
        <v>444</v>
      </c>
      <c r="D67" s="106" t="s">
        <v>122</v>
      </c>
      <c r="E67" s="130" t="s">
        <v>104</v>
      </c>
      <c r="F67" s="106" t="s">
        <v>370</v>
      </c>
      <c r="G67" s="106" t="s">
        <v>525</v>
      </c>
      <c r="H67" s="106" t="s">
        <v>596</v>
      </c>
      <c r="I67" s="106" t="s">
        <v>596</v>
      </c>
      <c r="J67" s="106" t="s">
        <v>104</v>
      </c>
      <c r="K67" s="137">
        <v>109.38</v>
      </c>
      <c r="L67" s="1" t="s">
        <v>135</v>
      </c>
    </row>
    <row r="68" spans="1:12" ht="30.75" customHeight="1" x14ac:dyDescent="0.2">
      <c r="A68" s="511"/>
      <c r="B68" s="520"/>
      <c r="C68" s="109" t="s">
        <v>333</v>
      </c>
      <c r="D68" s="106" t="s">
        <v>103</v>
      </c>
      <c r="E68" s="130" t="s">
        <v>104</v>
      </c>
      <c r="F68" s="106">
        <v>1</v>
      </c>
      <c r="G68" s="106">
        <v>1</v>
      </c>
      <c r="H68" s="106">
        <f>1+1</f>
        <v>2</v>
      </c>
      <c r="I68" s="106" t="s">
        <v>104</v>
      </c>
      <c r="J68" s="106" t="s">
        <v>104</v>
      </c>
      <c r="K68" s="137"/>
    </row>
    <row r="69" spans="1:12" ht="56.25" customHeight="1" x14ac:dyDescent="0.2">
      <c r="A69" s="511"/>
      <c r="B69" s="524"/>
      <c r="C69" s="109" t="s">
        <v>342</v>
      </c>
      <c r="D69" s="106" t="s">
        <v>103</v>
      </c>
      <c r="E69" s="130" t="s">
        <v>104</v>
      </c>
      <c r="F69" s="106">
        <v>1</v>
      </c>
      <c r="G69" s="106" t="s">
        <v>104</v>
      </c>
      <c r="H69" s="106" t="s">
        <v>104</v>
      </c>
      <c r="I69" s="106" t="s">
        <v>104</v>
      </c>
      <c r="J69" s="106" t="s">
        <v>104</v>
      </c>
      <c r="K69" s="137"/>
    </row>
    <row r="70" spans="1:12" ht="58.5" customHeight="1" x14ac:dyDescent="0.2">
      <c r="A70" s="511"/>
      <c r="B70" s="524"/>
      <c r="C70" s="109" t="s">
        <v>398</v>
      </c>
      <c r="D70" s="106" t="s">
        <v>103</v>
      </c>
      <c r="E70" s="106" t="s">
        <v>104</v>
      </c>
      <c r="F70" s="134" t="s">
        <v>104</v>
      </c>
      <c r="G70" s="106" t="s">
        <v>104</v>
      </c>
      <c r="H70" s="106" t="s">
        <v>104</v>
      </c>
      <c r="I70" s="106" t="s">
        <v>104</v>
      </c>
      <c r="J70" s="106" t="s">
        <v>104</v>
      </c>
      <c r="K70" s="138"/>
    </row>
    <row r="71" spans="1:12" ht="25.5" x14ac:dyDescent="0.2">
      <c r="A71" s="511"/>
      <c r="B71" s="524"/>
      <c r="C71" s="109" t="s">
        <v>565</v>
      </c>
      <c r="D71" s="106" t="s">
        <v>103</v>
      </c>
      <c r="E71" s="106" t="s">
        <v>104</v>
      </c>
      <c r="F71" s="134" t="s">
        <v>104</v>
      </c>
      <c r="G71" s="106">
        <f>1</f>
        <v>1</v>
      </c>
      <c r="H71" s="106" t="s">
        <v>104</v>
      </c>
      <c r="I71" s="106" t="s">
        <v>104</v>
      </c>
      <c r="J71" s="106" t="s">
        <v>104</v>
      </c>
      <c r="K71" s="138"/>
    </row>
    <row r="72" spans="1:12" ht="42" customHeight="1" x14ac:dyDescent="0.2">
      <c r="A72" s="511"/>
      <c r="B72" s="524"/>
      <c r="C72" s="109" t="s">
        <v>416</v>
      </c>
      <c r="D72" s="106" t="s">
        <v>103</v>
      </c>
      <c r="E72" s="106" t="s">
        <v>104</v>
      </c>
      <c r="F72" s="106" t="s">
        <v>104</v>
      </c>
      <c r="G72" s="106">
        <v>1</v>
      </c>
      <c r="H72" s="106" t="s">
        <v>104</v>
      </c>
      <c r="I72" s="106" t="s">
        <v>104</v>
      </c>
      <c r="J72" s="106" t="s">
        <v>104</v>
      </c>
      <c r="K72" s="138"/>
    </row>
    <row r="73" spans="1:12" ht="24" customHeight="1" x14ac:dyDescent="0.2">
      <c r="A73" s="512"/>
      <c r="B73" s="497"/>
      <c r="C73" s="109" t="s">
        <v>566</v>
      </c>
      <c r="D73" s="106" t="s">
        <v>103</v>
      </c>
      <c r="E73" s="106" t="s">
        <v>104</v>
      </c>
      <c r="F73" s="106" t="s">
        <v>104</v>
      </c>
      <c r="G73" s="106" t="s">
        <v>104</v>
      </c>
      <c r="H73" s="106">
        <v>1</v>
      </c>
      <c r="I73" s="106" t="s">
        <v>104</v>
      </c>
      <c r="J73" s="106" t="s">
        <v>104</v>
      </c>
      <c r="K73" s="138"/>
    </row>
    <row r="74" spans="1:12" ht="56.45" customHeight="1" x14ac:dyDescent="0.2">
      <c r="A74" s="525" t="s">
        <v>462</v>
      </c>
      <c r="B74" s="507" t="s">
        <v>629</v>
      </c>
      <c r="C74" s="109" t="s">
        <v>445</v>
      </c>
      <c r="D74" s="106" t="s">
        <v>121</v>
      </c>
      <c r="E74" s="106">
        <v>257.52999999999997</v>
      </c>
      <c r="F74" s="126" t="s">
        <v>650</v>
      </c>
      <c r="G74" s="106" t="s">
        <v>649</v>
      </c>
      <c r="H74" s="131" t="s">
        <v>597</v>
      </c>
      <c r="I74" s="106" t="s">
        <v>1165</v>
      </c>
      <c r="J74" s="106" t="s">
        <v>648</v>
      </c>
      <c r="K74" s="138" t="s">
        <v>123</v>
      </c>
    </row>
    <row r="75" spans="1:12" ht="19.149999999999999" customHeight="1" x14ac:dyDescent="0.2">
      <c r="A75" s="526"/>
      <c r="B75" s="508"/>
      <c r="C75" s="109" t="s">
        <v>297</v>
      </c>
      <c r="D75" s="106" t="s">
        <v>103</v>
      </c>
      <c r="E75" s="106" t="s">
        <v>104</v>
      </c>
      <c r="F75" s="134">
        <v>1</v>
      </c>
      <c r="G75" s="106" t="s">
        <v>104</v>
      </c>
      <c r="H75" s="106" t="s">
        <v>104</v>
      </c>
      <c r="I75" s="106" t="s">
        <v>104</v>
      </c>
      <c r="J75" s="106" t="s">
        <v>104</v>
      </c>
      <c r="K75" s="138"/>
    </row>
    <row r="76" spans="1:12" ht="93" customHeight="1" x14ac:dyDescent="0.2">
      <c r="A76" s="526"/>
      <c r="B76" s="508"/>
      <c r="C76" s="109" t="s">
        <v>438</v>
      </c>
      <c r="D76" s="106" t="s">
        <v>103</v>
      </c>
      <c r="E76" s="106" t="s">
        <v>104</v>
      </c>
      <c r="F76" s="134">
        <v>13</v>
      </c>
      <c r="G76" s="106" t="s">
        <v>104</v>
      </c>
      <c r="H76" s="106" t="s">
        <v>104</v>
      </c>
      <c r="I76" s="106">
        <v>1</v>
      </c>
      <c r="J76" s="106" t="s">
        <v>104</v>
      </c>
      <c r="K76" s="138"/>
    </row>
    <row r="77" spans="1:12" ht="17.45" customHeight="1" x14ac:dyDescent="0.2">
      <c r="A77" s="526"/>
      <c r="B77" s="508"/>
      <c r="C77" s="109" t="s">
        <v>106</v>
      </c>
      <c r="D77" s="106" t="s">
        <v>103</v>
      </c>
      <c r="E77" s="106" t="s">
        <v>104</v>
      </c>
      <c r="F77" s="134">
        <v>20</v>
      </c>
      <c r="G77" s="106" t="s">
        <v>104</v>
      </c>
      <c r="H77" s="106" t="s">
        <v>104</v>
      </c>
      <c r="I77" s="106" t="s">
        <v>104</v>
      </c>
      <c r="J77" s="106" t="s">
        <v>104</v>
      </c>
      <c r="K77" s="138"/>
    </row>
    <row r="78" spans="1:12" ht="25.5" x14ac:dyDescent="0.2">
      <c r="A78" s="526"/>
      <c r="B78" s="508"/>
      <c r="C78" s="109" t="s">
        <v>434</v>
      </c>
      <c r="D78" s="106" t="s">
        <v>103</v>
      </c>
      <c r="E78" s="106" t="s">
        <v>104</v>
      </c>
      <c r="F78" s="134">
        <v>2</v>
      </c>
      <c r="G78" s="106" t="s">
        <v>104</v>
      </c>
      <c r="H78" s="106" t="s">
        <v>104</v>
      </c>
      <c r="I78" s="106" t="s">
        <v>104</v>
      </c>
      <c r="J78" s="106" t="s">
        <v>104</v>
      </c>
      <c r="K78" s="138"/>
    </row>
    <row r="79" spans="1:12" ht="17.45" customHeight="1" x14ac:dyDescent="0.2">
      <c r="A79" s="526"/>
      <c r="B79" s="508"/>
      <c r="C79" s="109" t="s">
        <v>108</v>
      </c>
      <c r="D79" s="106" t="s">
        <v>103</v>
      </c>
      <c r="E79" s="106" t="s">
        <v>104</v>
      </c>
      <c r="F79" s="134">
        <v>9</v>
      </c>
      <c r="G79" s="106" t="s">
        <v>104</v>
      </c>
      <c r="H79" s="106" t="s">
        <v>104</v>
      </c>
      <c r="I79" s="106" t="s">
        <v>104</v>
      </c>
      <c r="J79" s="106" t="s">
        <v>104</v>
      </c>
      <c r="K79" s="138"/>
    </row>
    <row r="80" spans="1:12" ht="51" x14ac:dyDescent="0.2">
      <c r="A80" s="526"/>
      <c r="B80" s="508"/>
      <c r="C80" s="109" t="s">
        <v>439</v>
      </c>
      <c r="D80" s="106" t="s">
        <v>103</v>
      </c>
      <c r="E80" s="106" t="s">
        <v>104</v>
      </c>
      <c r="F80" s="134">
        <v>3</v>
      </c>
      <c r="G80" s="106" t="s">
        <v>104</v>
      </c>
      <c r="H80" s="106" t="s">
        <v>104</v>
      </c>
      <c r="I80" s="106" t="s">
        <v>104</v>
      </c>
      <c r="J80" s="106" t="s">
        <v>104</v>
      </c>
      <c r="K80" s="138"/>
    </row>
    <row r="81" spans="1:11" ht="20.45" customHeight="1" x14ac:dyDescent="0.2">
      <c r="A81" s="526"/>
      <c r="B81" s="508"/>
      <c r="C81" s="109" t="s">
        <v>212</v>
      </c>
      <c r="D81" s="106" t="s">
        <v>303</v>
      </c>
      <c r="E81" s="106" t="s">
        <v>104</v>
      </c>
      <c r="F81" s="126">
        <v>2.9</v>
      </c>
      <c r="G81" s="106" t="s">
        <v>104</v>
      </c>
      <c r="H81" s="106" t="s">
        <v>104</v>
      </c>
      <c r="I81" s="106" t="s">
        <v>104</v>
      </c>
      <c r="J81" s="106" t="s">
        <v>104</v>
      </c>
      <c r="K81" s="138"/>
    </row>
    <row r="82" spans="1:11" ht="16.899999999999999" customHeight="1" x14ac:dyDescent="0.2">
      <c r="A82" s="511"/>
      <c r="B82" s="524"/>
      <c r="C82" s="109" t="s">
        <v>440</v>
      </c>
      <c r="D82" s="106" t="s">
        <v>103</v>
      </c>
      <c r="E82" s="106" t="s">
        <v>104</v>
      </c>
      <c r="F82" s="134">
        <v>20</v>
      </c>
      <c r="G82" s="106" t="s">
        <v>104</v>
      </c>
      <c r="H82" s="106" t="s">
        <v>104</v>
      </c>
      <c r="I82" s="106" t="s">
        <v>104</v>
      </c>
      <c r="J82" s="106" t="s">
        <v>104</v>
      </c>
      <c r="K82" s="138"/>
    </row>
    <row r="83" spans="1:11" ht="15.75" customHeight="1" x14ac:dyDescent="0.2">
      <c r="A83" s="511"/>
      <c r="B83" s="524"/>
      <c r="C83" s="109" t="s">
        <v>301</v>
      </c>
      <c r="D83" s="106" t="s">
        <v>103</v>
      </c>
      <c r="E83" s="106" t="s">
        <v>104</v>
      </c>
      <c r="F83" s="134">
        <v>42</v>
      </c>
      <c r="G83" s="106" t="s">
        <v>104</v>
      </c>
      <c r="H83" s="106" t="s">
        <v>104</v>
      </c>
      <c r="I83" s="106" t="s">
        <v>104</v>
      </c>
      <c r="J83" s="106" t="s">
        <v>104</v>
      </c>
      <c r="K83" s="138"/>
    </row>
    <row r="84" spans="1:11" ht="28.9" customHeight="1" x14ac:dyDescent="0.2">
      <c r="A84" s="511"/>
      <c r="B84" s="524"/>
      <c r="C84" s="109" t="s">
        <v>435</v>
      </c>
      <c r="D84" s="106" t="s">
        <v>103</v>
      </c>
      <c r="E84" s="106" t="s">
        <v>104</v>
      </c>
      <c r="F84" s="134">
        <v>2</v>
      </c>
      <c r="G84" s="106" t="s">
        <v>104</v>
      </c>
      <c r="H84" s="106" t="s">
        <v>104</v>
      </c>
      <c r="I84" s="106" t="s">
        <v>104</v>
      </c>
      <c r="J84" s="106" t="s">
        <v>104</v>
      </c>
      <c r="K84" s="138"/>
    </row>
    <row r="85" spans="1:11" ht="30.75" customHeight="1" x14ac:dyDescent="0.2">
      <c r="A85" s="511"/>
      <c r="B85" s="524"/>
      <c r="C85" s="109" t="s">
        <v>302</v>
      </c>
      <c r="D85" s="106" t="s">
        <v>103</v>
      </c>
      <c r="E85" s="106" t="s">
        <v>104</v>
      </c>
      <c r="F85" s="134">
        <v>1</v>
      </c>
      <c r="G85" s="106" t="s">
        <v>104</v>
      </c>
      <c r="H85" s="106" t="s">
        <v>104</v>
      </c>
      <c r="I85" s="106" t="s">
        <v>104</v>
      </c>
      <c r="J85" s="106" t="s">
        <v>104</v>
      </c>
      <c r="K85" s="138"/>
    </row>
    <row r="86" spans="1:11" ht="54.75" customHeight="1" x14ac:dyDescent="0.2">
      <c r="A86" s="511"/>
      <c r="B86" s="524"/>
      <c r="C86" s="109" t="s">
        <v>441</v>
      </c>
      <c r="D86" s="106" t="s">
        <v>103</v>
      </c>
      <c r="E86" s="106" t="s">
        <v>104</v>
      </c>
      <c r="F86" s="134">
        <v>15</v>
      </c>
      <c r="G86" s="106">
        <v>14</v>
      </c>
      <c r="H86" s="106">
        <f>18-9</f>
        <v>9</v>
      </c>
      <c r="I86" s="106">
        <f>18-9</f>
        <v>9</v>
      </c>
      <c r="J86" s="106">
        <f>0+9</f>
        <v>9</v>
      </c>
      <c r="K86" s="138"/>
    </row>
    <row r="87" spans="1:11" ht="25.5" x14ac:dyDescent="0.2">
      <c r="A87" s="511"/>
      <c r="B87" s="524"/>
      <c r="C87" s="109" t="s">
        <v>332</v>
      </c>
      <c r="D87" s="106" t="s">
        <v>103</v>
      </c>
      <c r="E87" s="106" t="s">
        <v>104</v>
      </c>
      <c r="F87" s="134">
        <v>1</v>
      </c>
      <c r="G87" s="106" t="s">
        <v>104</v>
      </c>
      <c r="H87" s="106" t="s">
        <v>104</v>
      </c>
      <c r="I87" s="106" t="s">
        <v>104</v>
      </c>
      <c r="J87" s="106" t="s">
        <v>104</v>
      </c>
      <c r="K87" s="138"/>
    </row>
    <row r="88" spans="1:11" ht="30" customHeight="1" x14ac:dyDescent="0.2">
      <c r="A88" s="511"/>
      <c r="B88" s="524"/>
      <c r="C88" s="109" t="s">
        <v>388</v>
      </c>
      <c r="D88" s="106" t="s">
        <v>120</v>
      </c>
      <c r="E88" s="106" t="s">
        <v>104</v>
      </c>
      <c r="F88" s="126">
        <v>12.17</v>
      </c>
      <c r="G88" s="106">
        <v>24.06</v>
      </c>
      <c r="H88" s="106">
        <f>0+10.7+15.2+8.96</f>
        <v>34.86</v>
      </c>
      <c r="I88" s="106" t="s">
        <v>104</v>
      </c>
      <c r="J88" s="106" t="s">
        <v>104</v>
      </c>
      <c r="K88" s="138"/>
    </row>
    <row r="89" spans="1:11" ht="25.5" x14ac:dyDescent="0.2">
      <c r="A89" s="511"/>
      <c r="B89" s="524"/>
      <c r="C89" s="109" t="s">
        <v>402</v>
      </c>
      <c r="D89" s="106" t="s">
        <v>103</v>
      </c>
      <c r="E89" s="106" t="s">
        <v>104</v>
      </c>
      <c r="F89" s="106" t="s">
        <v>104</v>
      </c>
      <c r="G89" s="106" t="s">
        <v>104</v>
      </c>
      <c r="H89" s="106">
        <v>1</v>
      </c>
      <c r="I89" s="106" t="s">
        <v>104</v>
      </c>
      <c r="J89" s="106" t="s">
        <v>104</v>
      </c>
      <c r="K89" s="138"/>
    </row>
    <row r="90" spans="1:11" ht="42" customHeight="1" x14ac:dyDescent="0.2">
      <c r="A90" s="511"/>
      <c r="B90" s="524"/>
      <c r="C90" s="109" t="s">
        <v>119</v>
      </c>
      <c r="D90" s="106" t="s">
        <v>103</v>
      </c>
      <c r="E90" s="106" t="s">
        <v>104</v>
      </c>
      <c r="F90" s="106" t="s">
        <v>104</v>
      </c>
      <c r="G90" s="106">
        <v>11</v>
      </c>
      <c r="H90" s="106">
        <v>3</v>
      </c>
      <c r="I90" s="106" t="s">
        <v>104</v>
      </c>
      <c r="J90" s="106" t="s">
        <v>104</v>
      </c>
      <c r="K90" s="138"/>
    </row>
    <row r="91" spans="1:11" ht="42" customHeight="1" x14ac:dyDescent="0.2">
      <c r="A91" s="511"/>
      <c r="B91" s="524"/>
      <c r="C91" s="109" t="s">
        <v>416</v>
      </c>
      <c r="D91" s="106" t="s">
        <v>103</v>
      </c>
      <c r="E91" s="106" t="s">
        <v>104</v>
      </c>
      <c r="F91" s="106" t="s">
        <v>104</v>
      </c>
      <c r="G91" s="131" t="s">
        <v>104</v>
      </c>
      <c r="H91" s="106" t="s">
        <v>104</v>
      </c>
      <c r="I91" s="106" t="s">
        <v>104</v>
      </c>
      <c r="J91" s="106" t="s">
        <v>104</v>
      </c>
      <c r="K91" s="138"/>
    </row>
    <row r="92" spans="1:11" ht="43.5" customHeight="1" x14ac:dyDescent="0.2">
      <c r="A92" s="511"/>
      <c r="B92" s="524"/>
      <c r="C92" s="109" t="s">
        <v>574</v>
      </c>
      <c r="D92" s="106" t="s">
        <v>103</v>
      </c>
      <c r="E92" s="106" t="s">
        <v>104</v>
      </c>
      <c r="F92" s="106">
        <v>6</v>
      </c>
      <c r="G92" s="131">
        <f>55+25</f>
        <v>80</v>
      </c>
      <c r="H92" s="106">
        <f>70-63+20-20+3</f>
        <v>10</v>
      </c>
      <c r="I92" s="106">
        <f>0+14-8</f>
        <v>6</v>
      </c>
      <c r="J92" s="106">
        <v>6</v>
      </c>
      <c r="K92" s="138"/>
    </row>
    <row r="93" spans="1:11" ht="29.25" customHeight="1" x14ac:dyDescent="0.2">
      <c r="A93" s="511"/>
      <c r="B93" s="524"/>
      <c r="C93" s="109" t="s">
        <v>425</v>
      </c>
      <c r="D93" s="106" t="s">
        <v>103</v>
      </c>
      <c r="E93" s="106" t="s">
        <v>104</v>
      </c>
      <c r="F93" s="106" t="s">
        <v>104</v>
      </c>
      <c r="G93" s="131" t="s">
        <v>104</v>
      </c>
      <c r="H93" s="106" t="s">
        <v>104</v>
      </c>
      <c r="I93" s="106" t="s">
        <v>104</v>
      </c>
      <c r="J93" s="106" t="s">
        <v>104</v>
      </c>
      <c r="K93" s="138"/>
    </row>
    <row r="94" spans="1:11" ht="29.25" customHeight="1" x14ac:dyDescent="0.2">
      <c r="A94" s="511"/>
      <c r="B94" s="524"/>
      <c r="C94" s="109" t="s">
        <v>595</v>
      </c>
      <c r="D94" s="106" t="s">
        <v>103</v>
      </c>
      <c r="E94" s="106" t="s">
        <v>104</v>
      </c>
      <c r="F94" s="106" t="s">
        <v>104</v>
      </c>
      <c r="G94" s="131" t="s">
        <v>104</v>
      </c>
      <c r="H94" s="106">
        <v>29</v>
      </c>
      <c r="I94" s="106">
        <v>20</v>
      </c>
      <c r="J94" s="106" t="s">
        <v>104</v>
      </c>
      <c r="K94" s="138"/>
    </row>
    <row r="95" spans="1:11" ht="29.25" customHeight="1" x14ac:dyDescent="0.2">
      <c r="A95" s="512"/>
      <c r="B95" s="497"/>
      <c r="C95" s="109" t="s">
        <v>1162</v>
      </c>
      <c r="D95" s="106" t="s">
        <v>121</v>
      </c>
      <c r="E95" s="106" t="s">
        <v>104</v>
      </c>
      <c r="F95" s="106" t="s">
        <v>104</v>
      </c>
      <c r="G95" s="106" t="s">
        <v>104</v>
      </c>
      <c r="H95" s="106" t="s">
        <v>104</v>
      </c>
      <c r="I95" s="106">
        <v>32.85</v>
      </c>
      <c r="J95" s="106" t="s">
        <v>104</v>
      </c>
      <c r="K95" s="138"/>
    </row>
    <row r="96" spans="1:11" ht="70.5" customHeight="1" x14ac:dyDescent="0.2">
      <c r="A96" s="510" t="s">
        <v>463</v>
      </c>
      <c r="B96" s="507" t="s">
        <v>296</v>
      </c>
      <c r="C96" s="109" t="s">
        <v>575</v>
      </c>
      <c r="D96" s="106" t="s">
        <v>103</v>
      </c>
      <c r="E96" s="106" t="s">
        <v>104</v>
      </c>
      <c r="F96" s="106" t="s">
        <v>104</v>
      </c>
      <c r="G96" s="131" t="s">
        <v>104</v>
      </c>
      <c r="H96" s="106">
        <v>20</v>
      </c>
      <c r="I96" s="106" t="s">
        <v>104</v>
      </c>
      <c r="J96" s="106" t="s">
        <v>104</v>
      </c>
      <c r="K96" s="138"/>
    </row>
    <row r="97" spans="1:30" ht="70.5" customHeight="1" x14ac:dyDescent="0.2">
      <c r="A97" s="512"/>
      <c r="B97" s="509"/>
      <c r="C97" s="109" t="s">
        <v>168</v>
      </c>
      <c r="D97" s="106" t="s">
        <v>121</v>
      </c>
      <c r="E97" s="106">
        <v>178.35</v>
      </c>
      <c r="F97" s="106">
        <v>107.83</v>
      </c>
      <c r="G97" s="131">
        <f>87.87+1.35</f>
        <v>89.22</v>
      </c>
      <c r="H97" s="106">
        <f>5.8+18.4-5.8+1.38</f>
        <v>19.779999999999998</v>
      </c>
      <c r="I97" s="106">
        <f>22.67+26.626</f>
        <v>49.296000000000006</v>
      </c>
      <c r="J97" s="106" t="s">
        <v>104</v>
      </c>
      <c r="K97" s="138" t="s">
        <v>124</v>
      </c>
    </row>
    <row r="98" spans="1:30" ht="122.25" customHeight="1" x14ac:dyDescent="0.2">
      <c r="A98" s="83" t="s">
        <v>464</v>
      </c>
      <c r="B98" s="139" t="s">
        <v>167</v>
      </c>
      <c r="C98" s="109" t="s">
        <v>530</v>
      </c>
      <c r="D98" s="106" t="s">
        <v>121</v>
      </c>
      <c r="E98" s="106">
        <v>6.14</v>
      </c>
      <c r="F98" s="106">
        <v>13.8</v>
      </c>
      <c r="G98" s="140">
        <v>2.8</v>
      </c>
      <c r="H98" s="126">
        <f>10.78-0.8-0.2</f>
        <v>9.7799999999999994</v>
      </c>
      <c r="I98" s="126">
        <f>9.92-1.33</f>
        <v>8.59</v>
      </c>
      <c r="J98" s="106" t="s">
        <v>104</v>
      </c>
      <c r="K98" s="141" t="s">
        <v>190</v>
      </c>
    </row>
    <row r="99" spans="1:30" ht="71.25" customHeight="1" x14ac:dyDescent="0.2">
      <c r="A99" s="83" t="s">
        <v>465</v>
      </c>
      <c r="B99" s="139" t="s">
        <v>630</v>
      </c>
      <c r="C99" s="109" t="s">
        <v>322</v>
      </c>
      <c r="D99" s="106" t="s">
        <v>121</v>
      </c>
      <c r="E99" s="106" t="s">
        <v>104</v>
      </c>
      <c r="F99" s="142">
        <v>5998.03</v>
      </c>
      <c r="G99" s="142">
        <v>6096.57</v>
      </c>
      <c r="H99" s="126">
        <v>6296.92</v>
      </c>
      <c r="I99" s="126">
        <f>6296.92+18.894-17.78+10.01</f>
        <v>6308.0440000000008</v>
      </c>
      <c r="J99" s="126" t="s">
        <v>104</v>
      </c>
      <c r="K99" s="141"/>
    </row>
    <row r="100" spans="1:30" ht="31.15" customHeight="1" x14ac:dyDescent="0.2">
      <c r="A100" s="85" t="s">
        <v>480</v>
      </c>
      <c r="B100" s="504" t="s">
        <v>1159</v>
      </c>
      <c r="C100" s="494"/>
      <c r="D100" s="494"/>
      <c r="E100" s="494"/>
      <c r="F100" s="494"/>
      <c r="G100" s="494"/>
      <c r="H100" s="494"/>
      <c r="I100" s="494"/>
      <c r="J100" s="495"/>
      <c r="K100" s="516"/>
      <c r="L100" s="516"/>
      <c r="M100" s="516"/>
      <c r="N100" s="516"/>
      <c r="O100" s="516"/>
      <c r="P100" s="516"/>
      <c r="Q100" s="516"/>
      <c r="R100" s="516"/>
      <c r="S100" s="516"/>
      <c r="T100" s="516"/>
      <c r="U100" s="516"/>
      <c r="V100" s="516"/>
      <c r="W100" s="516"/>
      <c r="X100" s="516"/>
      <c r="Y100" s="516"/>
      <c r="Z100" s="516"/>
      <c r="AA100" s="516"/>
      <c r="AB100" s="516"/>
      <c r="AC100" s="516"/>
      <c r="AD100" s="516"/>
    </row>
    <row r="101" spans="1:30" ht="17.45" customHeight="1" x14ac:dyDescent="0.2">
      <c r="A101" s="513" t="s">
        <v>431</v>
      </c>
      <c r="B101" s="513"/>
      <c r="C101" s="513"/>
      <c r="D101" s="513"/>
      <c r="E101" s="513"/>
      <c r="F101" s="513"/>
      <c r="G101" s="513"/>
      <c r="H101" s="513"/>
      <c r="I101" s="513"/>
      <c r="J101" s="513"/>
      <c r="K101" s="518"/>
      <c r="L101" s="518"/>
      <c r="M101" s="518"/>
      <c r="N101" s="518"/>
      <c r="O101" s="518"/>
      <c r="P101" s="518"/>
      <c r="Q101" s="518"/>
      <c r="R101" s="518"/>
      <c r="S101" s="518"/>
      <c r="T101" s="518"/>
      <c r="U101" s="518"/>
      <c r="V101" s="518"/>
      <c r="W101" s="518"/>
      <c r="X101" s="518"/>
      <c r="Y101" s="518"/>
      <c r="Z101" s="518"/>
      <c r="AA101" s="518"/>
      <c r="AB101" s="518"/>
      <c r="AC101" s="518"/>
      <c r="AD101" s="518"/>
    </row>
    <row r="102" spans="1:30" ht="40.15" customHeight="1" x14ac:dyDescent="0.2">
      <c r="A102" s="514" t="s">
        <v>1157</v>
      </c>
      <c r="B102" s="514"/>
      <c r="C102" s="514"/>
      <c r="D102" s="514"/>
      <c r="E102" s="514"/>
      <c r="F102" s="514"/>
      <c r="G102" s="514"/>
      <c r="H102" s="514"/>
      <c r="I102" s="514"/>
      <c r="J102" s="514"/>
      <c r="K102" s="516"/>
      <c r="L102" s="516"/>
      <c r="M102" s="516"/>
      <c r="N102" s="516"/>
      <c r="O102" s="516"/>
      <c r="P102" s="516"/>
      <c r="Q102" s="516"/>
      <c r="R102" s="516"/>
      <c r="S102" s="516"/>
      <c r="T102" s="516"/>
      <c r="U102" s="516"/>
      <c r="V102" s="516"/>
      <c r="W102" s="516"/>
      <c r="X102" s="516"/>
      <c r="Y102" s="516"/>
      <c r="Z102" s="516"/>
      <c r="AA102" s="516"/>
      <c r="AB102" s="516"/>
      <c r="AC102" s="516"/>
      <c r="AD102" s="516"/>
    </row>
    <row r="103" spans="1:30" ht="36" customHeight="1" x14ac:dyDescent="0.2">
      <c r="A103" s="85" t="s">
        <v>43</v>
      </c>
      <c r="B103" s="504" t="s">
        <v>481</v>
      </c>
      <c r="C103" s="494"/>
      <c r="D103" s="494"/>
      <c r="E103" s="494"/>
      <c r="F103" s="494"/>
      <c r="G103" s="494"/>
      <c r="H103" s="494"/>
      <c r="I103" s="494"/>
      <c r="J103" s="495"/>
      <c r="K103" s="516"/>
      <c r="L103" s="516"/>
      <c r="M103" s="516"/>
      <c r="N103" s="516"/>
      <c r="O103" s="516"/>
      <c r="P103" s="516"/>
      <c r="Q103" s="516"/>
      <c r="R103" s="516"/>
      <c r="S103" s="516"/>
      <c r="T103" s="516"/>
      <c r="U103" s="516"/>
      <c r="V103" s="516"/>
      <c r="W103" s="516"/>
      <c r="X103" s="516"/>
      <c r="Y103" s="516"/>
      <c r="Z103" s="516"/>
      <c r="AA103" s="516"/>
      <c r="AB103" s="516"/>
      <c r="AC103" s="516"/>
      <c r="AD103" s="516"/>
    </row>
    <row r="104" spans="1:30" ht="90.75" customHeight="1" x14ac:dyDescent="0.2">
      <c r="A104" s="83" t="s">
        <v>452</v>
      </c>
      <c r="B104" s="139" t="s">
        <v>137</v>
      </c>
      <c r="C104" s="95" t="s">
        <v>125</v>
      </c>
      <c r="D104" s="106" t="s">
        <v>122</v>
      </c>
      <c r="E104" s="98">
        <v>6198.38</v>
      </c>
      <c r="F104" s="126">
        <v>6198.38</v>
      </c>
      <c r="G104" s="126">
        <v>6296.92</v>
      </c>
      <c r="H104" s="126">
        <f>6296.92+18.894</f>
        <v>6315.8140000000003</v>
      </c>
      <c r="I104" s="126">
        <f>6296.92+18.894-17.78+10.01</f>
        <v>6308.0440000000008</v>
      </c>
      <c r="J104" s="126">
        <v>6308.04</v>
      </c>
    </row>
    <row r="105" spans="1:30" ht="30.6" customHeight="1" x14ac:dyDescent="0.2">
      <c r="A105" s="83" t="s">
        <v>482</v>
      </c>
      <c r="B105" s="139" t="s">
        <v>126</v>
      </c>
      <c r="C105" s="95" t="s">
        <v>307</v>
      </c>
      <c r="D105" s="106" t="s">
        <v>122</v>
      </c>
      <c r="E105" s="98">
        <v>1.95</v>
      </c>
      <c r="F105" s="126">
        <v>1.95</v>
      </c>
      <c r="G105" s="126">
        <v>2.14</v>
      </c>
      <c r="H105" s="126">
        <v>2.14</v>
      </c>
      <c r="I105" s="126">
        <v>2.14</v>
      </c>
      <c r="J105" s="126">
        <f>1.95+0.19</f>
        <v>2.14</v>
      </c>
    </row>
    <row r="106" spans="1:30" x14ac:dyDescent="0.2">
      <c r="A106" s="80" t="s">
        <v>44</v>
      </c>
      <c r="B106" s="521" t="s">
        <v>495</v>
      </c>
      <c r="C106" s="522"/>
      <c r="D106" s="522"/>
      <c r="E106" s="522"/>
      <c r="F106" s="522"/>
      <c r="G106" s="522"/>
      <c r="H106" s="522"/>
      <c r="I106" s="522"/>
      <c r="J106" s="523"/>
    </row>
    <row r="107" spans="1:30" ht="31.15" customHeight="1" x14ac:dyDescent="0.2">
      <c r="A107" s="83" t="s">
        <v>453</v>
      </c>
      <c r="B107" s="139" t="s">
        <v>79</v>
      </c>
      <c r="C107" s="95" t="s">
        <v>127</v>
      </c>
      <c r="D107" s="106" t="s">
        <v>103</v>
      </c>
      <c r="E107" s="97">
        <v>29</v>
      </c>
      <c r="F107" s="106">
        <v>29</v>
      </c>
      <c r="G107" s="106">
        <v>29</v>
      </c>
      <c r="H107" s="106">
        <v>29</v>
      </c>
      <c r="I107" s="106">
        <v>29</v>
      </c>
      <c r="J107" s="106">
        <v>29</v>
      </c>
    </row>
    <row r="108" spans="1:30" ht="39" customHeight="1" x14ac:dyDescent="0.2">
      <c r="A108" s="510" t="s">
        <v>483</v>
      </c>
      <c r="B108" s="507" t="s">
        <v>541</v>
      </c>
      <c r="C108" s="109" t="s">
        <v>384</v>
      </c>
      <c r="D108" s="106" t="s">
        <v>103</v>
      </c>
      <c r="E108" s="106" t="s">
        <v>104</v>
      </c>
      <c r="F108" s="106">
        <v>1</v>
      </c>
      <c r="G108" s="106">
        <v>2</v>
      </c>
      <c r="H108" s="106" t="s">
        <v>104</v>
      </c>
      <c r="I108" s="106">
        <v>1</v>
      </c>
      <c r="J108" s="106" t="s">
        <v>104</v>
      </c>
    </row>
    <row r="109" spans="1:30" ht="39" customHeight="1" x14ac:dyDescent="0.2">
      <c r="A109" s="511"/>
      <c r="B109" s="508"/>
      <c r="C109" s="109" t="s">
        <v>385</v>
      </c>
      <c r="D109" s="106" t="s">
        <v>103</v>
      </c>
      <c r="E109" s="106" t="s">
        <v>104</v>
      </c>
      <c r="F109" s="106" t="s">
        <v>104</v>
      </c>
      <c r="G109" s="106">
        <v>1</v>
      </c>
      <c r="H109" s="106" t="s">
        <v>104</v>
      </c>
      <c r="I109" s="106" t="s">
        <v>104</v>
      </c>
      <c r="J109" s="106" t="s">
        <v>104</v>
      </c>
    </row>
    <row r="110" spans="1:30" ht="39" customHeight="1" x14ac:dyDescent="0.2">
      <c r="A110" s="512"/>
      <c r="B110" s="509"/>
      <c r="C110" s="109" t="s">
        <v>533</v>
      </c>
      <c r="D110" s="106" t="s">
        <v>103</v>
      </c>
      <c r="E110" s="106" t="s">
        <v>104</v>
      </c>
      <c r="F110" s="106" t="s">
        <v>104</v>
      </c>
      <c r="G110" s="106" t="s">
        <v>104</v>
      </c>
      <c r="H110" s="106">
        <v>1</v>
      </c>
      <c r="I110" s="106" t="s">
        <v>104</v>
      </c>
      <c r="J110" s="106">
        <v>1</v>
      </c>
    </row>
    <row r="111" spans="1:30" ht="99" customHeight="1" x14ac:dyDescent="0.2">
      <c r="A111" s="83" t="s">
        <v>484</v>
      </c>
      <c r="B111" s="139" t="s">
        <v>330</v>
      </c>
      <c r="C111" s="95" t="s">
        <v>234</v>
      </c>
      <c r="D111" s="106" t="s">
        <v>103</v>
      </c>
      <c r="E111" s="106" t="s">
        <v>104</v>
      </c>
      <c r="F111" s="106">
        <v>2</v>
      </c>
      <c r="G111" s="106" t="s">
        <v>104</v>
      </c>
      <c r="H111" s="106" t="s">
        <v>104</v>
      </c>
      <c r="I111" s="106" t="s">
        <v>104</v>
      </c>
      <c r="J111" s="106" t="s">
        <v>104</v>
      </c>
    </row>
    <row r="112" spans="1:30" ht="26.25" customHeight="1" x14ac:dyDescent="0.2">
      <c r="A112" s="83" t="s">
        <v>485</v>
      </c>
      <c r="B112" s="139" t="s">
        <v>347</v>
      </c>
      <c r="C112" s="82" t="s">
        <v>348</v>
      </c>
      <c r="D112" s="106" t="s">
        <v>103</v>
      </c>
      <c r="E112" s="106" t="s">
        <v>104</v>
      </c>
      <c r="F112" s="106">
        <v>1</v>
      </c>
      <c r="G112" s="106" t="s">
        <v>104</v>
      </c>
      <c r="H112" s="106" t="s">
        <v>104</v>
      </c>
      <c r="I112" s="106" t="s">
        <v>104</v>
      </c>
      <c r="J112" s="106" t="s">
        <v>104</v>
      </c>
    </row>
    <row r="113" spans="1:10" ht="234.75" customHeight="1" x14ac:dyDescent="0.2">
      <c r="A113" s="83" t="s">
        <v>577</v>
      </c>
      <c r="B113" s="143" t="s">
        <v>1163</v>
      </c>
      <c r="C113" s="95" t="s">
        <v>580</v>
      </c>
      <c r="D113" s="106" t="s">
        <v>103</v>
      </c>
      <c r="E113" s="106" t="s">
        <v>104</v>
      </c>
      <c r="F113" s="106" t="s">
        <v>104</v>
      </c>
      <c r="G113" s="106" t="s">
        <v>104</v>
      </c>
      <c r="H113" s="106">
        <v>1</v>
      </c>
      <c r="I113" s="106">
        <v>4</v>
      </c>
      <c r="J113" s="106" t="s">
        <v>104</v>
      </c>
    </row>
    <row r="114" spans="1:10" ht="31.15" customHeight="1" x14ac:dyDescent="0.2">
      <c r="A114" s="85" t="s">
        <v>496</v>
      </c>
      <c r="B114" s="504" t="s">
        <v>1156</v>
      </c>
      <c r="C114" s="494"/>
      <c r="D114" s="494"/>
      <c r="E114" s="494"/>
      <c r="F114" s="494"/>
      <c r="G114" s="494"/>
      <c r="H114" s="494"/>
      <c r="I114" s="494"/>
      <c r="J114" s="495"/>
    </row>
    <row r="115" spans="1:10" ht="19.899999999999999" customHeight="1" x14ac:dyDescent="0.2">
      <c r="A115" s="513" t="s">
        <v>136</v>
      </c>
      <c r="B115" s="513"/>
      <c r="C115" s="513"/>
      <c r="D115" s="513"/>
      <c r="E115" s="513"/>
      <c r="F115" s="513"/>
      <c r="G115" s="513"/>
      <c r="H115" s="513"/>
      <c r="I115" s="513"/>
      <c r="J115" s="513"/>
    </row>
    <row r="116" spans="1:10" ht="36" customHeight="1" x14ac:dyDescent="0.2">
      <c r="A116" s="514" t="s">
        <v>1155</v>
      </c>
      <c r="B116" s="514"/>
      <c r="C116" s="514"/>
      <c r="D116" s="514"/>
      <c r="E116" s="514"/>
      <c r="F116" s="514"/>
      <c r="G116" s="514"/>
      <c r="H116" s="514"/>
      <c r="I116" s="514"/>
      <c r="J116" s="514"/>
    </row>
    <row r="117" spans="1:10" ht="18" customHeight="1" x14ac:dyDescent="0.2">
      <c r="A117" s="85" t="s">
        <v>37</v>
      </c>
      <c r="B117" s="504" t="s">
        <v>487</v>
      </c>
      <c r="C117" s="494"/>
      <c r="D117" s="494"/>
      <c r="E117" s="494"/>
      <c r="F117" s="494"/>
      <c r="G117" s="494"/>
      <c r="H117" s="494"/>
      <c r="I117" s="494"/>
      <c r="J117" s="495"/>
    </row>
    <row r="118" spans="1:10" ht="28.15" customHeight="1" x14ac:dyDescent="0.2">
      <c r="A118" s="83" t="s">
        <v>454</v>
      </c>
      <c r="B118" s="139" t="s">
        <v>50</v>
      </c>
      <c r="C118" s="95" t="s">
        <v>118</v>
      </c>
      <c r="D118" s="93" t="s">
        <v>103</v>
      </c>
      <c r="E118" s="113">
        <v>100</v>
      </c>
      <c r="F118" s="113">
        <v>50</v>
      </c>
      <c r="G118" s="113">
        <v>50</v>
      </c>
      <c r="H118" s="113" t="s">
        <v>104</v>
      </c>
      <c r="I118" s="113">
        <v>639</v>
      </c>
      <c r="J118" s="113" t="s">
        <v>104</v>
      </c>
    </row>
    <row r="119" spans="1:10" ht="28.15" customHeight="1" x14ac:dyDescent="0.2">
      <c r="A119" s="83" t="s">
        <v>655</v>
      </c>
      <c r="B119" s="139" t="s">
        <v>656</v>
      </c>
      <c r="C119" s="95" t="s">
        <v>657</v>
      </c>
      <c r="D119" s="93" t="s">
        <v>103</v>
      </c>
      <c r="E119" s="113"/>
      <c r="F119" s="113"/>
      <c r="G119" s="113"/>
      <c r="H119" s="113"/>
      <c r="I119" s="113">
        <v>1</v>
      </c>
      <c r="J119" s="113" t="s">
        <v>104</v>
      </c>
    </row>
    <row r="120" spans="1:10" ht="18" customHeight="1" x14ac:dyDescent="0.2">
      <c r="A120" s="85" t="s">
        <v>3</v>
      </c>
      <c r="B120" s="504" t="s">
        <v>488</v>
      </c>
      <c r="C120" s="494"/>
      <c r="D120" s="494"/>
      <c r="E120" s="494"/>
      <c r="F120" s="494"/>
      <c r="G120" s="494"/>
      <c r="H120" s="494"/>
      <c r="I120" s="494"/>
      <c r="J120" s="495"/>
    </row>
    <row r="121" spans="1:10" ht="64.5" customHeight="1" x14ac:dyDescent="0.2">
      <c r="A121" s="83" t="s">
        <v>455</v>
      </c>
      <c r="B121" s="139" t="s">
        <v>344</v>
      </c>
      <c r="C121" s="139" t="s">
        <v>142</v>
      </c>
      <c r="D121" s="81" t="s">
        <v>143</v>
      </c>
      <c r="E121" s="144" t="s">
        <v>104</v>
      </c>
      <c r="F121" s="113">
        <v>828</v>
      </c>
      <c r="G121" s="113">
        <v>828</v>
      </c>
      <c r="H121" s="113">
        <f>828+49+145</f>
        <v>1022</v>
      </c>
      <c r="I121" s="113">
        <f>828+49+112</f>
        <v>989</v>
      </c>
      <c r="J121" s="113">
        <f>877-29</f>
        <v>848</v>
      </c>
    </row>
    <row r="122" spans="1:10" ht="137.25" customHeight="1" x14ac:dyDescent="0.2">
      <c r="A122" s="81" t="s">
        <v>489</v>
      </c>
      <c r="B122" s="139" t="s">
        <v>343</v>
      </c>
      <c r="C122" s="139" t="s">
        <v>401</v>
      </c>
      <c r="D122" s="81" t="s">
        <v>143</v>
      </c>
      <c r="E122" s="144" t="s">
        <v>104</v>
      </c>
      <c r="F122" s="113">
        <v>1116</v>
      </c>
      <c r="G122" s="113">
        <f>1674+789</f>
        <v>2463</v>
      </c>
      <c r="H122" s="145" t="s">
        <v>104</v>
      </c>
      <c r="I122" s="145" t="s">
        <v>104</v>
      </c>
      <c r="J122" s="145" t="s">
        <v>104</v>
      </c>
    </row>
    <row r="123" spans="1:10" ht="36.75" customHeight="1" x14ac:dyDescent="0.2">
      <c r="A123" s="81" t="s">
        <v>490</v>
      </c>
      <c r="B123" s="139" t="s">
        <v>320</v>
      </c>
      <c r="C123" s="95" t="s">
        <v>142</v>
      </c>
      <c r="D123" s="81" t="s">
        <v>143</v>
      </c>
      <c r="E123" s="144" t="s">
        <v>104</v>
      </c>
      <c r="F123" s="144" t="s">
        <v>104</v>
      </c>
      <c r="G123" s="113" t="s">
        <v>104</v>
      </c>
      <c r="H123" s="113" t="s">
        <v>104</v>
      </c>
      <c r="I123" s="113" t="s">
        <v>104</v>
      </c>
      <c r="J123" s="113" t="s">
        <v>104</v>
      </c>
    </row>
    <row r="124" spans="1:10" ht="33" customHeight="1" x14ac:dyDescent="0.2">
      <c r="A124" s="505" t="s">
        <v>491</v>
      </c>
      <c r="B124" s="506" t="s">
        <v>631</v>
      </c>
      <c r="C124" s="95" t="s">
        <v>141</v>
      </c>
      <c r="D124" s="81" t="s">
        <v>117</v>
      </c>
      <c r="E124" s="144" t="s">
        <v>140</v>
      </c>
      <c r="F124" s="145">
        <v>90</v>
      </c>
      <c r="G124" s="145">
        <v>90</v>
      </c>
      <c r="H124" s="145">
        <v>90</v>
      </c>
      <c r="I124" s="145" t="s">
        <v>624</v>
      </c>
      <c r="J124" s="145" t="s">
        <v>624</v>
      </c>
    </row>
    <row r="125" spans="1:10" ht="31.9" customHeight="1" x14ac:dyDescent="0.2">
      <c r="A125" s="505"/>
      <c r="B125" s="506"/>
      <c r="C125" s="95" t="s">
        <v>197</v>
      </c>
      <c r="D125" s="81" t="s">
        <v>113</v>
      </c>
      <c r="E125" s="113">
        <f>2</f>
        <v>2</v>
      </c>
      <c r="F125" s="113">
        <v>6</v>
      </c>
      <c r="G125" s="113">
        <v>10</v>
      </c>
      <c r="H125" s="113">
        <f>8+2+3</f>
        <v>13</v>
      </c>
      <c r="I125" s="113">
        <f>8+5</f>
        <v>13</v>
      </c>
      <c r="J125" s="113">
        <f>2+6+5</f>
        <v>13</v>
      </c>
    </row>
    <row r="126" spans="1:10" ht="33.6" customHeight="1" x14ac:dyDescent="0.2">
      <c r="A126" s="505"/>
      <c r="B126" s="506"/>
      <c r="C126" s="95" t="s">
        <v>198</v>
      </c>
      <c r="D126" s="81" t="s">
        <v>113</v>
      </c>
      <c r="E126" s="113">
        <v>50</v>
      </c>
      <c r="F126" s="113">
        <v>78</v>
      </c>
      <c r="G126" s="113">
        <v>78</v>
      </c>
      <c r="H126" s="113">
        <f>77+1+1</f>
        <v>79</v>
      </c>
      <c r="I126" s="113">
        <f>77+2</f>
        <v>79</v>
      </c>
      <c r="J126" s="113">
        <f>50+27+2</f>
        <v>79</v>
      </c>
    </row>
    <row r="127" spans="1:10" ht="17.25" customHeight="1" x14ac:dyDescent="0.2">
      <c r="A127" s="85" t="s">
        <v>38</v>
      </c>
      <c r="B127" s="494" t="s">
        <v>492</v>
      </c>
      <c r="C127" s="494"/>
      <c r="D127" s="494"/>
      <c r="E127" s="494"/>
      <c r="F127" s="494"/>
      <c r="G127" s="494"/>
      <c r="H127" s="494"/>
      <c r="I127" s="494"/>
      <c r="J127" s="495"/>
    </row>
    <row r="128" spans="1:10" ht="147" customHeight="1" x14ac:dyDescent="0.2">
      <c r="A128" s="81" t="s">
        <v>456</v>
      </c>
      <c r="B128" s="82" t="s">
        <v>632</v>
      </c>
      <c r="C128" s="82" t="s">
        <v>369</v>
      </c>
      <c r="D128" s="81" t="s">
        <v>117</v>
      </c>
      <c r="E128" s="113" t="s">
        <v>104</v>
      </c>
      <c r="F128" s="113">
        <v>23</v>
      </c>
      <c r="G128" s="113">
        <v>43</v>
      </c>
      <c r="H128" s="113">
        <v>63</v>
      </c>
      <c r="I128" s="113">
        <v>83</v>
      </c>
      <c r="J128" s="113">
        <v>100</v>
      </c>
    </row>
    <row r="129" spans="1:10" ht="59.25" customHeight="1" x14ac:dyDescent="0.2">
      <c r="A129" s="81" t="s">
        <v>523</v>
      </c>
      <c r="B129" s="146" t="s">
        <v>524</v>
      </c>
      <c r="C129" s="82" t="s">
        <v>369</v>
      </c>
      <c r="D129" s="81" t="s">
        <v>117</v>
      </c>
      <c r="E129" s="113" t="s">
        <v>104</v>
      </c>
      <c r="F129" s="113" t="s">
        <v>104</v>
      </c>
      <c r="G129" s="113">
        <v>37.4</v>
      </c>
      <c r="H129" s="113">
        <v>44.8</v>
      </c>
      <c r="I129" s="113">
        <v>57.5</v>
      </c>
      <c r="J129" s="113">
        <v>70.3</v>
      </c>
    </row>
    <row r="130" spans="1:10" ht="83.25" customHeight="1" x14ac:dyDescent="0.2">
      <c r="A130" s="81" t="s">
        <v>587</v>
      </c>
      <c r="B130" s="146" t="s">
        <v>622</v>
      </c>
      <c r="C130" s="82" t="s">
        <v>593</v>
      </c>
      <c r="D130" s="81" t="s">
        <v>113</v>
      </c>
      <c r="E130" s="113" t="s">
        <v>104</v>
      </c>
      <c r="F130" s="113" t="s">
        <v>104</v>
      </c>
      <c r="G130" s="113" t="s">
        <v>104</v>
      </c>
      <c r="H130" s="113" t="s">
        <v>104</v>
      </c>
      <c r="I130" s="113">
        <v>14</v>
      </c>
      <c r="J130" s="113" t="s">
        <v>104</v>
      </c>
    </row>
    <row r="131" spans="1:10" ht="18" customHeight="1" x14ac:dyDescent="0.2">
      <c r="A131" s="85" t="s">
        <v>570</v>
      </c>
      <c r="B131" s="504" t="s">
        <v>576</v>
      </c>
      <c r="C131" s="494"/>
      <c r="D131" s="494"/>
      <c r="E131" s="494"/>
      <c r="F131" s="494"/>
      <c r="G131" s="494"/>
      <c r="H131" s="494"/>
      <c r="I131" s="494"/>
      <c r="J131" s="495"/>
    </row>
    <row r="132" spans="1:10" ht="35.25" customHeight="1" x14ac:dyDescent="0.2">
      <c r="A132" s="496" t="s">
        <v>571</v>
      </c>
      <c r="B132" s="498" t="s">
        <v>572</v>
      </c>
      <c r="C132" s="95" t="s">
        <v>546</v>
      </c>
      <c r="D132" s="81" t="s">
        <v>545</v>
      </c>
      <c r="E132" s="113" t="s">
        <v>104</v>
      </c>
      <c r="F132" s="113" t="s">
        <v>104</v>
      </c>
      <c r="G132" s="113" t="s">
        <v>104</v>
      </c>
      <c r="H132" s="113" t="s">
        <v>651</v>
      </c>
      <c r="I132" s="113" t="s">
        <v>651</v>
      </c>
      <c r="J132" s="113" t="s">
        <v>651</v>
      </c>
    </row>
    <row r="133" spans="1:10" ht="96.75" customHeight="1" x14ac:dyDescent="0.2">
      <c r="A133" s="497"/>
      <c r="B133" s="499"/>
      <c r="C133" s="82" t="s">
        <v>532</v>
      </c>
      <c r="D133" s="81" t="s">
        <v>531</v>
      </c>
      <c r="E133" s="113" t="s">
        <v>104</v>
      </c>
      <c r="F133" s="113" t="s">
        <v>104</v>
      </c>
      <c r="G133" s="113" t="s">
        <v>104</v>
      </c>
      <c r="H133" s="112">
        <v>175181.82</v>
      </c>
      <c r="I133" s="112">
        <f>175181.82-63149.65</f>
        <v>112032.17000000001</v>
      </c>
      <c r="J133" s="112">
        <f>175181.82-63149.65</f>
        <v>112032.17000000001</v>
      </c>
    </row>
    <row r="134" spans="1:10" x14ac:dyDescent="0.2">
      <c r="C134" s="3"/>
      <c r="D134" s="3"/>
      <c r="E134" s="3"/>
    </row>
  </sheetData>
  <mergeCells count="81">
    <mergeCell ref="A19:A20"/>
    <mergeCell ref="B19:B20"/>
    <mergeCell ref="B51:J51"/>
    <mergeCell ref="A28:A30"/>
    <mergeCell ref="B28:B30"/>
    <mergeCell ref="A31:A32"/>
    <mergeCell ref="B31:B32"/>
    <mergeCell ref="A43:A45"/>
    <mergeCell ref="B43:B45"/>
    <mergeCell ref="B46:J46"/>
    <mergeCell ref="B48:J48"/>
    <mergeCell ref="A40:A41"/>
    <mergeCell ref="B40:B41"/>
    <mergeCell ref="A10:J10"/>
    <mergeCell ref="A12:J12"/>
    <mergeCell ref="A13:J13"/>
    <mergeCell ref="A17:A18"/>
    <mergeCell ref="B17:B18"/>
    <mergeCell ref="B11:J11"/>
    <mergeCell ref="B14:J14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B69:B73"/>
    <mergeCell ref="A96:A97"/>
    <mergeCell ref="B96:B97"/>
    <mergeCell ref="A74:A81"/>
    <mergeCell ref="B74:B81"/>
    <mergeCell ref="A82:A95"/>
    <mergeCell ref="B82:B95"/>
    <mergeCell ref="K103:T103"/>
    <mergeCell ref="B120:J120"/>
    <mergeCell ref="U103:AD103"/>
    <mergeCell ref="A116:J116"/>
    <mergeCell ref="A115:J115"/>
    <mergeCell ref="B103:J103"/>
    <mergeCell ref="B106:J106"/>
    <mergeCell ref="B114:J114"/>
    <mergeCell ref="U102:AD102"/>
    <mergeCell ref="A52:A54"/>
    <mergeCell ref="U100:AD100"/>
    <mergeCell ref="K101:T101"/>
    <mergeCell ref="U101:AD101"/>
    <mergeCell ref="K100:T100"/>
    <mergeCell ref="A102:J102"/>
    <mergeCell ref="K102:T102"/>
    <mergeCell ref="A101:J101"/>
    <mergeCell ref="B55:B57"/>
    <mergeCell ref="A55:A57"/>
    <mergeCell ref="A58:A65"/>
    <mergeCell ref="B58:B65"/>
    <mergeCell ref="A67:A68"/>
    <mergeCell ref="A69:A73"/>
    <mergeCell ref="B67:B68"/>
    <mergeCell ref="B127:J127"/>
    <mergeCell ref="A132:A133"/>
    <mergeCell ref="B132:B133"/>
    <mergeCell ref="B24:B25"/>
    <mergeCell ref="A24:A25"/>
    <mergeCell ref="B131:J131"/>
    <mergeCell ref="B117:J117"/>
    <mergeCell ref="B100:J100"/>
    <mergeCell ref="A124:A126"/>
    <mergeCell ref="B124:B126"/>
    <mergeCell ref="B108:B110"/>
    <mergeCell ref="A108:A110"/>
    <mergeCell ref="B27:J27"/>
    <mergeCell ref="A49:J49"/>
    <mergeCell ref="A50:J50"/>
    <mergeCell ref="B52:B54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80" firstPageNumber="44" fitToHeight="0" orientation="landscape" useFirstPageNumber="1" r:id="rId1"/>
  <headerFooter>
    <oddHeader>&amp;C&amp;P</oddHeader>
  </headerFooter>
  <rowBreaks count="9" manualBreakCount="9">
    <brk id="22" max="9" man="1"/>
    <brk id="41" max="9" man="1"/>
    <brk id="57" max="9" man="1"/>
    <brk id="69" max="9" man="1"/>
    <brk id="85" max="9" man="1"/>
    <brk id="97" max="9" man="1"/>
    <brk id="109" max="9" man="1"/>
    <brk id="119" max="9" man="1"/>
    <brk id="128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Уткина Наталья Юрьевна</cp:lastModifiedBy>
  <cp:lastPrinted>2024-07-11T10:17:24Z</cp:lastPrinted>
  <dcterms:created xsi:type="dcterms:W3CDTF">2014-07-04T09:02:24Z</dcterms:created>
  <dcterms:modified xsi:type="dcterms:W3CDTF">2024-07-11T10:19:13Z</dcterms:modified>
</cp:coreProperties>
</file>