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ен № 14 от 13.01.2025 (РД 363 от 27.11.24, РД 394 от 25.12.24) Пост № от (ГВ)\Проект постановления\РД 363 + РД 394\"/>
    </mc:Choice>
  </mc:AlternateContent>
  <bookViews>
    <workbookView xWindow="0" yWindow="0" windowWidth="24000" windowHeight="9075" tabRatio="599" firstSheet="1" activeTab="1"/>
  </bookViews>
  <sheets>
    <sheet name="конеч.рез." sheetId="9" state="hidden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'1.переченьПБДД'!$A$1:$AB$597</definedName>
    <definedName name="_xlnm.Print_Area" localSheetId="2">'2.переченьМРАД'!$A$1:$AC$284</definedName>
    <definedName name="_xlnm.Print_Area" localSheetId="3">'3.меропр.'!$A$1:$AD$105</definedName>
    <definedName name="_xlnm.Print_Area" localSheetId="4">'4.индик.'!$A$1:$J$152</definedName>
    <definedName name="_xlnm.Print_Area" localSheetId="0">конеч.рез.!$A$1:$I$28</definedName>
  </definedNames>
  <calcPr calcId="162913"/>
</workbook>
</file>

<file path=xl/calcChain.xml><?xml version="1.0" encoding="utf-8"?>
<calcChain xmlns="http://schemas.openxmlformats.org/spreadsheetml/2006/main">
  <c r="I139" i="8" l="1"/>
  <c r="H9" i="9" l="1"/>
  <c r="I100" i="8" l="1"/>
  <c r="V93" i="4" l="1"/>
  <c r="S581" i="5" l="1"/>
  <c r="U38" i="4"/>
  <c r="S556" i="5"/>
  <c r="S542" i="5"/>
  <c r="S536" i="5"/>
  <c r="S514" i="5"/>
  <c r="S513" i="5"/>
  <c r="S512" i="5"/>
  <c r="S491" i="5"/>
  <c r="S483" i="5"/>
  <c r="S205" i="5"/>
  <c r="S196" i="5"/>
  <c r="R196" i="5"/>
  <c r="S173" i="5"/>
  <c r="S130" i="5"/>
  <c r="S114" i="5"/>
  <c r="S41" i="5"/>
  <c r="H10" i="9" l="1"/>
  <c r="I41" i="8" l="1"/>
  <c r="I38" i="8"/>
  <c r="I32" i="8"/>
  <c r="I64" i="8" l="1"/>
  <c r="U25" i="4" l="1"/>
  <c r="U34" i="4"/>
  <c r="U60" i="4" l="1"/>
  <c r="T60" i="4"/>
  <c r="U74" i="4"/>
  <c r="U77" i="4"/>
  <c r="U88" i="4"/>
  <c r="I80" i="8" l="1"/>
  <c r="X46" i="1"/>
  <c r="X12" i="1"/>
  <c r="X70" i="1"/>
  <c r="X96" i="1"/>
  <c r="X276" i="1" s="1"/>
  <c r="U276" i="1" s="1"/>
  <c r="W12" i="1"/>
  <c r="X13" i="1"/>
  <c r="U31" i="4" l="1"/>
  <c r="U27" i="4" l="1"/>
  <c r="U36" i="4" l="1"/>
  <c r="U35" i="4"/>
  <c r="U32" i="4"/>
  <c r="U17" i="4" l="1"/>
  <c r="U33" i="4"/>
  <c r="U16" i="4"/>
  <c r="U15" i="4"/>
  <c r="U19" i="4"/>
  <c r="U26" i="4"/>
  <c r="U23" i="4"/>
  <c r="AD189" i="1" l="1"/>
  <c r="X108" i="1"/>
  <c r="X247" i="1"/>
  <c r="X49" i="1"/>
  <c r="X179" i="1"/>
  <c r="X246" i="1"/>
  <c r="X71" i="1"/>
  <c r="U79" i="4"/>
  <c r="U81" i="4"/>
  <c r="U93" i="4" l="1"/>
  <c r="X102" i="1" l="1"/>
  <c r="I35" i="8" l="1"/>
  <c r="I31" i="8" l="1"/>
  <c r="I71" i="8" l="1"/>
  <c r="X45" i="1"/>
  <c r="X68" i="1"/>
  <c r="I21" i="8" l="1"/>
  <c r="Z38" i="4" l="1"/>
  <c r="X581" i="5" l="1"/>
  <c r="I111" i="8" l="1"/>
  <c r="I118" i="8" l="1"/>
  <c r="U103" i="4" l="1"/>
  <c r="X104" i="1"/>
  <c r="W273" i="1"/>
  <c r="X273" i="1"/>
  <c r="U68" i="4"/>
  <c r="X69" i="1"/>
  <c r="Y60" i="4"/>
  <c r="AD60" i="4" s="1"/>
  <c r="U96" i="1"/>
  <c r="U102" i="1" s="1"/>
  <c r="Z17" i="4" l="1"/>
  <c r="Z16" i="4"/>
  <c r="U14" i="4"/>
  <c r="I106" i="8" l="1"/>
  <c r="J73" i="8"/>
  <c r="J19" i="8"/>
  <c r="J21" i="8"/>
  <c r="X114" i="5" l="1"/>
  <c r="X130" i="5"/>
  <c r="S29" i="5"/>
  <c r="AC47" i="1" l="1"/>
  <c r="AC54" i="1"/>
  <c r="U70" i="1"/>
  <c r="X89" i="1"/>
  <c r="Y22" i="4" l="1"/>
  <c r="T22" i="4"/>
  <c r="AD22" i="4" l="1"/>
  <c r="W196" i="5"/>
  <c r="AB196" i="5" l="1"/>
  <c r="U194" i="1"/>
  <c r="P192" i="1" l="1"/>
  <c r="P191" i="1"/>
  <c r="P190" i="1"/>
  <c r="P189" i="1"/>
  <c r="E189" i="1"/>
  <c r="F189" i="1"/>
  <c r="K189" i="1"/>
  <c r="E190" i="1"/>
  <c r="F190" i="1"/>
  <c r="K190" i="1"/>
  <c r="E191" i="1"/>
  <c r="F191" i="1"/>
  <c r="K191" i="1"/>
  <c r="E192" i="1"/>
  <c r="F192" i="1"/>
  <c r="K192" i="1"/>
  <c r="X42" i="1" l="1"/>
  <c r="C192" i="1" l="1"/>
  <c r="U192" i="1"/>
  <c r="C190" i="1"/>
  <c r="C191" i="1"/>
  <c r="U189" i="1"/>
  <c r="D189" i="1" s="1"/>
  <c r="U190" i="1"/>
  <c r="D190" i="1" s="1"/>
  <c r="U191" i="1"/>
  <c r="D191" i="1" s="1"/>
  <c r="C189" i="1"/>
  <c r="D192" i="1" l="1"/>
  <c r="U49" i="1"/>
  <c r="X513" i="5" l="1"/>
  <c r="W42" i="1" l="1"/>
  <c r="U13" i="4" l="1"/>
  <c r="T244" i="1" l="1"/>
  <c r="C268" i="1"/>
  <c r="F268" i="1"/>
  <c r="C263" i="1"/>
  <c r="K263" i="1"/>
  <c r="F263" i="1"/>
  <c r="C252" i="1"/>
  <c r="C251" i="1"/>
  <c r="F252" i="1"/>
  <c r="F251" i="1"/>
  <c r="K251" i="1"/>
  <c r="P24" i="1"/>
  <c r="Z36" i="1"/>
  <c r="Z37" i="1"/>
  <c r="Z35" i="1"/>
  <c r="U35" i="1"/>
  <c r="U36" i="1"/>
  <c r="U37" i="1"/>
  <c r="P35" i="1"/>
  <c r="P36" i="1"/>
  <c r="P37" i="1"/>
  <c r="K36" i="1"/>
  <c r="K37" i="1"/>
  <c r="K35" i="1"/>
  <c r="F35" i="1"/>
  <c r="F36" i="1"/>
  <c r="F37" i="1"/>
  <c r="C35" i="1"/>
  <c r="C36" i="1"/>
  <c r="U15" i="1"/>
  <c r="U16" i="1"/>
  <c r="U17" i="1"/>
  <c r="U18" i="1"/>
  <c r="U19" i="1"/>
  <c r="U20" i="1"/>
  <c r="Z15" i="1"/>
  <c r="Z16" i="1"/>
  <c r="Z17" i="1"/>
  <c r="Z18" i="1"/>
  <c r="Z19" i="1"/>
  <c r="Z20" i="1"/>
  <c r="P15" i="1"/>
  <c r="P16" i="1"/>
  <c r="P17" i="1"/>
  <c r="P18" i="1"/>
  <c r="P19" i="1"/>
  <c r="P20" i="1"/>
  <c r="P14" i="1"/>
  <c r="K15" i="1"/>
  <c r="K16" i="1"/>
  <c r="K17" i="1"/>
  <c r="K18" i="1"/>
  <c r="K19" i="1"/>
  <c r="K20" i="1"/>
  <c r="C18" i="1"/>
  <c r="C22" i="1"/>
  <c r="F22" i="1"/>
  <c r="M22" i="1"/>
  <c r="N22" i="1"/>
  <c r="R22" i="1"/>
  <c r="S22" i="1"/>
  <c r="U22" i="1"/>
  <c r="D35" i="1" l="1"/>
  <c r="D36" i="1"/>
  <c r="P22" i="1"/>
  <c r="D17" i="1"/>
  <c r="D15" i="1"/>
  <c r="D19" i="1"/>
  <c r="K22" i="1"/>
  <c r="D22" i="1" s="1"/>
  <c r="D21" i="1" s="1"/>
  <c r="D20" i="1"/>
  <c r="D18" i="1"/>
  <c r="D16" i="1"/>
  <c r="I33" i="8"/>
  <c r="S10" i="5" l="1"/>
  <c r="I16" i="8"/>
  <c r="X51" i="1"/>
  <c r="U246" i="1"/>
  <c r="Z93" i="4"/>
  <c r="T81" i="4"/>
  <c r="U74" i="1" l="1"/>
  <c r="AC67" i="1"/>
  <c r="AC75" i="1" s="1"/>
  <c r="Z74" i="1"/>
  <c r="D74" i="1" l="1"/>
  <c r="I47" i="8"/>
  <c r="I42" i="8"/>
  <c r="I30" i="8" l="1"/>
  <c r="I17" i="8" l="1"/>
  <c r="I19" i="8"/>
  <c r="J17" i="8"/>
  <c r="I15" i="8"/>
  <c r="W244" i="1" l="1"/>
  <c r="U193" i="1"/>
  <c r="U108" i="1"/>
  <c r="AD223" i="1"/>
  <c r="U46" i="1" l="1"/>
  <c r="U45" i="1"/>
  <c r="Z74" i="4"/>
  <c r="Y88" i="4"/>
  <c r="T88" i="4"/>
  <c r="AD88" i="4" l="1"/>
  <c r="O253" i="1"/>
  <c r="I113" i="8" l="1"/>
  <c r="S511" i="5" l="1"/>
  <c r="X511" i="5"/>
  <c r="X205" i="5"/>
  <c r="J32" i="8" l="1"/>
  <c r="Z30" i="4"/>
  <c r="Z25" i="4"/>
  <c r="U30" i="4"/>
  <c r="AG49" i="4" l="1"/>
  <c r="AH49" i="4"/>
  <c r="AF49" i="4"/>
  <c r="U93" i="1" l="1"/>
  <c r="C68" i="1"/>
  <c r="I22" i="8"/>
  <c r="U42" i="1" l="1"/>
  <c r="Y78" i="4" l="1"/>
  <c r="Z26" i="4" l="1"/>
  <c r="Z13" i="4"/>
  <c r="G17" i="9" l="1"/>
  <c r="G15" i="9"/>
  <c r="P93" i="4" l="1"/>
  <c r="P33" i="4"/>
  <c r="P17" i="4"/>
  <c r="P15" i="4"/>
  <c r="S57" i="1"/>
  <c r="R42" i="1"/>
  <c r="N514" i="5"/>
  <c r="N130" i="5"/>
  <c r="N41" i="5"/>
  <c r="X10" i="5" l="1"/>
  <c r="X41" i="5"/>
  <c r="Z15" i="4" l="1"/>
  <c r="U87" i="4"/>
  <c r="P241" i="1" l="1"/>
  <c r="P240" i="1"/>
  <c r="K241" i="1"/>
  <c r="K240" i="1"/>
  <c r="F241" i="1"/>
  <c r="F240" i="1"/>
  <c r="J147" i="8" l="1"/>
  <c r="J140" i="8"/>
  <c r="J139" i="8"/>
  <c r="J135" i="8"/>
  <c r="I147" i="8"/>
  <c r="I140" i="8"/>
  <c r="I135" i="8"/>
  <c r="H13" i="9"/>
  <c r="C72" i="1" l="1"/>
  <c r="C71" i="1"/>
  <c r="C69" i="1"/>
  <c r="C66" i="1"/>
  <c r="C67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48" i="1"/>
  <c r="C49" i="1"/>
  <c r="C50" i="1"/>
  <c r="AC239" i="1" l="1"/>
  <c r="AB239" i="1"/>
  <c r="AB238" i="1"/>
  <c r="AC238" i="1"/>
  <c r="AB237" i="1"/>
  <c r="AC237" i="1"/>
  <c r="AC236" i="1"/>
  <c r="AB236" i="1"/>
  <c r="AB235" i="1"/>
  <c r="AC235" i="1"/>
  <c r="X265" i="1" l="1"/>
  <c r="X255" i="1"/>
  <c r="Z32" i="4" l="1"/>
  <c r="Z19" i="4"/>
  <c r="W556" i="5" l="1"/>
  <c r="X483" i="5"/>
  <c r="X173" i="5"/>
  <c r="W130" i="5"/>
  <c r="X591" i="5" l="1"/>
  <c r="X593" i="5" l="1"/>
  <c r="Z242" i="1"/>
  <c r="D242" i="1" s="1"/>
  <c r="AC184" i="1"/>
  <c r="AC97" i="1"/>
  <c r="Z72" i="1"/>
  <c r="Y246" i="1"/>
  <c r="AC246" i="1"/>
  <c r="AC108" i="1"/>
  <c r="X110" i="1"/>
  <c r="Z47" i="1"/>
  <c r="Z48" i="1"/>
  <c r="U47" i="1"/>
  <c r="U48" i="1"/>
  <c r="Z100" i="4" l="1"/>
  <c r="Z90" i="4"/>
  <c r="Z77" i="4"/>
  <c r="Z75" i="4"/>
  <c r="U28" i="4"/>
  <c r="X97" i="1" l="1"/>
  <c r="X180" i="1"/>
  <c r="X244" i="1" s="1"/>
  <c r="C240" i="1"/>
  <c r="C241" i="1"/>
  <c r="U243" i="1"/>
  <c r="Z240" i="1" l="1"/>
  <c r="Z241" i="1"/>
  <c r="U241" i="1"/>
  <c r="U240" i="1"/>
  <c r="D240" i="1" l="1"/>
  <c r="D241" i="1"/>
  <c r="U72" i="1"/>
  <c r="D72" i="1" s="1"/>
  <c r="U181" i="1"/>
  <c r="X75" i="1" l="1"/>
  <c r="Z71" i="1"/>
  <c r="U71" i="1"/>
  <c r="U73" i="1"/>
  <c r="S500" i="5"/>
  <c r="S591" i="5" s="1"/>
  <c r="D71" i="1" l="1"/>
  <c r="W195" i="5"/>
  <c r="R195" i="5"/>
  <c r="Y23" i="4"/>
  <c r="T23" i="4"/>
  <c r="AD23" i="4" l="1"/>
  <c r="AB195" i="5"/>
  <c r="R556" i="5" l="1"/>
  <c r="R542" i="5"/>
  <c r="R536" i="5"/>
  <c r="R514" i="5"/>
  <c r="U75" i="4"/>
  <c r="U82" i="4" s="1"/>
  <c r="U95" i="4" l="1"/>
  <c r="U90" i="4"/>
  <c r="U101" i="4" s="1"/>
  <c r="U100" i="4"/>
  <c r="X87" i="4"/>
  <c r="AC87" i="4"/>
  <c r="P194" i="1" l="1"/>
  <c r="S243" i="1"/>
  <c r="R243" i="1"/>
  <c r="H112" i="8" l="1"/>
  <c r="H111" i="8"/>
  <c r="S108" i="1" l="1"/>
  <c r="S247" i="1"/>
  <c r="H82" i="8" l="1"/>
  <c r="H102" i="8"/>
  <c r="H36" i="8" l="1"/>
  <c r="H19" i="8"/>
  <c r="G22" i="9" l="1"/>
  <c r="G13" i="9"/>
  <c r="G10" i="9"/>
  <c r="G9" i="9"/>
  <c r="I18" i="9" l="1"/>
  <c r="H18" i="9"/>
  <c r="G18" i="9"/>
  <c r="I17" i="9"/>
  <c r="H17" i="9"/>
  <c r="I16" i="9"/>
  <c r="H16" i="9"/>
  <c r="G16" i="9"/>
  <c r="I15" i="9"/>
  <c r="H15" i="9"/>
  <c r="H140" i="8" l="1"/>
  <c r="H139" i="8" l="1"/>
  <c r="H17" i="8" l="1"/>
  <c r="H38" i="8" l="1"/>
  <c r="H41" i="8"/>
  <c r="S87" i="4" l="1"/>
  <c r="R219" i="1" l="1"/>
  <c r="S219" i="1"/>
  <c r="H592" i="5" l="1"/>
  <c r="C592" i="5"/>
  <c r="N592" i="5"/>
  <c r="Y49" i="4"/>
  <c r="T49" i="4"/>
  <c r="J49" i="4"/>
  <c r="E49" i="4"/>
  <c r="L48" i="4"/>
  <c r="M48" i="4"/>
  <c r="N48" i="4"/>
  <c r="G48" i="4"/>
  <c r="H48" i="4"/>
  <c r="I48" i="4"/>
  <c r="P38" i="4"/>
  <c r="H48" i="8"/>
  <c r="P36" i="4"/>
  <c r="P32" i="4"/>
  <c r="P29" i="4"/>
  <c r="P28" i="4"/>
  <c r="P27" i="4"/>
  <c r="P26" i="4"/>
  <c r="P25" i="4"/>
  <c r="P18" i="4"/>
  <c r="P49" i="4" s="1"/>
  <c r="P14" i="4"/>
  <c r="P13" i="4"/>
  <c r="O18" i="4" l="1"/>
  <c r="AD18" i="4" s="1"/>
  <c r="O49" i="4"/>
  <c r="P103" i="4" s="1"/>
  <c r="AE49" i="4"/>
  <c r="H16" i="8"/>
  <c r="H15" i="8"/>
  <c r="AD49" i="4" l="1"/>
  <c r="E98" i="4"/>
  <c r="J98" i="4"/>
  <c r="T98" i="4"/>
  <c r="Y98" i="4"/>
  <c r="O98" i="4"/>
  <c r="AD98" i="4" l="1"/>
  <c r="P77" i="4" l="1"/>
  <c r="N556" i="5" l="1"/>
  <c r="N29" i="5"/>
  <c r="N581" i="5"/>
  <c r="N513" i="5"/>
  <c r="N503" i="5"/>
  <c r="N500" i="5"/>
  <c r="N205" i="5"/>
  <c r="N483" i="5"/>
  <c r="N192" i="5" l="1"/>
  <c r="M172" i="5" l="1"/>
  <c r="M592" i="5" s="1"/>
  <c r="AB592" i="5" s="1"/>
  <c r="N173" i="5" l="1"/>
  <c r="N10" i="5"/>
  <c r="N491" i="5"/>
  <c r="S110" i="1" l="1"/>
  <c r="S180" i="1"/>
  <c r="S95" i="1" l="1"/>
  <c r="S246" i="1" l="1"/>
  <c r="S188" i="1" l="1"/>
  <c r="R187" i="1"/>
  <c r="S182" i="1"/>
  <c r="S40" i="1" l="1"/>
  <c r="S256" i="1" l="1"/>
  <c r="S267" i="1"/>
  <c r="S260" i="1"/>
  <c r="S257" i="1"/>
  <c r="Q253" i="1"/>
  <c r="R253" i="1"/>
  <c r="S253" i="1" l="1"/>
  <c r="S229" i="1"/>
  <c r="S220" i="1"/>
  <c r="R229" i="1" l="1"/>
  <c r="R223" i="1"/>
  <c r="S223" i="1"/>
  <c r="R221" i="1"/>
  <c r="S221" i="1"/>
  <c r="R220" i="1"/>
  <c r="R209" i="1"/>
  <c r="S209" i="1"/>
  <c r="R208" i="1"/>
  <c r="S208" i="1"/>
  <c r="R188" i="1"/>
  <c r="S187" i="1"/>
  <c r="R186" i="1"/>
  <c r="S186" i="1"/>
  <c r="C209" i="1"/>
  <c r="S184" i="1"/>
  <c r="S178" i="1"/>
  <c r="R94" i="1" l="1"/>
  <c r="S94" i="1"/>
  <c r="S70" i="1"/>
  <c r="S42" i="1" l="1"/>
  <c r="P81" i="4" l="1"/>
  <c r="P78" i="4"/>
  <c r="H135" i="8" l="1"/>
  <c r="P90" i="4"/>
  <c r="P21" i="4" l="1"/>
  <c r="P19" i="4"/>
  <c r="O13" i="4"/>
  <c r="G67" i="8" l="1"/>
  <c r="G61" i="4" l="1"/>
  <c r="F61" i="4"/>
  <c r="AA61" i="4"/>
  <c r="V61" i="4"/>
  <c r="Z61" i="4"/>
  <c r="U61" i="4"/>
  <c r="O100" i="4" l="1"/>
  <c r="I28" i="1"/>
  <c r="O229" i="1" l="1"/>
  <c r="G28" i="1" l="1"/>
  <c r="H28" i="1"/>
  <c r="AC274" i="1"/>
  <c r="AB274" i="1"/>
  <c r="AA274" i="1"/>
  <c r="Y274" i="1"/>
  <c r="X274" i="1"/>
  <c r="W274" i="1"/>
  <c r="V274" i="1"/>
  <c r="T274" i="1"/>
  <c r="Q274" i="1"/>
  <c r="O274" i="1"/>
  <c r="N274" i="1"/>
  <c r="M274" i="1"/>
  <c r="L274" i="1"/>
  <c r="J274" i="1"/>
  <c r="H274" i="1"/>
  <c r="G274" i="1"/>
  <c r="E274" i="1"/>
  <c r="C273" i="1"/>
  <c r="C274" i="1" s="1"/>
  <c r="F273" i="1"/>
  <c r="F274" i="1" s="1"/>
  <c r="S38" i="1"/>
  <c r="R38" i="1"/>
  <c r="AB75" i="1"/>
  <c r="AA75" i="1"/>
  <c r="Y75" i="1"/>
  <c r="W75" i="1"/>
  <c r="V75" i="1"/>
  <c r="T75" i="1"/>
  <c r="R75" i="1"/>
  <c r="Q75" i="1"/>
  <c r="O75" i="1"/>
  <c r="J75" i="1"/>
  <c r="P38" i="1" l="1"/>
  <c r="AC179" i="1"/>
  <c r="Z97" i="1"/>
  <c r="U97" i="1"/>
  <c r="P41" i="1"/>
  <c r="P39" i="1"/>
  <c r="M41" i="1"/>
  <c r="K41" i="1" s="1"/>
  <c r="F41" i="1"/>
  <c r="C41" i="1"/>
  <c r="D41" i="1" l="1"/>
  <c r="P75" i="4" l="1"/>
  <c r="P74" i="4"/>
  <c r="C130" i="5" l="1"/>
  <c r="H106" i="8" l="1"/>
  <c r="O246" i="1" l="1"/>
  <c r="T246" i="1"/>
  <c r="H71" i="8"/>
  <c r="H64" i="8"/>
  <c r="C246" i="1" l="1"/>
  <c r="H118" i="8" l="1"/>
  <c r="E28" i="1" l="1"/>
  <c r="C28" i="1" s="1"/>
  <c r="Z32" i="1"/>
  <c r="N28" i="1"/>
  <c r="F32" i="1" l="1"/>
  <c r="U32" i="1"/>
  <c r="K32" i="1"/>
  <c r="P32" i="1"/>
  <c r="D32" i="1" l="1"/>
  <c r="H31" i="8"/>
  <c r="H30" i="8"/>
  <c r="H21" i="8" l="1"/>
  <c r="Q101" i="4" l="1"/>
  <c r="H42" i="8" l="1"/>
  <c r="N114" i="5" l="1"/>
  <c r="P16" i="4"/>
  <c r="S67" i="1"/>
  <c r="P40" i="1"/>
  <c r="S65" i="1"/>
  <c r="P82" i="4" l="1"/>
  <c r="O12" i="1"/>
  <c r="S12" i="1"/>
  <c r="E47" i="1"/>
  <c r="S47" i="1"/>
  <c r="O244" i="1"/>
  <c r="E75" i="1" l="1"/>
  <c r="C47" i="1"/>
  <c r="H22" i="8"/>
  <c r="H47" i="8" l="1"/>
  <c r="M556" i="5"/>
  <c r="H556" i="5"/>
  <c r="H32" i="8"/>
  <c r="M542" i="5"/>
  <c r="H542" i="5"/>
  <c r="AB556" i="5" l="1"/>
  <c r="AC82" i="4"/>
  <c r="AB82" i="4"/>
  <c r="AA82" i="4"/>
  <c r="X82" i="4"/>
  <c r="W82" i="4"/>
  <c r="V82" i="4"/>
  <c r="S82" i="4"/>
  <c r="R82" i="4"/>
  <c r="Q82" i="4"/>
  <c r="N82" i="4"/>
  <c r="M82" i="4"/>
  <c r="L82" i="4"/>
  <c r="I82" i="4"/>
  <c r="H82" i="4"/>
  <c r="G82" i="4"/>
  <c r="Z82" i="4"/>
  <c r="Y81" i="4"/>
  <c r="O81" i="4"/>
  <c r="J81" i="4"/>
  <c r="E81" i="4"/>
  <c r="AD81" i="4" l="1"/>
  <c r="P247" i="1"/>
  <c r="U247" i="1"/>
  <c r="K247" i="1"/>
  <c r="N246" i="1"/>
  <c r="K246" i="1" s="1"/>
  <c r="V101" i="4"/>
  <c r="AA101" i="4"/>
  <c r="K248" i="1" l="1"/>
  <c r="J100" i="4"/>
  <c r="Y100" i="4" l="1"/>
  <c r="T100" i="4"/>
  <c r="E100" i="4"/>
  <c r="AD100" i="4" l="1"/>
  <c r="Z70" i="1"/>
  <c r="P70" i="1"/>
  <c r="K70" i="1"/>
  <c r="C70" i="1"/>
  <c r="E21" i="4"/>
  <c r="K21" i="4"/>
  <c r="J21" i="4" s="1"/>
  <c r="O21" i="4"/>
  <c r="T21" i="4"/>
  <c r="Y21" i="4"/>
  <c r="D70" i="1" l="1"/>
  <c r="AD21" i="4"/>
  <c r="C192" i="5"/>
  <c r="H192" i="5"/>
  <c r="M192" i="5"/>
  <c r="R192" i="5"/>
  <c r="W192" i="5"/>
  <c r="AB192" i="5" l="1"/>
  <c r="J31" i="8"/>
  <c r="U68" i="1" l="1"/>
  <c r="P68" i="1" l="1"/>
  <c r="N68" i="1" s="1"/>
  <c r="P69" i="1"/>
  <c r="N67" i="1"/>
  <c r="F67" i="1"/>
  <c r="Z69" i="1"/>
  <c r="U69" i="1" s="1"/>
  <c r="Z68" i="1"/>
  <c r="M68" i="1" l="1"/>
  <c r="L68" i="1" l="1"/>
  <c r="M75" i="1"/>
  <c r="F69" i="1"/>
  <c r="D69" i="1" s="1"/>
  <c r="K68" i="1" l="1"/>
  <c r="I68" i="1" s="1"/>
  <c r="L75" i="1"/>
  <c r="P193" i="1"/>
  <c r="E193" i="1"/>
  <c r="C193" i="1" s="1"/>
  <c r="F193" i="1"/>
  <c r="D193" i="1" s="1"/>
  <c r="K193" i="1"/>
  <c r="Z193" i="1"/>
  <c r="H68" i="1" l="1"/>
  <c r="R66" i="4"/>
  <c r="G68" i="1" l="1"/>
  <c r="H75" i="1"/>
  <c r="F68" i="1" l="1"/>
  <c r="D68" i="1" s="1"/>
  <c r="G75" i="1"/>
  <c r="E188" i="1"/>
  <c r="C188" i="1" s="1"/>
  <c r="F188" i="1"/>
  <c r="K188" i="1"/>
  <c r="P188" i="1"/>
  <c r="Z188" i="1"/>
  <c r="D188" i="1" l="1"/>
  <c r="P95" i="4"/>
  <c r="P101" i="4" s="1"/>
  <c r="H43" i="8" l="1"/>
  <c r="E187" i="1" l="1"/>
  <c r="C187" i="1" s="1"/>
  <c r="F187" i="1"/>
  <c r="K187" i="1"/>
  <c r="P187" i="1"/>
  <c r="Z187" i="1"/>
  <c r="E186" i="1"/>
  <c r="C186" i="1" s="1"/>
  <c r="F186" i="1"/>
  <c r="D186" i="1" s="1"/>
  <c r="K186" i="1"/>
  <c r="P186" i="1"/>
  <c r="Z186" i="1"/>
  <c r="C194" i="1"/>
  <c r="H194" i="1"/>
  <c r="I194" i="1"/>
  <c r="K194" i="1"/>
  <c r="D187" i="1" l="1"/>
  <c r="F194" i="1"/>
  <c r="D194" i="1" s="1"/>
  <c r="P93" i="1"/>
  <c r="M536" i="5"/>
  <c r="E185" i="1" l="1"/>
  <c r="C185" i="1" s="1"/>
  <c r="F185" i="1"/>
  <c r="K185" i="1"/>
  <c r="P185" i="1"/>
  <c r="Z185" i="1"/>
  <c r="D185" i="1" l="1"/>
  <c r="S274" i="1"/>
  <c r="R274" i="1"/>
  <c r="Q61" i="4"/>
  <c r="P45" i="1" l="1"/>
  <c r="C260" i="1"/>
  <c r="F260" i="1"/>
  <c r="K260" i="1"/>
  <c r="P260" i="1"/>
  <c r="Z260" i="1"/>
  <c r="D260" i="1" l="1"/>
  <c r="G106" i="8" l="1"/>
  <c r="P208" i="1"/>
  <c r="P209" i="1"/>
  <c r="P210" i="1" l="1"/>
  <c r="F22" i="9" l="1"/>
  <c r="G11" i="9"/>
  <c r="I112" i="8"/>
  <c r="G38" i="8" l="1"/>
  <c r="G64" i="8"/>
  <c r="J42" i="1"/>
  <c r="N76" i="1" l="1"/>
  <c r="K62" i="1"/>
  <c r="K63" i="1"/>
  <c r="K64" i="1"/>
  <c r="K60" i="1"/>
  <c r="K61" i="1"/>
  <c r="P61" i="4"/>
  <c r="F47" i="1"/>
  <c r="K47" i="1"/>
  <c r="P47" i="1"/>
  <c r="D47" i="1" l="1"/>
  <c r="I9" i="9"/>
  <c r="N89" i="1"/>
  <c r="N108" i="1"/>
  <c r="Z234" i="1"/>
  <c r="U234" i="1"/>
  <c r="P234" i="1"/>
  <c r="K234" i="1"/>
  <c r="F234" i="1"/>
  <c r="C234" i="1"/>
  <c r="Z233" i="1"/>
  <c r="U233" i="1"/>
  <c r="P233" i="1"/>
  <c r="K233" i="1"/>
  <c r="F233" i="1"/>
  <c r="C233" i="1"/>
  <c r="Z232" i="1"/>
  <c r="U232" i="1"/>
  <c r="P232" i="1"/>
  <c r="K232" i="1"/>
  <c r="F232" i="1"/>
  <c r="C232" i="1"/>
  <c r="M97" i="1"/>
  <c r="K97" i="1" s="1"/>
  <c r="M42" i="1"/>
  <c r="I581" i="5"/>
  <c r="I130" i="5"/>
  <c r="K38" i="4"/>
  <c r="K17" i="4"/>
  <c r="J15" i="8"/>
  <c r="D232" i="1" l="1"/>
  <c r="D234" i="1"/>
  <c r="D233" i="1"/>
  <c r="J33" i="8" l="1"/>
  <c r="J119" i="8" l="1"/>
  <c r="J100" i="8" l="1"/>
  <c r="H100" i="8"/>
  <c r="O38" i="1" l="1"/>
  <c r="U52" i="1" l="1"/>
  <c r="U51" i="1"/>
  <c r="H23" i="8" l="1"/>
  <c r="Y253" i="1" l="1"/>
  <c r="Z80" i="1" l="1"/>
  <c r="Z81" i="1"/>
  <c r="Z82" i="1"/>
  <c r="Z83" i="1"/>
  <c r="T264" i="1"/>
  <c r="Z28" i="4" l="1"/>
  <c r="Z31" i="4"/>
  <c r="W483" i="5"/>
  <c r="AA63" i="4"/>
  <c r="Z63" i="4"/>
  <c r="C235" i="1"/>
  <c r="F235" i="1"/>
  <c r="K235" i="1"/>
  <c r="P235" i="1"/>
  <c r="U235" i="1"/>
  <c r="Z235" i="1"/>
  <c r="C236" i="1"/>
  <c r="F236" i="1"/>
  <c r="K236" i="1"/>
  <c r="P236" i="1"/>
  <c r="U236" i="1"/>
  <c r="Z236" i="1"/>
  <c r="C237" i="1"/>
  <c r="F237" i="1"/>
  <c r="K237" i="1"/>
  <c r="P237" i="1"/>
  <c r="U237" i="1"/>
  <c r="Z237" i="1"/>
  <c r="C238" i="1"/>
  <c r="F238" i="1"/>
  <c r="K238" i="1"/>
  <c r="P238" i="1"/>
  <c r="U238" i="1"/>
  <c r="Z238" i="1"/>
  <c r="C239" i="1"/>
  <c r="F239" i="1"/>
  <c r="K239" i="1"/>
  <c r="P239" i="1"/>
  <c r="U239" i="1"/>
  <c r="Z239" i="1"/>
  <c r="Z50" i="4" l="1"/>
  <c r="Z48" i="4"/>
  <c r="Y48" i="4" s="1"/>
  <c r="D239" i="1"/>
  <c r="D236" i="1"/>
  <c r="D238" i="1"/>
  <c r="D237" i="1"/>
  <c r="D235" i="1"/>
  <c r="Z184" i="1" l="1"/>
  <c r="P184" i="1"/>
  <c r="K184" i="1"/>
  <c r="F184" i="1"/>
  <c r="D184" i="1" s="1"/>
  <c r="E184" i="1"/>
  <c r="C184" i="1" s="1"/>
  <c r="S49" i="1"/>
  <c r="S75" i="1" s="1"/>
  <c r="Z179" i="1"/>
  <c r="P94" i="1"/>
  <c r="P57" i="4" l="1"/>
  <c r="AC178" i="1" l="1"/>
  <c r="Z178" i="1" s="1"/>
  <c r="U180" i="1"/>
  <c r="U182" i="1"/>
  <c r="Z182" i="1"/>
  <c r="AC110" i="1"/>
  <c r="AC244" i="1" s="1"/>
  <c r="K109" i="1"/>
  <c r="K110" i="1"/>
  <c r="P95" i="1"/>
  <c r="K95" i="1"/>
  <c r="K94" i="1"/>
  <c r="Z95" i="1"/>
  <c r="F95" i="1"/>
  <c r="E95" i="1"/>
  <c r="C95" i="1" s="1"/>
  <c r="Z94" i="1"/>
  <c r="F94" i="1"/>
  <c r="E94" i="1"/>
  <c r="C94" i="1" s="1"/>
  <c r="P12" i="1"/>
  <c r="K67" i="1"/>
  <c r="P67" i="1"/>
  <c r="U67" i="1"/>
  <c r="Z67" i="1"/>
  <c r="X25" i="1"/>
  <c r="S25" i="1"/>
  <c r="P25" i="1" s="1"/>
  <c r="Y38" i="4"/>
  <c r="T38" i="4"/>
  <c r="O38" i="4"/>
  <c r="AC101" i="4"/>
  <c r="AB101" i="4"/>
  <c r="X101" i="4"/>
  <c r="W101" i="4"/>
  <c r="S101" i="4"/>
  <c r="R101" i="4"/>
  <c r="Y97" i="4"/>
  <c r="T97" i="4"/>
  <c r="O97" i="4"/>
  <c r="Y96" i="4"/>
  <c r="Y95" i="4"/>
  <c r="T96" i="4"/>
  <c r="T95" i="4"/>
  <c r="O96" i="4"/>
  <c r="O95" i="4"/>
  <c r="T93" i="4"/>
  <c r="O93" i="4"/>
  <c r="T92" i="4"/>
  <c r="O92" i="4"/>
  <c r="Y91" i="4"/>
  <c r="T91" i="4"/>
  <c r="O91" i="4"/>
  <c r="Y90" i="4"/>
  <c r="T90" i="4"/>
  <c r="O90" i="4"/>
  <c r="Y87" i="4"/>
  <c r="T87" i="4"/>
  <c r="O87" i="4"/>
  <c r="Y80" i="4"/>
  <c r="Y79" i="4"/>
  <c r="T80" i="4"/>
  <c r="T79" i="4"/>
  <c r="T78" i="4"/>
  <c r="T77" i="4"/>
  <c r="Y77" i="4"/>
  <c r="Y75" i="4"/>
  <c r="T75" i="4"/>
  <c r="O80" i="4"/>
  <c r="O79" i="4"/>
  <c r="O78" i="4"/>
  <c r="O77" i="4"/>
  <c r="O75" i="4"/>
  <c r="T34" i="4"/>
  <c r="O34" i="4"/>
  <c r="Y33" i="4"/>
  <c r="T33" i="4"/>
  <c r="O33" i="4"/>
  <c r="Y31" i="4"/>
  <c r="T31" i="4"/>
  <c r="O31" i="4"/>
  <c r="Y29" i="4"/>
  <c r="Y28" i="4"/>
  <c r="T28" i="4"/>
  <c r="O28" i="4"/>
  <c r="Y27" i="4"/>
  <c r="Y26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2" i="4"/>
  <c r="T32" i="4"/>
  <c r="O32" i="4"/>
  <c r="N511" i="5"/>
  <c r="N593" i="5" s="1"/>
  <c r="N591" i="5" s="1"/>
  <c r="Y30" i="4"/>
  <c r="T30" i="4"/>
  <c r="P30" i="4"/>
  <c r="O30" i="4" s="1"/>
  <c r="Y25" i="4"/>
  <c r="T25" i="4"/>
  <c r="O25" i="4"/>
  <c r="M500" i="5"/>
  <c r="T29" i="4"/>
  <c r="O29" i="4"/>
  <c r="W10" i="5"/>
  <c r="S28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114" i="5"/>
  <c r="R114" i="5"/>
  <c r="M114" i="5"/>
  <c r="O16" i="4"/>
  <c r="T26" i="4"/>
  <c r="O26" i="4"/>
  <c r="S593" i="5"/>
  <c r="O27" i="4"/>
  <c r="W41" i="5"/>
  <c r="T15" i="4"/>
  <c r="Y74" i="4"/>
  <c r="T74" i="4"/>
  <c r="O74" i="4"/>
  <c r="T101" i="4" l="1"/>
  <c r="T82" i="4"/>
  <c r="T27" i="4"/>
  <c r="U50" i="4"/>
  <c r="U48" i="4"/>
  <c r="T48" i="4" s="1"/>
  <c r="Y82" i="4"/>
  <c r="O101" i="4"/>
  <c r="O82" i="4"/>
  <c r="D67" i="1"/>
  <c r="D95" i="1"/>
  <c r="D94" i="1"/>
  <c r="Z92" i="4" l="1"/>
  <c r="Y92" i="4" l="1"/>
  <c r="Z101" i="4"/>
  <c r="Y101" i="4" s="1"/>
  <c r="G41" i="8"/>
  <c r="I513" i="5" l="1"/>
  <c r="I511" i="5"/>
  <c r="I491" i="5"/>
  <c r="I114" i="5"/>
  <c r="K16" i="4" l="1"/>
  <c r="K32" i="4"/>
  <c r="K30" i="4"/>
  <c r="F12" i="9" l="1"/>
  <c r="N39" i="1" l="1"/>
  <c r="M39" i="1"/>
  <c r="L91" i="4"/>
  <c r="L101" i="4" s="1"/>
  <c r="K91" i="4"/>
  <c r="G111" i="8" l="1"/>
  <c r="N178" i="1" l="1"/>
  <c r="N180" i="1"/>
  <c r="N182" i="1"/>
  <c r="M102" i="1"/>
  <c r="L61" i="4"/>
  <c r="K93" i="1"/>
  <c r="I10" i="5"/>
  <c r="K13" i="4"/>
  <c r="K27" i="4" l="1"/>
  <c r="G136" i="8" l="1"/>
  <c r="I101" i="4" l="1"/>
  <c r="E97" i="4"/>
  <c r="J97" i="4"/>
  <c r="AD97" i="4" l="1"/>
  <c r="G70" i="8" l="1"/>
  <c r="K180" i="1" l="1"/>
  <c r="K182" i="1"/>
  <c r="N66" i="1"/>
  <c r="N65" i="1"/>
  <c r="G42" i="8"/>
  <c r="I514" i="5" l="1"/>
  <c r="K33" i="4"/>
  <c r="K90" i="4"/>
  <c r="K48" i="1" l="1"/>
  <c r="U255" i="1"/>
  <c r="X264" i="1"/>
  <c r="W264" i="1"/>
  <c r="V264" i="1"/>
  <c r="U264" i="1" l="1"/>
  <c r="U265" i="1"/>
  <c r="K259" i="1"/>
  <c r="K258" i="1"/>
  <c r="K257" i="1"/>
  <c r="K256" i="1"/>
  <c r="K255" i="1"/>
  <c r="K254" i="1"/>
  <c r="K265" i="1"/>
  <c r="K267" i="1"/>
  <c r="F267" i="1"/>
  <c r="F265" i="1"/>
  <c r="F255" i="1"/>
  <c r="F256" i="1"/>
  <c r="F257" i="1"/>
  <c r="F258" i="1"/>
  <c r="F259" i="1"/>
  <c r="F254" i="1"/>
  <c r="G57" i="4"/>
  <c r="F264" i="1" l="1"/>
  <c r="C231" i="1"/>
  <c r="F231" i="1"/>
  <c r="K231" i="1"/>
  <c r="P231" i="1"/>
  <c r="U231" i="1"/>
  <c r="Z231" i="1"/>
  <c r="N244" i="1"/>
  <c r="P42" i="1"/>
  <c r="K20" i="4"/>
  <c r="T266" i="1"/>
  <c r="T269" i="1" s="1"/>
  <c r="Y266" i="1"/>
  <c r="U254" i="1"/>
  <c r="D231" i="1" l="1"/>
  <c r="J244" i="1"/>
  <c r="G85" i="8" l="1"/>
  <c r="M244" i="1"/>
  <c r="Z229" i="1" l="1"/>
  <c r="U229" i="1"/>
  <c r="P229" i="1"/>
  <c r="K229" i="1"/>
  <c r="F229" i="1"/>
  <c r="C229" i="1"/>
  <c r="D229" i="1" l="1"/>
  <c r="N53" i="1" l="1"/>
  <c r="N75" i="1" s="1"/>
  <c r="I205" i="5"/>
  <c r="M581" i="5"/>
  <c r="R581" i="5"/>
  <c r="W581" i="5"/>
  <c r="O593" i="5"/>
  <c r="P593" i="5"/>
  <c r="Q593" i="5"/>
  <c r="T593" i="5"/>
  <c r="U593" i="5"/>
  <c r="V593" i="5"/>
  <c r="AB542" i="5"/>
  <c r="H581" i="5"/>
  <c r="J35" i="4"/>
  <c r="J36" i="4"/>
  <c r="E36" i="4"/>
  <c r="O36" i="4"/>
  <c r="T36" i="4"/>
  <c r="Y36" i="4"/>
  <c r="K25" i="4"/>
  <c r="AD36" i="4" l="1"/>
  <c r="G37" i="8" l="1"/>
  <c r="G35" i="8"/>
  <c r="G22" i="8" l="1"/>
  <c r="K89" i="1" l="1"/>
  <c r="K93" i="4"/>
  <c r="K101" i="4" s="1"/>
  <c r="K29" i="4" l="1"/>
  <c r="I503" i="5"/>
  <c r="H536" i="5" l="1"/>
  <c r="AB536" i="5" s="1"/>
  <c r="D593" i="5"/>
  <c r="D591" i="5" s="1"/>
  <c r="H514" i="5"/>
  <c r="H513" i="5"/>
  <c r="Y34" i="4"/>
  <c r="J34" i="4"/>
  <c r="E34" i="4"/>
  <c r="J25" i="4"/>
  <c r="Y35" i="4"/>
  <c r="T35" i="4"/>
  <c r="O35" i="4"/>
  <c r="E35" i="4"/>
  <c r="P48" i="1"/>
  <c r="C75" i="1"/>
  <c r="I173" i="5"/>
  <c r="K19" i="4"/>
  <c r="K78" i="4"/>
  <c r="K82" i="4" s="1"/>
  <c r="E78" i="4"/>
  <c r="K66" i="1"/>
  <c r="K73" i="1"/>
  <c r="K48" i="4" l="1"/>
  <c r="J48" i="4" s="1"/>
  <c r="K50" i="4"/>
  <c r="Y50" i="4"/>
  <c r="D48" i="1"/>
  <c r="AD34" i="4"/>
  <c r="AD35" i="4"/>
  <c r="J78" i="4"/>
  <c r="P88" i="1"/>
  <c r="Z88" i="1"/>
  <c r="K90" i="1"/>
  <c r="P90" i="1"/>
  <c r="U90" i="1"/>
  <c r="F90" i="1"/>
  <c r="F89" i="1"/>
  <c r="AC89" i="1"/>
  <c r="AB89" i="1" s="1"/>
  <c r="AA89" i="1" s="1"/>
  <c r="Z89" i="1" s="1"/>
  <c r="Y89" i="1" s="1"/>
  <c r="C86" i="1"/>
  <c r="C99" i="1"/>
  <c r="E90" i="1"/>
  <c r="C90" i="1" s="1"/>
  <c r="Z90" i="1"/>
  <c r="K85" i="1"/>
  <c r="U85" i="1"/>
  <c r="I85" i="1"/>
  <c r="H85" i="1"/>
  <c r="C85" i="1"/>
  <c r="U89" i="1" l="1"/>
  <c r="C89" i="1"/>
  <c r="P89" i="1"/>
  <c r="S102" i="1"/>
  <c r="P59" i="4" s="1"/>
  <c r="F85" i="1"/>
  <c r="D85" i="1" s="1"/>
  <c r="D90" i="1"/>
  <c r="K42" i="1"/>
  <c r="K53" i="1"/>
  <c r="N12" i="1"/>
  <c r="N11" i="1" s="1"/>
  <c r="K65" i="1"/>
  <c r="D89" i="1" l="1"/>
  <c r="L59" i="4"/>
  <c r="F91" i="1"/>
  <c r="K91" i="1"/>
  <c r="N24" i="1" l="1"/>
  <c r="I593" i="5"/>
  <c r="I591" i="5" s="1"/>
  <c r="K92" i="1" l="1"/>
  <c r="F92" i="1"/>
  <c r="C230" i="1" l="1"/>
  <c r="F230" i="1"/>
  <c r="K230" i="1"/>
  <c r="P230" i="1"/>
  <c r="U230" i="1"/>
  <c r="Z230" i="1"/>
  <c r="K178" i="1"/>
  <c r="L66" i="4"/>
  <c r="K66" i="4"/>
  <c r="D230" i="1" l="1"/>
  <c r="N21" i="1" l="1"/>
  <c r="M21" i="1"/>
  <c r="K21" i="1" l="1"/>
  <c r="M28" i="1"/>
  <c r="L28" i="1"/>
  <c r="L38" i="1"/>
  <c r="M38" i="1"/>
  <c r="N38" i="1"/>
  <c r="K39" i="1"/>
  <c r="K38" i="1" s="1"/>
  <c r="L102" i="1"/>
  <c r="K31" i="1"/>
  <c r="K28" i="1" s="1"/>
  <c r="C31" i="1"/>
  <c r="F31" i="1"/>
  <c r="C227" i="1"/>
  <c r="F227" i="1"/>
  <c r="K227" i="1"/>
  <c r="P227" i="1"/>
  <c r="U227" i="1"/>
  <c r="Z227" i="1"/>
  <c r="D31" i="1" l="1"/>
  <c r="D227" i="1"/>
  <c r="AC264" i="1"/>
  <c r="AC266" i="1"/>
  <c r="Z28" i="1"/>
  <c r="N266" i="1" l="1"/>
  <c r="Z254" i="1"/>
  <c r="D254" i="1" s="1"/>
  <c r="U253" i="1" l="1"/>
  <c r="N253" i="1" l="1"/>
  <c r="P183" i="1"/>
  <c r="Z183" i="1"/>
  <c r="U183" i="1"/>
  <c r="K183" i="1"/>
  <c r="F183" i="1"/>
  <c r="C183" i="1"/>
  <c r="F66" i="4"/>
  <c r="F209" i="1"/>
  <c r="K209" i="1"/>
  <c r="U209" i="1"/>
  <c r="D183" i="1" l="1"/>
  <c r="J254" i="1"/>
  <c r="J253" i="1" s="1"/>
  <c r="D209" i="1"/>
  <c r="E19" i="4" l="1"/>
  <c r="Z276" i="1"/>
  <c r="P276" i="1"/>
  <c r="K276" i="1"/>
  <c r="F276" i="1"/>
  <c r="Z76" i="1"/>
  <c r="U76" i="1"/>
  <c r="P76" i="1"/>
  <c r="K76" i="1"/>
  <c r="F76" i="1"/>
  <c r="F49" i="1"/>
  <c r="F73" i="1"/>
  <c r="P73" i="1"/>
  <c r="Z73" i="1"/>
  <c r="AC103" i="4"/>
  <c r="AB103" i="4"/>
  <c r="Z103" i="4"/>
  <c r="X103" i="4"/>
  <c r="W103" i="4"/>
  <c r="S103" i="4"/>
  <c r="R103" i="4"/>
  <c r="N103" i="4"/>
  <c r="M103" i="4"/>
  <c r="L103" i="4"/>
  <c r="K103" i="4"/>
  <c r="G103" i="4"/>
  <c r="H103" i="4"/>
  <c r="I103" i="4"/>
  <c r="F103" i="4"/>
  <c r="AC68" i="4"/>
  <c r="AB68" i="4"/>
  <c r="Z68" i="4"/>
  <c r="X68" i="4"/>
  <c r="W68" i="4"/>
  <c r="S68" i="4"/>
  <c r="R68" i="4"/>
  <c r="P68" i="4"/>
  <c r="N68" i="4"/>
  <c r="M68" i="4"/>
  <c r="L68" i="4"/>
  <c r="K68" i="4"/>
  <c r="I68" i="4"/>
  <c r="G68" i="4"/>
  <c r="H68" i="4"/>
  <c r="F68" i="4"/>
  <c r="AE68" i="4" s="1"/>
  <c r="J58" i="4"/>
  <c r="E58" i="4"/>
  <c r="D276" i="1" l="1"/>
  <c r="AG68" i="4"/>
  <c r="AH68" i="4"/>
  <c r="E103" i="4"/>
  <c r="J103" i="4"/>
  <c r="D73" i="1"/>
  <c r="D76" i="1"/>
  <c r="E68" i="4"/>
  <c r="J68" i="4"/>
  <c r="V102" i="1" l="1"/>
  <c r="C224" i="1" l="1"/>
  <c r="F224" i="1"/>
  <c r="K224" i="1"/>
  <c r="P224" i="1"/>
  <c r="U224" i="1"/>
  <c r="Z224" i="1"/>
  <c r="C225" i="1"/>
  <c r="F225" i="1"/>
  <c r="K225" i="1"/>
  <c r="P225" i="1"/>
  <c r="U225" i="1"/>
  <c r="Z225" i="1"/>
  <c r="C226" i="1"/>
  <c r="F226" i="1"/>
  <c r="K226" i="1"/>
  <c r="P226" i="1"/>
  <c r="U226" i="1"/>
  <c r="Z226" i="1"/>
  <c r="C228" i="1"/>
  <c r="F228" i="1"/>
  <c r="K228" i="1"/>
  <c r="P228" i="1"/>
  <c r="U228" i="1"/>
  <c r="Z228" i="1"/>
  <c r="AD224" i="1" l="1"/>
  <c r="D225" i="1"/>
  <c r="D228" i="1"/>
  <c r="D226" i="1"/>
  <c r="D224" i="1"/>
  <c r="K63" i="4" l="1"/>
  <c r="C265" i="1"/>
  <c r="C255" i="1"/>
  <c r="C256" i="1"/>
  <c r="C257" i="1"/>
  <c r="C258" i="1"/>
  <c r="C259" i="1"/>
  <c r="C254" i="1"/>
  <c r="Y244" i="1"/>
  <c r="C104" i="1"/>
  <c r="U107" i="1"/>
  <c r="U106" i="1"/>
  <c r="U105" i="1"/>
  <c r="U104" i="1"/>
  <c r="U79" i="1"/>
  <c r="U80" i="1"/>
  <c r="U81" i="1"/>
  <c r="D81" i="1" s="1"/>
  <c r="U82" i="1"/>
  <c r="U84" i="1"/>
  <c r="U86" i="1"/>
  <c r="U87" i="1"/>
  <c r="U88" i="1"/>
  <c r="C79" i="1"/>
  <c r="C80" i="1"/>
  <c r="C78" i="1"/>
  <c r="U78" i="1"/>
  <c r="P78" i="1"/>
  <c r="K78" i="1"/>
  <c r="Z50" i="1"/>
  <c r="X266" i="1"/>
  <c r="W266" i="1"/>
  <c r="V266" i="1"/>
  <c r="S266" i="1"/>
  <c r="Z51" i="1"/>
  <c r="X11" i="1"/>
  <c r="F65" i="1"/>
  <c r="P65" i="1"/>
  <c r="U65" i="1"/>
  <c r="Z65" i="1"/>
  <c r="F66" i="1"/>
  <c r="P66" i="1"/>
  <c r="U66" i="1"/>
  <c r="Z66" i="1"/>
  <c r="C182" i="1"/>
  <c r="F182" i="1"/>
  <c r="D182" i="1" s="1"/>
  <c r="P182" i="1"/>
  <c r="C107" i="1"/>
  <c r="F107" i="1"/>
  <c r="K107" i="1"/>
  <c r="P107" i="1"/>
  <c r="Z107" i="1"/>
  <c r="F64" i="1"/>
  <c r="P64" i="1"/>
  <c r="U64" i="1"/>
  <c r="Z64" i="1"/>
  <c r="J30" i="4"/>
  <c r="C514" i="5"/>
  <c r="M514" i="5"/>
  <c r="W514" i="5"/>
  <c r="E33" i="4"/>
  <c r="J33" i="4"/>
  <c r="E20" i="4"/>
  <c r="J20" i="4"/>
  <c r="W191" i="5"/>
  <c r="R191" i="5"/>
  <c r="M191" i="5"/>
  <c r="H191" i="5"/>
  <c r="C191" i="5"/>
  <c r="M511" i="5"/>
  <c r="H511" i="5"/>
  <c r="R503" i="5"/>
  <c r="H500" i="5"/>
  <c r="R491" i="5"/>
  <c r="R483" i="5"/>
  <c r="R130" i="5"/>
  <c r="R41" i="5"/>
  <c r="R10" i="5"/>
  <c r="J77" i="4"/>
  <c r="Q65" i="4"/>
  <c r="L65" i="4"/>
  <c r="J29" i="4"/>
  <c r="J28" i="4"/>
  <c r="J27" i="4"/>
  <c r="J26" i="4"/>
  <c r="J19" i="4"/>
  <c r="J17" i="4"/>
  <c r="J16" i="4"/>
  <c r="O15" i="4"/>
  <c r="J15" i="4"/>
  <c r="J13" i="4"/>
  <c r="U248" i="1"/>
  <c r="P246" i="1"/>
  <c r="U179" i="1"/>
  <c r="P179" i="1"/>
  <c r="K179" i="1"/>
  <c r="U178" i="1"/>
  <c r="P178" i="1"/>
  <c r="U110" i="1"/>
  <c r="P110" i="1"/>
  <c r="P108" i="1"/>
  <c r="K108" i="1"/>
  <c r="P49" i="1"/>
  <c r="K49" i="1"/>
  <c r="K45" i="1"/>
  <c r="U25" i="1"/>
  <c r="K25" i="1"/>
  <c r="U12" i="1"/>
  <c r="K12" i="1"/>
  <c r="D107" i="1" l="1"/>
  <c r="P248" i="1"/>
  <c r="X269" i="1"/>
  <c r="U269" i="1" s="1"/>
  <c r="U266" i="1"/>
  <c r="AD33" i="4"/>
  <c r="AB514" i="5"/>
  <c r="W43" i="1"/>
  <c r="X43" i="1"/>
  <c r="AB191" i="5"/>
  <c r="D65" i="1"/>
  <c r="D66" i="1"/>
  <c r="D64" i="1"/>
  <c r="AD20" i="4"/>
  <c r="H244" i="1"/>
  <c r="G95" i="4"/>
  <c r="G101" i="4" s="1"/>
  <c r="H246" i="1"/>
  <c r="I63" i="1"/>
  <c r="H39" i="1"/>
  <c r="F74" i="4"/>
  <c r="E74" i="4" l="1"/>
  <c r="G63" i="4"/>
  <c r="E95" i="4" l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43" i="1"/>
  <c r="K196" i="1"/>
  <c r="W63" i="4" l="1"/>
  <c r="V63" i="4"/>
  <c r="U63" i="4"/>
  <c r="T63" i="4" l="1"/>
  <c r="C208" i="1"/>
  <c r="U208" i="1"/>
  <c r="C42" i="1" l="1"/>
  <c r="F42" i="1"/>
  <c r="D42" i="1" s="1"/>
  <c r="N99" i="1" l="1"/>
  <c r="C217" i="1"/>
  <c r="F217" i="1"/>
  <c r="P217" i="1"/>
  <c r="U217" i="1"/>
  <c r="Z217" i="1"/>
  <c r="K61" i="4" l="1"/>
  <c r="N102" i="1"/>
  <c r="K99" i="1"/>
  <c r="D217" i="1"/>
  <c r="J80" i="4" l="1"/>
  <c r="J91" i="4"/>
  <c r="F13" i="4"/>
  <c r="J14" i="4"/>
  <c r="E14" i="4"/>
  <c r="AA593" i="5"/>
  <c r="Z593" i="5"/>
  <c r="Y593" i="5"/>
  <c r="L593" i="5"/>
  <c r="K593" i="5"/>
  <c r="J593" i="5"/>
  <c r="G593" i="5"/>
  <c r="F593" i="5"/>
  <c r="E593" i="5"/>
  <c r="W29" i="5"/>
  <c r="R29" i="5"/>
  <c r="M29" i="5"/>
  <c r="H29" i="5"/>
  <c r="C29" i="5"/>
  <c r="AD14" i="4" l="1"/>
  <c r="AB29" i="5"/>
  <c r="Q58" i="4"/>
  <c r="O58" i="4" s="1"/>
  <c r="V58" i="4"/>
  <c r="T58" i="4" s="1"/>
  <c r="AA58" i="4"/>
  <c r="Y58" i="4" s="1"/>
  <c r="Z63" i="1"/>
  <c r="U63" i="1"/>
  <c r="P63" i="1"/>
  <c r="F63" i="1"/>
  <c r="Z62" i="1"/>
  <c r="U62" i="1"/>
  <c r="P62" i="1"/>
  <c r="F62" i="1"/>
  <c r="Z106" i="1"/>
  <c r="P106" i="1"/>
  <c r="K106" i="1"/>
  <c r="F106" i="1"/>
  <c r="C106" i="1"/>
  <c r="Z105" i="1"/>
  <c r="P105" i="1"/>
  <c r="K105" i="1"/>
  <c r="F105" i="1"/>
  <c r="C105" i="1"/>
  <c r="D105" i="1" l="1"/>
  <c r="D106" i="1"/>
  <c r="V103" i="4"/>
  <c r="T103" i="4" s="1"/>
  <c r="V68" i="4"/>
  <c r="T68" i="4" s="1"/>
  <c r="Q103" i="4"/>
  <c r="O103" i="4" s="1"/>
  <c r="Q68" i="4"/>
  <c r="AA103" i="4"/>
  <c r="Y103" i="4" s="1"/>
  <c r="AA68" i="4"/>
  <c r="Y68" i="4" s="1"/>
  <c r="D63" i="1"/>
  <c r="D62" i="1"/>
  <c r="P181" i="1"/>
  <c r="F181" i="1"/>
  <c r="D181" i="1" s="1"/>
  <c r="C181" i="1"/>
  <c r="AD103" i="4" l="1"/>
  <c r="O68" i="4"/>
  <c r="AD68" i="4" s="1"/>
  <c r="AF68" i="4"/>
  <c r="AD58" i="4"/>
  <c r="AC102" i="1"/>
  <c r="Z59" i="4" s="1"/>
  <c r="AA102" i="1"/>
  <c r="AB102" i="1"/>
  <c r="Y102" i="1"/>
  <c r="T102" i="1"/>
  <c r="Q102" i="1"/>
  <c r="R102" i="1"/>
  <c r="O102" i="1"/>
  <c r="J102" i="1"/>
  <c r="G102" i="1"/>
  <c r="E102" i="1"/>
  <c r="Z101" i="1"/>
  <c r="K101" i="1"/>
  <c r="C101" i="1"/>
  <c r="D101" i="1" l="1"/>
  <c r="AE114" i="4"/>
  <c r="AF114" i="4"/>
  <c r="AG114" i="4"/>
  <c r="AH114" i="4"/>
  <c r="AH112" i="4"/>
  <c r="AG112" i="4"/>
  <c r="AF112" i="4"/>
  <c r="AE112" i="4"/>
  <c r="AH110" i="4"/>
  <c r="AG110" i="4"/>
  <c r="AF110" i="4"/>
  <c r="AE110" i="4"/>
  <c r="AH108" i="4"/>
  <c r="AG108" i="4"/>
  <c r="AF108" i="4"/>
  <c r="AE108" i="4"/>
  <c r="AH106" i="4"/>
  <c r="AG106" i="4"/>
  <c r="AF106" i="4"/>
  <c r="AE106" i="4"/>
  <c r="P180" i="1"/>
  <c r="F180" i="1"/>
  <c r="C180" i="1"/>
  <c r="P111" i="4"/>
  <c r="K111" i="4"/>
  <c r="G111" i="4"/>
  <c r="H111" i="4"/>
  <c r="I111" i="4"/>
  <c r="L111" i="4"/>
  <c r="M111" i="4"/>
  <c r="N111" i="4"/>
  <c r="Q111" i="4"/>
  <c r="R111" i="4"/>
  <c r="S111" i="4"/>
  <c r="V111" i="4"/>
  <c r="W111" i="4"/>
  <c r="X111" i="4"/>
  <c r="AA111" i="4"/>
  <c r="AB111" i="4"/>
  <c r="AC111" i="4"/>
  <c r="E80" i="4"/>
  <c r="AD80" i="4" s="1"/>
  <c r="F77" i="4"/>
  <c r="D180" i="1" l="1"/>
  <c r="AH111" i="4"/>
  <c r="AG111" i="4"/>
  <c r="AF111" i="4"/>
  <c r="K87" i="1"/>
  <c r="F87" i="1"/>
  <c r="C87" i="1"/>
  <c r="D87" i="1" l="1"/>
  <c r="E253" i="1"/>
  <c r="G253" i="1"/>
  <c r="H253" i="1"/>
  <c r="I253" i="1"/>
  <c r="L253" i="1"/>
  <c r="M253" i="1"/>
  <c r="T253" i="1"/>
  <c r="V253" i="1"/>
  <c r="W253" i="1"/>
  <c r="X253" i="1"/>
  <c r="AA253" i="1"/>
  <c r="AB253" i="1"/>
  <c r="AC253" i="1"/>
  <c r="H114" i="5" l="1"/>
  <c r="F170" i="1"/>
  <c r="F171" i="1"/>
  <c r="Z259" i="1"/>
  <c r="P259" i="1"/>
  <c r="D259" i="1" l="1"/>
  <c r="C173" i="5"/>
  <c r="P92" i="1"/>
  <c r="C92" i="1"/>
  <c r="D92" i="1" l="1"/>
  <c r="E91" i="4"/>
  <c r="AD91" i="4" s="1"/>
  <c r="J90" i="4"/>
  <c r="E90" i="4"/>
  <c r="AD90" i="4" l="1"/>
  <c r="F93" i="4"/>
  <c r="F101" i="4" s="1"/>
  <c r="H38" i="1"/>
  <c r="I38" i="1"/>
  <c r="G38" i="1"/>
  <c r="C40" i="1"/>
  <c r="F40" i="1"/>
  <c r="D40" i="1" s="1"/>
  <c r="U39" i="1"/>
  <c r="F39" i="1"/>
  <c r="C39" i="1"/>
  <c r="I45" i="1"/>
  <c r="I75" i="1" s="1"/>
  <c r="F46" i="1"/>
  <c r="C511" i="5"/>
  <c r="C513" i="5"/>
  <c r="E30" i="4"/>
  <c r="F79" i="4"/>
  <c r="F179" i="1"/>
  <c r="D179" i="1" s="1"/>
  <c r="C179" i="1"/>
  <c r="F82" i="4" l="1"/>
  <c r="F111" i="4" s="1"/>
  <c r="F57" i="4"/>
  <c r="D39" i="1"/>
  <c r="F38" i="1"/>
  <c r="F169" i="1"/>
  <c r="AB244" i="1"/>
  <c r="F166" i="1" l="1"/>
  <c r="F165" i="1"/>
  <c r="F162" i="1"/>
  <c r="F138" i="1"/>
  <c r="P63" i="4"/>
  <c r="F55" i="1"/>
  <c r="K86" i="1"/>
  <c r="F86" i="1"/>
  <c r="C38" i="1"/>
  <c r="U38" i="1"/>
  <c r="D38" i="1" s="1"/>
  <c r="P28" i="1"/>
  <c r="Q28" i="1"/>
  <c r="R28" i="1"/>
  <c r="S28" i="1"/>
  <c r="U28" i="1"/>
  <c r="V28" i="1"/>
  <c r="W28" i="1"/>
  <c r="X28" i="1"/>
  <c r="AA28" i="1"/>
  <c r="AB28" i="1"/>
  <c r="AC28" i="1"/>
  <c r="C30" i="1"/>
  <c r="C29" i="1"/>
  <c r="F30" i="1"/>
  <c r="D30" i="1" s="1"/>
  <c r="F29" i="1"/>
  <c r="J11" i="1"/>
  <c r="F178" i="1"/>
  <c r="D178" i="1" s="1"/>
  <c r="C178" i="1"/>
  <c r="Q63" i="4"/>
  <c r="L63" i="4"/>
  <c r="I244" i="1"/>
  <c r="F62" i="4" s="1"/>
  <c r="Z99" i="1"/>
  <c r="P100" i="1"/>
  <c r="P99" i="1"/>
  <c r="F28" i="1" l="1"/>
  <c r="D28" i="1" s="1"/>
  <c r="D99" i="1"/>
  <c r="D86" i="1"/>
  <c r="P219" i="1"/>
  <c r="D29" i="1"/>
  <c r="Z223" i="1" l="1"/>
  <c r="U223" i="1"/>
  <c r="P223" i="1"/>
  <c r="F223" i="1"/>
  <c r="C223" i="1"/>
  <c r="Z222" i="1"/>
  <c r="U222" i="1"/>
  <c r="P222" i="1"/>
  <c r="F222" i="1"/>
  <c r="C222" i="1"/>
  <c r="Z221" i="1"/>
  <c r="U221" i="1"/>
  <c r="P221" i="1"/>
  <c r="F221" i="1"/>
  <c r="C221" i="1"/>
  <c r="Z220" i="1"/>
  <c r="U220" i="1"/>
  <c r="P220" i="1"/>
  <c r="F220" i="1"/>
  <c r="C220" i="1"/>
  <c r="Z219" i="1"/>
  <c r="U219" i="1"/>
  <c r="F219" i="1"/>
  <c r="C219" i="1"/>
  <c r="Z218" i="1"/>
  <c r="U218" i="1"/>
  <c r="P218" i="1"/>
  <c r="F218" i="1"/>
  <c r="C218" i="1"/>
  <c r="Z216" i="1"/>
  <c r="U216" i="1"/>
  <c r="P216" i="1"/>
  <c r="F216" i="1"/>
  <c r="C216" i="1"/>
  <c r="Z215" i="1"/>
  <c r="U215" i="1"/>
  <c r="P215" i="1"/>
  <c r="F215" i="1"/>
  <c r="C215" i="1"/>
  <c r="Z214" i="1"/>
  <c r="U214" i="1"/>
  <c r="P214" i="1"/>
  <c r="F214" i="1"/>
  <c r="C214" i="1"/>
  <c r="Z213" i="1"/>
  <c r="U213" i="1"/>
  <c r="P213" i="1"/>
  <c r="F213" i="1"/>
  <c r="C213" i="1"/>
  <c r="Z212" i="1"/>
  <c r="U212" i="1"/>
  <c r="P212" i="1"/>
  <c r="F212" i="1"/>
  <c r="C212" i="1"/>
  <c r="Z211" i="1"/>
  <c r="U211" i="1"/>
  <c r="F211" i="1"/>
  <c r="C211" i="1"/>
  <c r="Z210" i="1"/>
  <c r="U210" i="1"/>
  <c r="F210" i="1"/>
  <c r="C210" i="1"/>
  <c r="F208" i="1"/>
  <c r="X69" i="4"/>
  <c r="X67" i="4" s="1"/>
  <c r="AC69" i="4"/>
  <c r="AC67" i="4" s="1"/>
  <c r="I69" i="4"/>
  <c r="N69" i="4"/>
  <c r="N67" i="4" s="1"/>
  <c r="S69" i="4"/>
  <c r="S67" i="4" s="1"/>
  <c r="AB63" i="4"/>
  <c r="R63" i="4"/>
  <c r="O63" i="4" s="1"/>
  <c r="M63" i="4"/>
  <c r="J63" i="4" s="1"/>
  <c r="H63" i="4"/>
  <c r="AB61" i="4"/>
  <c r="Y61" i="4" s="1"/>
  <c r="W61" i="4"/>
  <c r="T61" i="4" s="1"/>
  <c r="R61" i="4"/>
  <c r="O61" i="4" s="1"/>
  <c r="Y63" i="4" l="1"/>
  <c r="X109" i="4"/>
  <c r="N109" i="4"/>
  <c r="AC109" i="4"/>
  <c r="S109" i="4"/>
  <c r="I109" i="4"/>
  <c r="I67" i="4"/>
  <c r="AH67" i="4" s="1"/>
  <c r="D208" i="1"/>
  <c r="D220" i="1"/>
  <c r="D222" i="1"/>
  <c r="D223" i="1"/>
  <c r="D219" i="1"/>
  <c r="D216" i="1"/>
  <c r="D221" i="1"/>
  <c r="D218" i="1"/>
  <c r="D212" i="1"/>
  <c r="D211" i="1"/>
  <c r="D213" i="1"/>
  <c r="D215" i="1"/>
  <c r="D210" i="1"/>
  <c r="D214" i="1"/>
  <c r="AH109" i="4" l="1"/>
  <c r="AA62" i="4" l="1"/>
  <c r="E139" i="8" l="1"/>
  <c r="W500" i="5" l="1"/>
  <c r="R500" i="5"/>
  <c r="AB500" i="5" l="1"/>
  <c r="Z100" i="1"/>
  <c r="Z43" i="1" l="1"/>
  <c r="C270" i="1"/>
  <c r="F270" i="1"/>
  <c r="K270" i="1"/>
  <c r="P270" i="1"/>
  <c r="U270" i="1"/>
  <c r="Z270" i="1"/>
  <c r="I274" i="1"/>
  <c r="D270" i="1" l="1"/>
  <c r="F63" i="4" l="1"/>
  <c r="E63" i="4" s="1"/>
  <c r="AD63" i="4" s="1"/>
  <c r="Z258" i="1"/>
  <c r="P258" i="1"/>
  <c r="D258" i="1" l="1"/>
  <c r="F15" i="8"/>
  <c r="AB66" i="4" l="1"/>
  <c r="AB69" i="4" s="1"/>
  <c r="AB67" i="4" s="1"/>
  <c r="AA66" i="4"/>
  <c r="Z66" i="4"/>
  <c r="W66" i="4"/>
  <c r="W69" i="4" s="1"/>
  <c r="W67" i="4" s="1"/>
  <c r="V66" i="4"/>
  <c r="U66" i="4"/>
  <c r="Q66" i="4"/>
  <c r="R69" i="4"/>
  <c r="R67" i="4" s="1"/>
  <c r="P66" i="4"/>
  <c r="M66" i="4"/>
  <c r="H66" i="4"/>
  <c r="G66" i="4"/>
  <c r="Z273" i="1"/>
  <c r="Z274" i="1" s="1"/>
  <c r="U273" i="1"/>
  <c r="U274" i="1" s="1"/>
  <c r="P273" i="1"/>
  <c r="P274" i="1" s="1"/>
  <c r="K273" i="1"/>
  <c r="K274" i="1" s="1"/>
  <c r="E244" i="1"/>
  <c r="G244" i="1"/>
  <c r="G62" i="4"/>
  <c r="E62" i="4" s="1"/>
  <c r="L244" i="1"/>
  <c r="Q244" i="1"/>
  <c r="V244" i="1"/>
  <c r="AA244" i="1"/>
  <c r="Y66" i="4" l="1"/>
  <c r="T66" i="4"/>
  <c r="O66" i="4"/>
  <c r="R109" i="4"/>
  <c r="W109" i="4"/>
  <c r="AB109" i="4"/>
  <c r="E66" i="4"/>
  <c r="J66" i="4"/>
  <c r="D273" i="1"/>
  <c r="D274" i="1" s="1"/>
  <c r="Z61" i="1"/>
  <c r="U61" i="1"/>
  <c r="P61" i="1"/>
  <c r="F61" i="1"/>
  <c r="Z60" i="1"/>
  <c r="U60" i="1"/>
  <c r="P60" i="1"/>
  <c r="F60" i="1"/>
  <c r="Z59" i="1"/>
  <c r="U59" i="1"/>
  <c r="P59" i="1"/>
  <c r="K59" i="1"/>
  <c r="F59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3" i="1"/>
  <c r="C171" i="1"/>
  <c r="C174" i="1"/>
  <c r="C175" i="1"/>
  <c r="C176" i="1"/>
  <c r="C172" i="1"/>
  <c r="C177" i="1"/>
  <c r="C91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3" i="1"/>
  <c r="F164" i="1"/>
  <c r="D164" i="1" s="1"/>
  <c r="F167" i="1"/>
  <c r="F168" i="1"/>
  <c r="D168" i="1" s="1"/>
  <c r="F173" i="1"/>
  <c r="F174" i="1"/>
  <c r="F175" i="1"/>
  <c r="F176" i="1"/>
  <c r="F172" i="1"/>
  <c r="F177" i="1"/>
  <c r="D177" i="1" s="1"/>
  <c r="P91" i="1"/>
  <c r="P177" i="1"/>
  <c r="P172" i="1"/>
  <c r="P176" i="1"/>
  <c r="P175" i="1"/>
  <c r="P174" i="1"/>
  <c r="P171" i="1"/>
  <c r="D171" i="1" s="1"/>
  <c r="P173" i="1"/>
  <c r="P170" i="1"/>
  <c r="D170" i="1" s="1"/>
  <c r="P169" i="1"/>
  <c r="D169" i="1" s="1"/>
  <c r="P168" i="1"/>
  <c r="P167" i="1"/>
  <c r="P166" i="1"/>
  <c r="D166" i="1" s="1"/>
  <c r="P165" i="1"/>
  <c r="D165" i="1" s="1"/>
  <c r="P164" i="1"/>
  <c r="P163" i="1"/>
  <c r="P162" i="1"/>
  <c r="D162" i="1" s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D138" i="1" s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K58" i="1"/>
  <c r="K57" i="1"/>
  <c r="K54" i="1"/>
  <c r="K55" i="1"/>
  <c r="K56" i="1"/>
  <c r="K51" i="1"/>
  <c r="K52" i="1"/>
  <c r="K50" i="1"/>
  <c r="K46" i="1"/>
  <c r="D175" i="1" l="1"/>
  <c r="D167" i="1"/>
  <c r="D160" i="1"/>
  <c r="D156" i="1"/>
  <c r="D152" i="1"/>
  <c r="D148" i="1"/>
  <c r="D144" i="1"/>
  <c r="D140" i="1"/>
  <c r="D135" i="1"/>
  <c r="D131" i="1"/>
  <c r="D127" i="1"/>
  <c r="D123" i="1"/>
  <c r="D119" i="1"/>
  <c r="D115" i="1"/>
  <c r="D111" i="1"/>
  <c r="D174" i="1"/>
  <c r="D159" i="1"/>
  <c r="D155" i="1"/>
  <c r="D151" i="1"/>
  <c r="D147" i="1"/>
  <c r="D143" i="1"/>
  <c r="D139" i="1"/>
  <c r="D134" i="1"/>
  <c r="D130" i="1"/>
  <c r="D126" i="1"/>
  <c r="D122" i="1"/>
  <c r="D118" i="1"/>
  <c r="D114" i="1"/>
  <c r="D172" i="1"/>
  <c r="D173" i="1"/>
  <c r="D163" i="1"/>
  <c r="D158" i="1"/>
  <c r="D154" i="1"/>
  <c r="D150" i="1"/>
  <c r="D146" i="1"/>
  <c r="D142" i="1"/>
  <c r="D137" i="1"/>
  <c r="D133" i="1"/>
  <c r="D129" i="1"/>
  <c r="D125" i="1"/>
  <c r="D121" i="1"/>
  <c r="D117" i="1"/>
  <c r="D113" i="1"/>
  <c r="D176" i="1"/>
  <c r="D161" i="1"/>
  <c r="D157" i="1"/>
  <c r="D153" i="1"/>
  <c r="D149" i="1"/>
  <c r="D145" i="1"/>
  <c r="D141" i="1"/>
  <c r="D136" i="1"/>
  <c r="D132" i="1"/>
  <c r="D128" i="1"/>
  <c r="D124" i="1"/>
  <c r="D120" i="1"/>
  <c r="D116" i="1"/>
  <c r="D112" i="1"/>
  <c r="K75" i="1"/>
  <c r="AD66" i="4"/>
  <c r="D60" i="1"/>
  <c r="D61" i="1"/>
  <c r="D91" i="1"/>
  <c r="D59" i="1"/>
  <c r="Z58" i="1"/>
  <c r="U58" i="1"/>
  <c r="P58" i="1"/>
  <c r="F58" i="1"/>
  <c r="Z57" i="1"/>
  <c r="U57" i="1"/>
  <c r="P57" i="1"/>
  <c r="F57" i="1"/>
  <c r="D58" i="1" l="1"/>
  <c r="D57" i="1"/>
  <c r="C27" i="1" l="1"/>
  <c r="P27" i="1"/>
  <c r="K27" i="1"/>
  <c r="F27" i="1"/>
  <c r="F26" i="1"/>
  <c r="K26" i="1"/>
  <c r="P26" i="1"/>
  <c r="H61" i="4"/>
  <c r="M61" i="4"/>
  <c r="D27" i="1" l="1"/>
  <c r="D26" i="1"/>
  <c r="C26" i="1"/>
  <c r="C196" i="1"/>
  <c r="F196" i="1"/>
  <c r="P196" i="1"/>
  <c r="U196" i="1"/>
  <c r="Z196" i="1"/>
  <c r="AD28" i="4"/>
  <c r="D196" i="1" l="1"/>
  <c r="R511" i="5"/>
  <c r="W511" i="5"/>
  <c r="M205" i="5"/>
  <c r="H205" i="5"/>
  <c r="C205" i="5"/>
  <c r="P50" i="4"/>
  <c r="P48" i="4" s="1"/>
  <c r="F25" i="4"/>
  <c r="F50" i="4" l="1"/>
  <c r="F48" i="4"/>
  <c r="AD30" i="4"/>
  <c r="AB511" i="5"/>
  <c r="R205" i="5"/>
  <c r="W205" i="5"/>
  <c r="F25" i="1"/>
  <c r="C25" i="1"/>
  <c r="F24" i="1"/>
  <c r="AE48" i="4" l="1"/>
  <c r="E48" i="4"/>
  <c r="AB205" i="5"/>
  <c r="D25" i="1"/>
  <c r="Y93" i="4"/>
  <c r="P97" i="1" l="1"/>
  <c r="D97" i="1" s="1"/>
  <c r="C97" i="1"/>
  <c r="O264" i="1" l="1"/>
  <c r="F243" i="1" l="1"/>
  <c r="C197" i="1"/>
  <c r="Z243" i="1" l="1"/>
  <c r="P243" i="1"/>
  <c r="D243" i="1" s="1"/>
  <c r="C243" i="1"/>
  <c r="C24" i="1" l="1"/>
  <c r="C21" i="1"/>
  <c r="E21" i="1"/>
  <c r="Z110" i="1" l="1"/>
  <c r="F110" i="1"/>
  <c r="C110" i="1"/>
  <c r="Z109" i="1"/>
  <c r="U109" i="1"/>
  <c r="P109" i="1"/>
  <c r="F109" i="1"/>
  <c r="D109" i="1" s="1"/>
  <c r="C109" i="1"/>
  <c r="Z56" i="1"/>
  <c r="U56" i="1"/>
  <c r="P56" i="1"/>
  <c r="F56" i="1"/>
  <c r="Z55" i="1"/>
  <c r="U55" i="1"/>
  <c r="P55" i="1"/>
  <c r="Z54" i="1"/>
  <c r="U54" i="1"/>
  <c r="P54" i="1"/>
  <c r="F54" i="1"/>
  <c r="Z53" i="1"/>
  <c r="U53" i="1"/>
  <c r="P53" i="1"/>
  <c r="F53" i="1"/>
  <c r="D110" i="1" l="1"/>
  <c r="U75" i="1"/>
  <c r="D55" i="1"/>
  <c r="D54" i="1"/>
  <c r="D56" i="1"/>
  <c r="D53" i="1"/>
  <c r="F51" i="1"/>
  <c r="AC113" i="4" l="1"/>
  <c r="AB113" i="4"/>
  <c r="AA113" i="4"/>
  <c r="Z113" i="4"/>
  <c r="X113" i="4"/>
  <c r="W113" i="4"/>
  <c r="V113" i="4"/>
  <c r="U113" i="4"/>
  <c r="S113" i="4"/>
  <c r="R113" i="4"/>
  <c r="Q113" i="4"/>
  <c r="N101" i="4"/>
  <c r="N113" i="4" s="1"/>
  <c r="M101" i="4"/>
  <c r="L113" i="4"/>
  <c r="I113" i="4"/>
  <c r="H101" i="4"/>
  <c r="G113" i="4"/>
  <c r="AH96" i="4"/>
  <c r="AG96" i="4"/>
  <c r="AF96" i="4"/>
  <c r="AE96" i="4"/>
  <c r="J95" i="4"/>
  <c r="P113" i="4"/>
  <c r="K113" i="4"/>
  <c r="J87" i="4"/>
  <c r="E87" i="4"/>
  <c r="J79" i="4"/>
  <c r="E79" i="4"/>
  <c r="AH77" i="4"/>
  <c r="AG77" i="4"/>
  <c r="AF77" i="4"/>
  <c r="E77" i="4"/>
  <c r="E82" i="4" s="1"/>
  <c r="AH75" i="4"/>
  <c r="AG75" i="4"/>
  <c r="AF75" i="4"/>
  <c r="J75" i="4"/>
  <c r="AH74" i="4"/>
  <c r="AG74" i="4"/>
  <c r="AF74" i="4"/>
  <c r="J74" i="4"/>
  <c r="H56" i="4"/>
  <c r="AC50" i="4"/>
  <c r="AC107" i="4" s="1"/>
  <c r="AB50" i="4"/>
  <c r="AB107" i="4" s="1"/>
  <c r="AA50" i="4"/>
  <c r="AA107" i="4" s="1"/>
  <c r="X50" i="4"/>
  <c r="X107" i="4" s="1"/>
  <c r="W50" i="4"/>
  <c r="W107" i="4" s="1"/>
  <c r="V50" i="4"/>
  <c r="V107" i="4" s="1"/>
  <c r="S50" i="4"/>
  <c r="R50" i="4"/>
  <c r="Q50" i="4"/>
  <c r="P107" i="4"/>
  <c r="N50" i="4"/>
  <c r="N107" i="4" s="1"/>
  <c r="M50" i="4"/>
  <c r="M107" i="4" s="1"/>
  <c r="L50" i="4"/>
  <c r="L107" i="4" s="1"/>
  <c r="K107" i="4"/>
  <c r="I50" i="4"/>
  <c r="I107" i="4" s="1"/>
  <c r="H50" i="4"/>
  <c r="H107" i="4" s="1"/>
  <c r="G50" i="4"/>
  <c r="G107" i="4" s="1"/>
  <c r="Z107" i="4"/>
  <c r="U107" i="4"/>
  <c r="J38" i="4"/>
  <c r="E38" i="4"/>
  <c r="J32" i="4"/>
  <c r="E32" i="4"/>
  <c r="J31" i="4"/>
  <c r="J50" i="4" s="1"/>
  <c r="E31" i="4"/>
  <c r="E29" i="4"/>
  <c r="AD29" i="4" s="1"/>
  <c r="E27" i="4"/>
  <c r="AD27" i="4" s="1"/>
  <c r="E26" i="4"/>
  <c r="AD26" i="4" s="1"/>
  <c r="E25" i="4"/>
  <c r="AD19" i="4"/>
  <c r="F107" i="4"/>
  <c r="E16" i="4"/>
  <c r="AD16" i="4" s="1"/>
  <c r="E15" i="4"/>
  <c r="AD15" i="4" s="1"/>
  <c r="E13" i="4"/>
  <c r="AD13" i="4" s="1"/>
  <c r="Z267" i="1"/>
  <c r="P267" i="1"/>
  <c r="C267" i="1"/>
  <c r="AB266" i="1"/>
  <c r="AA266" i="1"/>
  <c r="R266" i="1"/>
  <c r="Q266" i="1"/>
  <c r="M266" i="1"/>
  <c r="L266" i="1"/>
  <c r="J266" i="1"/>
  <c r="I266" i="1"/>
  <c r="H266" i="1"/>
  <c r="G266" i="1"/>
  <c r="E266" i="1"/>
  <c r="Z265" i="1"/>
  <c r="P265" i="1"/>
  <c r="AB264" i="1"/>
  <c r="AA264" i="1"/>
  <c r="Y264" i="1"/>
  <c r="S264" i="1"/>
  <c r="R264" i="1"/>
  <c r="Q264" i="1"/>
  <c r="N264" i="1"/>
  <c r="M264" i="1"/>
  <c r="L264" i="1"/>
  <c r="J264" i="1"/>
  <c r="I264" i="1"/>
  <c r="H264" i="1"/>
  <c r="G264" i="1"/>
  <c r="E264" i="1"/>
  <c r="Z257" i="1"/>
  <c r="P257" i="1"/>
  <c r="Z256" i="1"/>
  <c r="P256" i="1"/>
  <c r="Z255" i="1"/>
  <c r="P255" i="1"/>
  <c r="K253" i="1"/>
  <c r="I261" i="1"/>
  <c r="AA248" i="1"/>
  <c r="Y248" i="1"/>
  <c r="V248" i="1"/>
  <c r="T248" i="1"/>
  <c r="S248" i="1"/>
  <c r="P64" i="4" s="1"/>
  <c r="R248" i="1"/>
  <c r="Q64" i="4" s="1"/>
  <c r="Q248" i="1"/>
  <c r="O248" i="1"/>
  <c r="N248" i="1"/>
  <c r="K64" i="4" s="1"/>
  <c r="M248" i="1"/>
  <c r="L64" i="4" s="1"/>
  <c r="L248" i="1"/>
  <c r="J248" i="1"/>
  <c r="I248" i="1"/>
  <c r="F64" i="4" s="1"/>
  <c r="H248" i="1"/>
  <c r="G64" i="4" s="1"/>
  <c r="G248" i="1"/>
  <c r="E248" i="1"/>
  <c r="Z247" i="1"/>
  <c r="D247" i="1" s="1"/>
  <c r="AC248" i="1"/>
  <c r="Z64" i="4" s="1"/>
  <c r="X248" i="1"/>
  <c r="F246" i="1"/>
  <c r="C248" i="1"/>
  <c r="Z108" i="1"/>
  <c r="F108" i="1"/>
  <c r="D108" i="1" s="1"/>
  <c r="C108" i="1"/>
  <c r="Z200" i="1"/>
  <c r="U200" i="1"/>
  <c r="P200" i="1"/>
  <c r="F200" i="1"/>
  <c r="C200" i="1"/>
  <c r="Z206" i="1"/>
  <c r="U206" i="1"/>
  <c r="P206" i="1"/>
  <c r="F206" i="1"/>
  <c r="C206" i="1"/>
  <c r="Z205" i="1"/>
  <c r="U205" i="1"/>
  <c r="P205" i="1"/>
  <c r="F205" i="1"/>
  <c r="C205" i="1"/>
  <c r="Z207" i="1"/>
  <c r="U207" i="1"/>
  <c r="P207" i="1"/>
  <c r="F207" i="1"/>
  <c r="C207" i="1"/>
  <c r="Z197" i="1"/>
  <c r="U197" i="1"/>
  <c r="P197" i="1"/>
  <c r="F197" i="1"/>
  <c r="S244" i="1"/>
  <c r="P104" i="1"/>
  <c r="F104" i="1"/>
  <c r="Z204" i="1"/>
  <c r="U204" i="1"/>
  <c r="P204" i="1"/>
  <c r="F204" i="1"/>
  <c r="C204" i="1"/>
  <c r="Z201" i="1"/>
  <c r="U201" i="1"/>
  <c r="P201" i="1"/>
  <c r="F201" i="1"/>
  <c r="C201" i="1"/>
  <c r="Z198" i="1"/>
  <c r="U198" i="1"/>
  <c r="P198" i="1"/>
  <c r="F198" i="1"/>
  <c r="C198" i="1"/>
  <c r="Z199" i="1"/>
  <c r="U199" i="1"/>
  <c r="P199" i="1"/>
  <c r="F199" i="1"/>
  <c r="C199" i="1"/>
  <c r="Z202" i="1"/>
  <c r="U202" i="1"/>
  <c r="P202" i="1"/>
  <c r="F202" i="1"/>
  <c r="C202" i="1"/>
  <c r="Z203" i="1"/>
  <c r="U203" i="1"/>
  <c r="P203" i="1"/>
  <c r="F203" i="1"/>
  <c r="C203" i="1"/>
  <c r="K84" i="1"/>
  <c r="D84" i="1" s="1"/>
  <c r="C84" i="1"/>
  <c r="K83" i="1"/>
  <c r="C83" i="1"/>
  <c r="K82" i="1"/>
  <c r="C82" i="1"/>
  <c r="C81" i="1"/>
  <c r="D80" i="1"/>
  <c r="K79" i="1"/>
  <c r="Z78" i="1"/>
  <c r="D78" i="1" s="1"/>
  <c r="P102" i="1"/>
  <c r="K88" i="1"/>
  <c r="C88" i="1"/>
  <c r="Q59" i="4"/>
  <c r="K100" i="1"/>
  <c r="D100" i="1" s="1"/>
  <c r="C100" i="1"/>
  <c r="Z93" i="1"/>
  <c r="D93" i="1" s="1"/>
  <c r="Z57" i="4"/>
  <c r="AA57" i="4"/>
  <c r="U57" i="4"/>
  <c r="V57" i="4"/>
  <c r="Q57" i="4"/>
  <c r="L57" i="4"/>
  <c r="Z52" i="1"/>
  <c r="P52" i="1"/>
  <c r="P51" i="1"/>
  <c r="Z49" i="1"/>
  <c r="P46" i="1"/>
  <c r="F45" i="1"/>
  <c r="F75" i="1" s="1"/>
  <c r="AC43" i="1"/>
  <c r="AB43" i="1"/>
  <c r="H64" i="4"/>
  <c r="S43" i="1"/>
  <c r="F23" i="1"/>
  <c r="AC23" i="1"/>
  <c r="AB23" i="1"/>
  <c r="Z23" i="1"/>
  <c r="Y23" i="1"/>
  <c r="X23" i="1"/>
  <c r="W23" i="1"/>
  <c r="U23" i="1"/>
  <c r="T23" i="1"/>
  <c r="S23" i="1"/>
  <c r="R23" i="1"/>
  <c r="O23" i="1"/>
  <c r="N23" i="1"/>
  <c r="M23" i="1"/>
  <c r="J23" i="1"/>
  <c r="I23" i="1"/>
  <c r="H23" i="1"/>
  <c r="G23" i="1"/>
  <c r="C23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L21" i="1"/>
  <c r="J21" i="1"/>
  <c r="I21" i="1"/>
  <c r="H21" i="1"/>
  <c r="G21" i="1"/>
  <c r="Z14" i="1"/>
  <c r="U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581" i="5"/>
  <c r="W513" i="5"/>
  <c r="R513" i="5"/>
  <c r="M513" i="5"/>
  <c r="W512" i="5"/>
  <c r="R512" i="5"/>
  <c r="M512" i="5"/>
  <c r="H512" i="5"/>
  <c r="C512" i="5"/>
  <c r="M503" i="5"/>
  <c r="H503" i="5"/>
  <c r="C503" i="5"/>
  <c r="M491" i="5"/>
  <c r="H491" i="5"/>
  <c r="C491" i="5"/>
  <c r="M483" i="5"/>
  <c r="H483" i="5"/>
  <c r="C483" i="5"/>
  <c r="W173" i="5"/>
  <c r="R173" i="5"/>
  <c r="M173" i="5"/>
  <c r="H173" i="5"/>
  <c r="M130" i="5"/>
  <c r="H130" i="5"/>
  <c r="C114" i="5"/>
  <c r="AB114" i="5" s="1"/>
  <c r="M41" i="5"/>
  <c r="H41" i="5"/>
  <c r="C41" i="5"/>
  <c r="M10" i="5"/>
  <c r="H10" i="5"/>
  <c r="C10" i="5"/>
  <c r="U64" i="4" l="1"/>
  <c r="U244" i="1"/>
  <c r="O261" i="1"/>
  <c r="J33" i="1"/>
  <c r="P23" i="1"/>
  <c r="D14" i="1"/>
  <c r="H269" i="1"/>
  <c r="U11" i="1"/>
  <c r="N43" i="1"/>
  <c r="K56" i="4" s="1"/>
  <c r="H33" i="1"/>
  <c r="T33" i="1"/>
  <c r="W33" i="1"/>
  <c r="R33" i="1"/>
  <c r="E43" i="1"/>
  <c r="Z75" i="1"/>
  <c r="P75" i="1"/>
  <c r="S33" i="1"/>
  <c r="X33" i="1"/>
  <c r="X277" i="1" s="1"/>
  <c r="C102" i="1"/>
  <c r="C244" i="1"/>
  <c r="F248" i="1"/>
  <c r="P253" i="1"/>
  <c r="G33" i="1"/>
  <c r="I33" i="1"/>
  <c r="N33" i="1"/>
  <c r="R591" i="5"/>
  <c r="Q107" i="4"/>
  <c r="AF107" i="4" s="1"/>
  <c r="Q48" i="4"/>
  <c r="AF48" i="4" s="1"/>
  <c r="S107" i="4"/>
  <c r="AH107" i="4" s="1"/>
  <c r="S48" i="4"/>
  <c r="AH48" i="4" s="1"/>
  <c r="R107" i="4"/>
  <c r="R48" i="4"/>
  <c r="AG48" i="4" s="1"/>
  <c r="J82" i="4"/>
  <c r="J111" i="4" s="1"/>
  <c r="C593" i="5"/>
  <c r="C591" i="5" s="1"/>
  <c r="M593" i="5"/>
  <c r="M591" i="5" s="1"/>
  <c r="W593" i="5"/>
  <c r="W591" i="5"/>
  <c r="R593" i="5"/>
  <c r="H113" i="4"/>
  <c r="E101" i="4"/>
  <c r="M113" i="4"/>
  <c r="J101" i="4"/>
  <c r="S261" i="1"/>
  <c r="J261" i="1"/>
  <c r="P252" i="1"/>
  <c r="J269" i="1"/>
  <c r="O57" i="4"/>
  <c r="Y57" i="4"/>
  <c r="O64" i="4"/>
  <c r="P11" i="1"/>
  <c r="T57" i="4"/>
  <c r="O59" i="4"/>
  <c r="AD95" i="4"/>
  <c r="Y113" i="4"/>
  <c r="T113" i="4"/>
  <c r="D255" i="1"/>
  <c r="D257" i="1"/>
  <c r="Z268" i="1"/>
  <c r="D256" i="1"/>
  <c r="K264" i="1"/>
  <c r="D267" i="1"/>
  <c r="D265" i="1"/>
  <c r="AD31" i="4"/>
  <c r="N261" i="1"/>
  <c r="K244" i="1"/>
  <c r="K57" i="4"/>
  <c r="J57" i="4" s="1"/>
  <c r="C37" i="1"/>
  <c r="H593" i="5"/>
  <c r="H591" i="5" s="1"/>
  <c r="AD32" i="4"/>
  <c r="AD25" i="4"/>
  <c r="K102" i="1"/>
  <c r="J107" i="4"/>
  <c r="J61" i="4"/>
  <c r="K59" i="4"/>
  <c r="K266" i="1"/>
  <c r="F253" i="1"/>
  <c r="F261" i="1" s="1"/>
  <c r="AA43" i="1"/>
  <c r="D82" i="1"/>
  <c r="R269" i="1"/>
  <c r="AC33" i="1"/>
  <c r="Y43" i="1"/>
  <c r="D88" i="1"/>
  <c r="D104" i="1"/>
  <c r="F43" i="1"/>
  <c r="J43" i="1"/>
  <c r="I43" i="1"/>
  <c r="F56" i="4" s="1"/>
  <c r="O43" i="1"/>
  <c r="G43" i="1"/>
  <c r="H43" i="1"/>
  <c r="G56" i="4" s="1"/>
  <c r="D207" i="1"/>
  <c r="Z56" i="4"/>
  <c r="P56" i="4"/>
  <c r="T43" i="1"/>
  <c r="AB173" i="5"/>
  <c r="AE107" i="4"/>
  <c r="F244" i="1"/>
  <c r="L43" i="1"/>
  <c r="Q43" i="1"/>
  <c r="V43" i="1"/>
  <c r="AA56" i="4"/>
  <c r="R43" i="1"/>
  <c r="Q56" i="4" s="1"/>
  <c r="V56" i="4"/>
  <c r="O111" i="4"/>
  <c r="AH113" i="4"/>
  <c r="F102" i="1"/>
  <c r="AF113" i="4"/>
  <c r="AG107" i="4"/>
  <c r="AE101" i="4"/>
  <c r="F113" i="4"/>
  <c r="AE113" i="4" s="1"/>
  <c r="H102" i="1"/>
  <c r="G59" i="4" s="1"/>
  <c r="I102" i="1"/>
  <c r="F59" i="4" s="1"/>
  <c r="E111" i="4"/>
  <c r="U111" i="4"/>
  <c r="C253" i="1"/>
  <c r="Z253" i="1"/>
  <c r="Z252" i="1" s="1"/>
  <c r="Z251" i="1" s="1"/>
  <c r="H57" i="4"/>
  <c r="E57" i="4" s="1"/>
  <c r="Q33" i="1"/>
  <c r="E23" i="1"/>
  <c r="E33" i="1" s="1"/>
  <c r="C15" i="1"/>
  <c r="U43" i="1"/>
  <c r="I269" i="1"/>
  <c r="I271" i="1" s="1"/>
  <c r="N269" i="1"/>
  <c r="AA269" i="1"/>
  <c r="E269" i="1"/>
  <c r="Q269" i="1"/>
  <c r="AB269" i="1"/>
  <c r="M269" i="1"/>
  <c r="G269" i="1"/>
  <c r="L269" i="1"/>
  <c r="K62" i="4"/>
  <c r="P62" i="4"/>
  <c r="V62" i="4"/>
  <c r="U62" i="4"/>
  <c r="L62" i="4"/>
  <c r="R244" i="1"/>
  <c r="Q62" i="4" s="1"/>
  <c r="Z62" i="4"/>
  <c r="Y62" i="4" s="1"/>
  <c r="F21" i="1"/>
  <c r="AA59" i="4"/>
  <c r="H261" i="1"/>
  <c r="M261" i="1"/>
  <c r="AB261" i="1"/>
  <c r="E261" i="1"/>
  <c r="AA261" i="1"/>
  <c r="AG101" i="4"/>
  <c r="AD79" i="4"/>
  <c r="AH82" i="4"/>
  <c r="AH101" i="4"/>
  <c r="X261" i="1"/>
  <c r="X271" i="1" s="1"/>
  <c r="AB491" i="5"/>
  <c r="Z264" i="1"/>
  <c r="AF82" i="4"/>
  <c r="AB41" i="5"/>
  <c r="AB483" i="5"/>
  <c r="AF50" i="4"/>
  <c r="AD87" i="4"/>
  <c r="G261" i="1"/>
  <c r="Q261" i="1"/>
  <c r="Z11" i="1"/>
  <c r="P264" i="1"/>
  <c r="AB512" i="5"/>
  <c r="AB130" i="5"/>
  <c r="AB513" i="5"/>
  <c r="AB503" i="5"/>
  <c r="AD92" i="4"/>
  <c r="E93" i="4"/>
  <c r="AF101" i="4"/>
  <c r="E17" i="4"/>
  <c r="AD17" i="4" s="1"/>
  <c r="Y107" i="4"/>
  <c r="AG50" i="4"/>
  <c r="I104" i="4"/>
  <c r="S104" i="4"/>
  <c r="AC104" i="4"/>
  <c r="T111" i="4"/>
  <c r="O50" i="4"/>
  <c r="AH50" i="4"/>
  <c r="J93" i="4"/>
  <c r="AD78" i="4"/>
  <c r="AG82" i="4"/>
  <c r="AE50" i="4"/>
  <c r="D12" i="1"/>
  <c r="Y33" i="1"/>
  <c r="D46" i="1"/>
  <c r="W104" i="4"/>
  <c r="AB33" i="1"/>
  <c r="D50" i="1"/>
  <c r="K252" i="1"/>
  <c r="T50" i="4"/>
  <c r="T107" i="4" s="1"/>
  <c r="N104" i="4"/>
  <c r="X104" i="4"/>
  <c r="AD75" i="4"/>
  <c r="AD77" i="4"/>
  <c r="AB10" i="5"/>
  <c r="P251" i="1"/>
  <c r="R104" i="4"/>
  <c r="AB104" i="4"/>
  <c r="D51" i="1"/>
  <c r="C19" i="1"/>
  <c r="D202" i="1"/>
  <c r="D201" i="1"/>
  <c r="D204" i="1"/>
  <c r="D45" i="1"/>
  <c r="K11" i="1"/>
  <c r="V33" i="1"/>
  <c r="D197" i="1"/>
  <c r="D206" i="1"/>
  <c r="D200" i="1"/>
  <c r="Y261" i="1"/>
  <c r="P263" i="1"/>
  <c r="P266" i="1"/>
  <c r="Z266" i="1"/>
  <c r="S269" i="1"/>
  <c r="D198" i="1"/>
  <c r="C11" i="1"/>
  <c r="D13" i="1"/>
  <c r="F11" i="1"/>
  <c r="AA33" i="1"/>
  <c r="D203" i="1"/>
  <c r="W248" i="1"/>
  <c r="D49" i="1"/>
  <c r="D52" i="1"/>
  <c r="Z79" i="1"/>
  <c r="D79" i="1" s="1"/>
  <c r="D199" i="1"/>
  <c r="D205" i="1"/>
  <c r="W261" i="1"/>
  <c r="C264" i="1"/>
  <c r="U252" i="1"/>
  <c r="D37" i="1"/>
  <c r="V261" i="1"/>
  <c r="K268" i="1"/>
  <c r="M33" i="1"/>
  <c r="C20" i="1"/>
  <c r="AB248" i="1"/>
  <c r="Z246" i="1"/>
  <c r="D246" i="1" s="1"/>
  <c r="D248" i="1" s="1"/>
  <c r="E64" i="4"/>
  <c r="L261" i="1"/>
  <c r="R261" i="1"/>
  <c r="T261" i="1"/>
  <c r="T271" i="1" s="1"/>
  <c r="AC261" i="1"/>
  <c r="Z263" i="1"/>
  <c r="F266" i="1"/>
  <c r="O266" i="1"/>
  <c r="O269" i="1" s="1"/>
  <c r="C266" i="1"/>
  <c r="J64" i="4"/>
  <c r="Y269" i="1"/>
  <c r="AH69" i="4"/>
  <c r="T277" i="1" l="1"/>
  <c r="F33" i="1"/>
  <c r="D263" i="1"/>
  <c r="D264" i="1"/>
  <c r="D253" i="1"/>
  <c r="O271" i="1"/>
  <c r="D252" i="1"/>
  <c r="E59" i="4"/>
  <c r="D244" i="1"/>
  <c r="Z244" i="1"/>
  <c r="D75" i="1"/>
  <c r="AG113" i="4"/>
  <c r="U55" i="4"/>
  <c r="U33" i="1"/>
  <c r="U277" i="1" s="1"/>
  <c r="P33" i="1"/>
  <c r="P43" i="1"/>
  <c r="J271" i="1"/>
  <c r="J277" i="1" s="1"/>
  <c r="J275" i="1" s="1"/>
  <c r="O107" i="4"/>
  <c r="O48" i="4"/>
  <c r="AD48" i="4" s="1"/>
  <c r="P244" i="1"/>
  <c r="P261" i="1"/>
  <c r="Y56" i="4"/>
  <c r="O62" i="4"/>
  <c r="O56" i="4"/>
  <c r="T62" i="4"/>
  <c r="Y59" i="4"/>
  <c r="K43" i="1"/>
  <c r="O113" i="4"/>
  <c r="T275" i="1"/>
  <c r="D266" i="1"/>
  <c r="G55" i="4"/>
  <c r="V55" i="4"/>
  <c r="H55" i="4"/>
  <c r="I277" i="1"/>
  <c r="I275" i="1" s="1"/>
  <c r="U65" i="4"/>
  <c r="AA271" i="1"/>
  <c r="AA277" i="1" s="1"/>
  <c r="AA275" i="1" s="1"/>
  <c r="Y271" i="1"/>
  <c r="AD38" i="4"/>
  <c r="AD50" i="4" s="1"/>
  <c r="AB581" i="5"/>
  <c r="AB593" i="5" s="1"/>
  <c r="AB591" i="5" s="1"/>
  <c r="AD57" i="4"/>
  <c r="L33" i="1"/>
  <c r="K24" i="1"/>
  <c r="D24" i="1" s="1"/>
  <c r="J113" i="4"/>
  <c r="I115" i="4"/>
  <c r="I102" i="4"/>
  <c r="AC115" i="4"/>
  <c r="AC102" i="4"/>
  <c r="N115" i="4"/>
  <c r="N102" i="4"/>
  <c r="X115" i="4"/>
  <c r="X102" i="4"/>
  <c r="S115" i="4"/>
  <c r="S102" i="4"/>
  <c r="C261" i="1"/>
  <c r="R115" i="4"/>
  <c r="R102" i="4"/>
  <c r="W115" i="4"/>
  <c r="W102" i="4"/>
  <c r="AB115" i="4"/>
  <c r="AB102" i="4"/>
  <c r="E113" i="4"/>
  <c r="AB271" i="1"/>
  <c r="AA65" i="4" s="1"/>
  <c r="S271" i="1"/>
  <c r="P65" i="4" s="1"/>
  <c r="O65" i="4" s="1"/>
  <c r="Z102" i="1"/>
  <c r="M43" i="1"/>
  <c r="L56" i="4" s="1"/>
  <c r="J56" i="4" s="1"/>
  <c r="E50" i="4"/>
  <c r="E107" i="4" s="1"/>
  <c r="C43" i="1"/>
  <c r="AE74" i="4"/>
  <c r="Z111" i="4"/>
  <c r="AE111" i="4" s="1"/>
  <c r="Y111" i="4"/>
  <c r="J62" i="4"/>
  <c r="E61" i="4"/>
  <c r="AD61" i="4" s="1"/>
  <c r="N271" i="1"/>
  <c r="K65" i="4" s="1"/>
  <c r="J65" i="4" s="1"/>
  <c r="L271" i="1"/>
  <c r="G271" i="1"/>
  <c r="G277" i="1" s="1"/>
  <c r="R271" i="1"/>
  <c r="R277" i="1" s="1"/>
  <c r="V271" i="1"/>
  <c r="V277" i="1" s="1"/>
  <c r="Q271" i="1"/>
  <c r="Q277" i="1" s="1"/>
  <c r="H271" i="1"/>
  <c r="H277" i="1" s="1"/>
  <c r="W271" i="1"/>
  <c r="V65" i="4" s="1"/>
  <c r="M271" i="1"/>
  <c r="E271" i="1"/>
  <c r="E277" i="1" s="1"/>
  <c r="E275" i="1" s="1"/>
  <c r="K269" i="1"/>
  <c r="F269" i="1"/>
  <c r="P269" i="1"/>
  <c r="AC269" i="1"/>
  <c r="Z269" i="1" s="1"/>
  <c r="P268" i="1"/>
  <c r="D268" i="1" s="1"/>
  <c r="Q55" i="4"/>
  <c r="P55" i="4"/>
  <c r="F55" i="4"/>
  <c r="F69" i="4" s="1"/>
  <c r="F67" i="4" s="1"/>
  <c r="AD74" i="4"/>
  <c r="U251" i="1"/>
  <c r="D251" i="1" s="1"/>
  <c r="C269" i="1"/>
  <c r="AH104" i="4"/>
  <c r="D11" i="1"/>
  <c r="Z55" i="4"/>
  <c r="AA64" i="4"/>
  <c r="Y64" i="4" s="1"/>
  <c r="V64" i="4"/>
  <c r="T64" i="4" s="1"/>
  <c r="AD93" i="4"/>
  <c r="AD101" i="4" s="1"/>
  <c r="U56" i="4"/>
  <c r="T56" i="4" s="1"/>
  <c r="AE77" i="4"/>
  <c r="AE75" i="4"/>
  <c r="D43" i="1"/>
  <c r="E56" i="4"/>
  <c r="L55" i="4"/>
  <c r="K55" i="4"/>
  <c r="K261" i="1"/>
  <c r="Z248" i="1"/>
  <c r="U261" i="1"/>
  <c r="U271" i="1" s="1"/>
  <c r="Z33" i="1" l="1"/>
  <c r="AH115" i="4"/>
  <c r="AH102" i="4"/>
  <c r="T55" i="4"/>
  <c r="C271" i="1"/>
  <c r="O55" i="4"/>
  <c r="AD82" i="4"/>
  <c r="AD111" i="4" s="1"/>
  <c r="S277" i="1"/>
  <c r="S275" i="1" s="1"/>
  <c r="D261" i="1"/>
  <c r="T65" i="4"/>
  <c r="AD113" i="4"/>
  <c r="AB277" i="1"/>
  <c r="AB275" i="1" s="1"/>
  <c r="Q275" i="1"/>
  <c r="M277" i="1"/>
  <c r="M275" i="1" s="1"/>
  <c r="V275" i="1"/>
  <c r="N277" i="1"/>
  <c r="N275" i="1" s="1"/>
  <c r="D269" i="1"/>
  <c r="K23" i="1"/>
  <c r="AC271" i="1"/>
  <c r="AC277" i="1" s="1"/>
  <c r="AD62" i="4"/>
  <c r="AD107" i="4"/>
  <c r="AE82" i="4"/>
  <c r="AD56" i="4"/>
  <c r="AD64" i="4"/>
  <c r="K69" i="4"/>
  <c r="F271" i="1"/>
  <c r="F277" i="1" s="1"/>
  <c r="F275" i="1" s="1"/>
  <c r="Q69" i="4"/>
  <c r="Q67" i="4" s="1"/>
  <c r="L69" i="4"/>
  <c r="L67" i="4" s="1"/>
  <c r="K271" i="1"/>
  <c r="P271" i="1"/>
  <c r="E55" i="4"/>
  <c r="P69" i="4"/>
  <c r="R275" i="1"/>
  <c r="H65" i="4"/>
  <c r="H69" i="4" s="1"/>
  <c r="H67" i="4" s="1"/>
  <c r="G275" i="1"/>
  <c r="G65" i="4"/>
  <c r="G69" i="4" s="1"/>
  <c r="G67" i="4" s="1"/>
  <c r="H275" i="1"/>
  <c r="AA55" i="4"/>
  <c r="AA69" i="4" s="1"/>
  <c r="AA67" i="4" s="1"/>
  <c r="Z261" i="1"/>
  <c r="Z271" i="1" s="1"/>
  <c r="J59" i="4"/>
  <c r="K33" i="1" l="1"/>
  <c r="D23" i="1"/>
  <c r="D33" i="1" s="1"/>
  <c r="D271" i="1"/>
  <c r="P277" i="1"/>
  <c r="P275" i="1" s="1"/>
  <c r="Y55" i="4"/>
  <c r="P67" i="4"/>
  <c r="O67" i="4" s="1"/>
  <c r="O69" i="4"/>
  <c r="E67" i="4"/>
  <c r="M55" i="4"/>
  <c r="M69" i="4" s="1"/>
  <c r="M67" i="4" s="1"/>
  <c r="AG67" i="4" s="1"/>
  <c r="L277" i="1"/>
  <c r="L275" i="1" s="1"/>
  <c r="K104" i="4"/>
  <c r="K102" i="4" s="1"/>
  <c r="K67" i="4"/>
  <c r="AC275" i="1"/>
  <c r="Z65" i="4"/>
  <c r="Y65" i="4" s="1"/>
  <c r="P109" i="4"/>
  <c r="K109" i="4"/>
  <c r="AA109" i="4"/>
  <c r="H109" i="4"/>
  <c r="L104" i="4"/>
  <c r="L109" i="4"/>
  <c r="Q104" i="4"/>
  <c r="Q109" i="4"/>
  <c r="P104" i="4"/>
  <c r="E65" i="4"/>
  <c r="AA104" i="4"/>
  <c r="AA102" i="4" s="1"/>
  <c r="H104" i="4"/>
  <c r="O104" i="4" l="1"/>
  <c r="J55" i="4"/>
  <c r="M104" i="4"/>
  <c r="M115" i="4" s="1"/>
  <c r="AG69" i="4"/>
  <c r="AG104" i="4" s="1"/>
  <c r="M109" i="4"/>
  <c r="AG109" i="4" s="1"/>
  <c r="J67" i="4"/>
  <c r="Z69" i="4"/>
  <c r="Z104" i="4" s="1"/>
  <c r="E69" i="4"/>
  <c r="E104" i="4" s="1"/>
  <c r="E102" i="4" s="1"/>
  <c r="AD65" i="4"/>
  <c r="AA115" i="4"/>
  <c r="P115" i="4"/>
  <c r="P102" i="4"/>
  <c r="Q115" i="4"/>
  <c r="Q102" i="4"/>
  <c r="K115" i="4"/>
  <c r="L115" i="4"/>
  <c r="L102" i="4"/>
  <c r="H115" i="4"/>
  <c r="H102" i="4"/>
  <c r="F109" i="4"/>
  <c r="G109" i="4"/>
  <c r="F104" i="4"/>
  <c r="G104" i="4"/>
  <c r="Y69" i="4"/>
  <c r="J69" i="4" l="1"/>
  <c r="J104" i="4" s="1"/>
  <c r="J102" i="4" s="1"/>
  <c r="AD55" i="4"/>
  <c r="AG115" i="4"/>
  <c r="AG102" i="4"/>
  <c r="O102" i="4"/>
  <c r="M102" i="4"/>
  <c r="Z67" i="4"/>
  <c r="Y67" i="4" s="1"/>
  <c r="Z109" i="4"/>
  <c r="G115" i="4"/>
  <c r="G102" i="4"/>
  <c r="F115" i="4"/>
  <c r="F102" i="4"/>
  <c r="E109" i="4"/>
  <c r="E115" i="4"/>
  <c r="O109" i="4"/>
  <c r="Y109" i="4"/>
  <c r="W102" i="1"/>
  <c r="J115" i="4" l="1"/>
  <c r="J109" i="4"/>
  <c r="Z115" i="4"/>
  <c r="Y104" i="4"/>
  <c r="Y115" i="4" s="1"/>
  <c r="V59" i="4"/>
  <c r="V69" i="4" s="1"/>
  <c r="V67" i="4" s="1"/>
  <c r="W277" i="1"/>
  <c r="W275" i="1" s="1"/>
  <c r="Z102" i="4"/>
  <c r="Y102" i="4" s="1"/>
  <c r="O115" i="4"/>
  <c r="U83" i="1"/>
  <c r="U59" i="4"/>
  <c r="U69" i="4" s="1"/>
  <c r="D83" i="1" l="1"/>
  <c r="D102" i="1" s="1"/>
  <c r="D277" i="1" s="1"/>
  <c r="D275" i="1" s="1"/>
  <c r="U275" i="1"/>
  <c r="T59" i="4"/>
  <c r="AD59" i="4" s="1"/>
  <c r="AD69" i="4" s="1"/>
  <c r="AD104" i="4" s="1"/>
  <c r="U67" i="4"/>
  <c r="T67" i="4" s="1"/>
  <c r="AD67" i="4" s="1"/>
  <c r="AF67" i="4"/>
  <c r="AF69" i="4"/>
  <c r="AF104" i="4" s="1"/>
  <c r="V104" i="4"/>
  <c r="V115" i="4" s="1"/>
  <c r="V109" i="4"/>
  <c r="AF109" i="4" s="1"/>
  <c r="X275" i="1"/>
  <c r="AF115" i="4" l="1"/>
  <c r="AF102" i="4"/>
  <c r="V102" i="4"/>
  <c r="T102" i="4" s="1"/>
  <c r="AD102" i="4" s="1"/>
  <c r="AE67" i="4" l="1"/>
  <c r="T69" i="4"/>
  <c r="T109" i="4" s="1"/>
  <c r="AE69" i="4"/>
  <c r="U104" i="4"/>
  <c r="U109" i="4"/>
  <c r="AE109" i="4" s="1"/>
  <c r="AD115" i="4"/>
  <c r="AD109" i="4"/>
  <c r="AE104" i="4" l="1"/>
  <c r="AE102" i="4" s="1"/>
  <c r="U115" i="4"/>
  <c r="T104" i="4"/>
  <c r="T115" i="4" s="1"/>
  <c r="U102" i="4"/>
  <c r="C17" i="1"/>
  <c r="AE115" i="4" l="1"/>
  <c r="O33" i="1"/>
  <c r="O277" i="1" s="1"/>
  <c r="O275" i="1" s="1"/>
  <c r="C16" i="1"/>
  <c r="C33" i="1" s="1"/>
  <c r="K277" i="1"/>
  <c r="K275" i="1" s="1"/>
  <c r="Y277" i="1"/>
  <c r="Y275" i="1" s="1"/>
  <c r="Z277" i="1"/>
  <c r="Z275" i="1" s="1"/>
</calcChain>
</file>

<file path=xl/comments1.xml><?xml version="1.0" encoding="utf-8"?>
<comments xmlns="http://schemas.openxmlformats.org/spreadsheetml/2006/main">
  <authors>
    <author>Щербакова Екатерина Александровна</author>
    <author>krasnova.ai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64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G106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<sst xmlns="http://schemas.openxmlformats.org/spreadsheetml/2006/main" count="2575" uniqueCount="1434">
  <si>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</si>
  <si>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</si>
  <si>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</si>
  <si>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</si>
  <si>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</si>
  <si>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</si>
  <si>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</si>
  <si>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</si>
  <si>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</si>
  <si>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</si>
  <si>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</si>
  <si>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</si>
  <si>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</si>
  <si>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</si>
  <si>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Стоимость работ по годам, тыс.руб.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</si>
  <si>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</si>
  <si>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</si>
  <si>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</si>
  <si>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</si>
  <si>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</si>
  <si>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</si>
  <si>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</si>
  <si>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</si>
  <si>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</si>
  <si>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</si>
  <si>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</si>
  <si>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</si>
  <si>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</si>
  <si>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</si>
  <si>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Казачья в жилой застройке  микрорайона Жигулевское море от ул. Ивана Красюка  до ул. Бориса Коваленко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</si>
  <si>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</si>
  <si>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</si>
  <si>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</si>
  <si>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</si>
  <si>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</si>
  <si>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</si>
  <si>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</si>
  <si>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</si>
  <si>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</si>
  <si>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</si>
  <si>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</si>
  <si>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</si>
  <si>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</si>
  <si>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3.1.</t>
  </si>
  <si>
    <t>3.2.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</si>
  <si>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</si>
  <si>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</si>
  <si>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</si>
  <si>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</si>
  <si>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</si>
  <si>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</si>
  <si>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</si>
  <si>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</si>
  <si>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</si>
  <si>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</si>
  <si>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</si>
  <si>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</si>
  <si>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</si>
  <si>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</si>
  <si>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</si>
  <si>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</si>
  <si>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</si>
  <si>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</si>
  <si>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</si>
  <si>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</si>
  <si>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</si>
  <si>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</si>
  <si>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</si>
  <si>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</si>
  <si>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</si>
  <si>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</si>
  <si>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</si>
  <si>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</si>
  <si>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</si>
  <si>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</si>
  <si>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</si>
  <si>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</si>
  <si>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</si>
  <si>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</si>
  <si>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</si>
  <si>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</si>
  <si>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Центральный район:</t>
  </si>
  <si>
    <t>Комсомольский район: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</si>
  <si>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</si>
  <si>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</si>
  <si>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</si>
  <si>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Автодороги микрорайона Тимофеевка-2</t>
  </si>
  <si>
    <t>Автодороги микрорайона Федоровка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</si>
  <si>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</si>
  <si>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</si>
  <si>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</si>
  <si>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Итого Центральный район:</t>
  </si>
  <si>
    <t>Автодороги микрорайона Загородный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</si>
  <si>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</si>
  <si>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</si>
  <si>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</si>
  <si>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</si>
  <si>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</si>
  <si>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</si>
  <si>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</si>
  <si>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</si>
  <si>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</si>
  <si>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</si>
  <si>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</si>
  <si>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</si>
  <si>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</si>
  <si>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</si>
  <si>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</si>
  <si>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</si>
  <si>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</si>
  <si>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</si>
  <si>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</si>
  <si>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</si>
  <si>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</si>
  <si>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</si>
  <si>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</si>
  <si>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</si>
  <si>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</si>
  <si>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</si>
  <si>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</si>
  <si>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</si>
  <si>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</si>
  <si>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</si>
  <si>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</si>
  <si>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</si>
  <si>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</si>
  <si>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</si>
  <si>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</si>
  <si>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</si>
  <si>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</si>
  <si>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</si>
  <si>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</si>
  <si>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</si>
  <si>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</si>
  <si>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</si>
  <si>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</si>
  <si>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</si>
  <si>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</si>
  <si>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</si>
  <si>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</si>
  <si>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</si>
  <si>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</si>
  <si>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</si>
  <si>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</si>
  <si>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</si>
  <si>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</si>
  <si>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</si>
  <si>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</si>
  <si>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</si>
  <si>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</si>
  <si>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</si>
  <si>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</si>
  <si>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</si>
  <si>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</si>
  <si>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</si>
  <si>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</si>
  <si>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</si>
  <si>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</si>
  <si>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Устройство парковочных площадок, карманов  и стоянок, в т.ч.: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</si>
  <si>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</si>
  <si>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</si>
  <si>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</si>
  <si>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</si>
  <si>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</si>
  <si>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</si>
  <si>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</si>
  <si>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</si>
  <si>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</si>
  <si>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</si>
  <si>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</si>
  <si>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</si>
  <si>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</si>
  <si>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</si>
  <si>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</si>
  <si>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</si>
  <si>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</si>
  <si>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</si>
  <si>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</si>
  <si>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</si>
  <si>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</si>
  <si>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</si>
  <si>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</si>
  <si>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</si>
  <si>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</si>
  <si>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</si>
  <si>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</si>
  <si>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</si>
  <si>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</si>
  <si>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</si>
  <si>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</si>
  <si>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</si>
  <si>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</si>
  <si>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</si>
  <si>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</si>
  <si>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</si>
  <si>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</si>
  <si>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</si>
  <si>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</si>
  <si>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</si>
  <si>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</si>
  <si>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</si>
  <si>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</si>
  <si>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</si>
  <si>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</si>
  <si>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</si>
  <si>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</si>
  <si>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</si>
  <si>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</si>
  <si>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</si>
  <si>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Протяженность установленных пешеходных ограждений</t>
  </si>
  <si>
    <t xml:space="preserve">Устройство парковочных площадок, карманов и стоянок                                   </t>
  </si>
  <si>
    <t>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</si>
  <si>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</si>
  <si>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</si>
  <si>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</si>
  <si>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</si>
  <si>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</si>
  <si>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</si>
  <si>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</si>
  <si>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</si>
  <si>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</si>
  <si>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</si>
  <si>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</si>
  <si>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</si>
  <si>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</si>
  <si>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</si>
  <si>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</si>
  <si>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</si>
  <si>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</si>
  <si>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</si>
  <si>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</si>
  <si>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</si>
  <si>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</si>
  <si>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</si>
  <si>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</si>
  <si>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</si>
  <si>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</si>
  <si>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</si>
  <si>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</si>
  <si>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</si>
  <si>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</si>
  <si>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</si>
  <si>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</si>
  <si>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</si>
  <si>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</si>
  <si>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</si>
  <si>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</si>
  <si>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</si>
  <si>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</si>
  <si>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</si>
  <si>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</si>
  <si>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</si>
  <si>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</si>
  <si>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</si>
  <si>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</si>
  <si>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</si>
  <si>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</si>
  <si>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</si>
  <si>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</si>
  <si>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</si>
  <si>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</si>
  <si>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</si>
  <si>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</si>
  <si>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</si>
  <si>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</si>
  <si>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</si>
  <si>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</si>
  <si>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</si>
  <si>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</si>
  <si>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</si>
  <si>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</si>
  <si>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</si>
  <si>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</si>
  <si>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</si>
  <si>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</si>
  <si>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</si>
  <si>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</si>
  <si>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</si>
  <si>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</si>
  <si>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</si>
  <si>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</si>
  <si>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линий наружного освещения ООТ "Парк-хаус"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</si>
  <si>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</si>
  <si>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</si>
  <si>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</si>
  <si>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</si>
  <si>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</si>
  <si>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</si>
  <si>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</si>
  <si>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</si>
  <si>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</si>
  <si>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</si>
  <si>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</si>
  <si>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</si>
  <si>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</si>
  <si>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</si>
  <si>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</si>
  <si>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</si>
  <si>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</si>
  <si>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</si>
  <si>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</si>
  <si>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</si>
  <si>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</si>
  <si>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</si>
  <si>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</si>
  <si>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</si>
  <si>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</si>
  <si>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</si>
  <si>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</si>
  <si>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</si>
  <si>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</si>
  <si>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</si>
  <si>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</si>
  <si>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</si>
  <si>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</si>
  <si>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</si>
  <si>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</si>
  <si>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</si>
  <si>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</si>
  <si>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</si>
  <si>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</si>
  <si>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 Тольятти, ул.Автостроителей, д. №17, 38 ООТ "Школа №82"</t>
  </si>
  <si>
    <t>план на 2023: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</si>
  <si>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</si>
  <si>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</si>
  <si>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</si>
  <si>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</si>
  <si>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</si>
  <si>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</si>
  <si>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</si>
  <si>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</si>
  <si>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</si>
  <si>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</si>
  <si>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</si>
  <si>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</si>
  <si>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</si>
  <si>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</si>
  <si>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</si>
  <si>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</si>
  <si>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</si>
  <si>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</si>
  <si>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</si>
  <si>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</si>
  <si>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</si>
  <si>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</si>
  <si>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</si>
  <si>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</si>
  <si>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</si>
  <si>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</si>
  <si>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</si>
  <si>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</si>
  <si>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</si>
  <si>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</si>
  <si>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</si>
  <si>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</si>
  <si>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Осуществление технологического присоединения энергопринимающих устройств к электрическим сетям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</si>
  <si>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</si>
  <si>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</si>
  <si>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</si>
  <si>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</si>
  <si>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</si>
  <si>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</si>
  <si>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</si>
  <si>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</si>
  <si>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</si>
  <si>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</si>
  <si>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</si>
  <si>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</si>
  <si>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</si>
  <si>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Проектно-изыскательские работы по строительству улично-дорожной сети в мкр. "Тимофеевка-2"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</si>
  <si>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</si>
  <si>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</si>
  <si>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</si>
  <si>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</si>
  <si>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Проектирование устройства парковочных площадок (карманов и стоянок), в т.ч.: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</si>
  <si>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</si>
  <si>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</si>
  <si>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</si>
  <si>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</si>
  <si>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</si>
  <si>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</si>
  <si>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</si>
  <si>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</si>
  <si>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</si>
  <si>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</si>
  <si>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</si>
  <si>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</si>
  <si>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</si>
  <si>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</si>
  <si>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</si>
  <si>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</si>
  <si>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</si>
  <si>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</si>
  <si>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</si>
  <si>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</si>
  <si>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</si>
  <si>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</si>
  <si>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</si>
  <si>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</si>
  <si>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</si>
  <si>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</si>
  <si>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</si>
  <si>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</si>
  <si>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</si>
  <si>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</si>
  <si>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</si>
  <si>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</si>
  <si>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</si>
  <si>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</si>
  <si>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</si>
  <si>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Выполнение работ по обеспечению безопасности участников дорожного движения, в т.ч.: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</si>
  <si>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</si>
  <si>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</si>
  <si>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</si>
  <si>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</si>
  <si>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Количество отремонтированных путем капитального ремонта и ремонта путепроводов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</si>
  <si>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</si>
  <si>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</si>
  <si>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</si>
  <si>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</si>
  <si>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</si>
  <si>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</si>
  <si>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</si>
  <si>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</si>
  <si>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</si>
  <si>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</si>
  <si>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</si>
  <si>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</si>
  <si>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</si>
  <si>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</si>
  <si>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</si>
  <si>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</si>
  <si>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</si>
  <si>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</si>
  <si>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</si>
  <si>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</si>
  <si>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</si>
  <si>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</si>
  <si>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</si>
  <si>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</si>
  <si>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</si>
  <si>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</si>
  <si>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</si>
  <si>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</si>
  <si>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</si>
  <si>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</si>
  <si>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</si>
  <si>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</si>
  <si>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</si>
  <si>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</si>
  <si>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</si>
  <si>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</si>
  <si>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</si>
  <si>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</si>
  <si>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</si>
  <si>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</si>
  <si>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</si>
  <si>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</si>
  <si>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</si>
  <si>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</si>
  <si>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</si>
  <si>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</si>
  <si>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</si>
  <si>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</si>
  <si>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</si>
  <si>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</si>
  <si>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</si>
  <si>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</si>
  <si>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</si>
  <si>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</si>
  <si>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</si>
  <si>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</si>
  <si>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</si>
  <si>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</si>
  <si>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</si>
  <si>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</si>
  <si>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</si>
  <si>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</si>
  <si>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</si>
  <si>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</si>
  <si>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</si>
  <si>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</si>
  <si>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</si>
  <si>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</si>
  <si>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</si>
  <si>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</si>
  <si>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</si>
  <si>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</si>
  <si>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2.1.1.5.</t>
  </si>
  <si>
    <t>Итого по объектам строительства по разделу 2.1.1:</t>
  </si>
  <si>
    <t>2.1.2.1.</t>
  </si>
  <si>
    <t>2.1.2.2.</t>
  </si>
  <si>
    <t>2.1.2.3.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</si>
  <si>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</si>
  <si>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</si>
  <si>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</si>
  <si>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</si>
  <si>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</si>
  <si>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</si>
  <si>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2.1.3.23.</t>
  </si>
  <si>
    <t>Итого по  объектам проектирования строительства, реконструкции, капитального ремонта и ремонта по разделу 2.1.3:</t>
  </si>
  <si>
    <t>Итого по объектам капитального ремонта по разделу 2.1.4:</t>
  </si>
  <si>
    <t>2.1.5.104</t>
  </si>
  <si>
    <t>Итого по объектам ремонта дорог по разделу 2.1.5:</t>
  </si>
  <si>
    <t>Итого по объектам ремонта дворовых территорий по разделу 2.1.6: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</si>
  <si>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</si>
  <si>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</si>
  <si>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</si>
  <si>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</si>
  <si>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</si>
  <si>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</si>
  <si>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</si>
  <si>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</si>
  <si>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</si>
  <si>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</si>
  <si>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</si>
  <si>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</si>
  <si>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</si>
  <si>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</si>
  <si>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</si>
  <si>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</si>
  <si>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</si>
  <si>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</si>
  <si>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</si>
  <si>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</si>
  <si>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</si>
  <si>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</si>
  <si>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</si>
  <si>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</si>
  <si>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</si>
  <si>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площадки южнее дома №77 по ул. Юбилейная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</si>
  <si>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</si>
  <si>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</si>
  <si>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</si>
  <si>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</si>
  <si>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</si>
  <si>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</si>
  <si>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</si>
  <si>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</si>
  <si>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</si>
  <si>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</si>
  <si>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</si>
  <si>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</si>
  <si>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</si>
  <si>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</si>
  <si>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</si>
  <si>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Ремонт автомобильной дороги по Поволжскому шоссе от ул. Громовой до c/о 232 по Поволжскому шоссе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</si>
  <si>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</si>
  <si>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</si>
  <si>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</si>
  <si>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</si>
  <si>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</si>
  <si>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</si>
  <si>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</si>
  <si>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Количество объектов, на которых установлено оборудование видеонаблюдения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</si>
  <si>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</si>
  <si>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</si>
  <si>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</si>
  <si>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</si>
  <si>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</si>
  <si>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</si>
  <si>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</si>
  <si>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</si>
  <si>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</si>
  <si>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</si>
  <si>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</si>
  <si>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</si>
  <si>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</si>
  <si>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</si>
  <si>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</si>
  <si>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Количество диагностируемых подземных пешеходных переходов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</si>
  <si>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</si>
  <si>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</si>
  <si>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</si>
  <si>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</si>
  <si>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</si>
  <si>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</si>
  <si>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</si>
  <si>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</si>
  <si>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</si>
  <si>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</si>
  <si>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</si>
  <si>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</si>
  <si>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</si>
  <si>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</si>
  <si>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Количество объектов, оборудованных съездами для инвалидов и других маломобильных групп населения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</si>
  <si>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</si>
  <si>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</si>
  <si>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</si>
  <si>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дорога вдоль Южного шоссе от ул.Тополиной до ул.Автостроителей</t>
  </si>
  <si>
    <t>1.1.9.</t>
  </si>
  <si>
    <t>Количество объектов, на которых установлены указатели</t>
  </si>
  <si>
    <t xml:space="preserve">план на 2022-2023: </t>
  </si>
  <si>
    <t xml:space="preserve">план на 2024: 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</si>
  <si>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</si>
  <si>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Проектно-изыскательские работы по объекту: "Капитальный ремонт автодороги. Тупиковый проезд"</t>
  </si>
  <si>
    <t>ул. Новозаводская от ул. Шлютова до ул.Голосова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</si>
  <si>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</si>
  <si>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</si>
  <si>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</si>
  <si>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</si>
  <si>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</si>
  <si>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</si>
  <si>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</si>
  <si>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</si>
  <si>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</si>
  <si>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 xml:space="preserve"> с четной и нечетной стороны по ул.Ботаническая</t>
  </si>
  <si>
    <t>план на 2025::</t>
  </si>
  <si>
    <t xml:space="preserve"> ООТ "ЦРБ" напротив здания по адресу: ш.Автозаводское, 5   </t>
  </si>
  <si>
    <t>2024 - 2025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</si>
  <si>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</si>
  <si>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</si>
  <si>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</si>
  <si>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</si>
  <si>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</si>
  <si>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</si>
  <si>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</si>
  <si>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</si>
  <si>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</si>
  <si>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</si>
  <si>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</si>
  <si>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</si>
  <si>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</si>
  <si>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</si>
  <si>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</si>
  <si>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</si>
  <si>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</si>
  <si>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</si>
  <si>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</si>
  <si>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</si>
  <si>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</si>
  <si>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</si>
  <si>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г.о. Тольятти, внутриквартальный проезд - дублер ул.Коммунистическая от д. №97 до д. №79</t>
  </si>
  <si>
    <t xml:space="preserve">Установка рамной П-образной опоры (РМП) </t>
  </si>
  <si>
    <t>по Южному шоссе в районе дома №5 (проектирование РМП)</t>
  </si>
  <si>
    <t>Количество объектов на которых установлены РМП</t>
  </si>
  <si>
    <t>160,08/160,08</t>
  </si>
  <si>
    <t>356,97/356,97</t>
  </si>
  <si>
    <t>270,51/247,61</t>
  </si>
  <si>
    <t>не менее 1 000</t>
  </si>
  <si>
    <t xml:space="preserve">Строка 2.1.4.16.:    </t>
  </si>
  <si>
    <t>Примечание:</t>
  </si>
  <si>
    <t>4.1.2.</t>
  </si>
  <si>
    <t>Замена опор освещения и контактной сети городского электротранспорта</t>
  </si>
  <si>
    <t>Количество разработанной проектно-сметной документации по замене опор</t>
  </si>
  <si>
    <t>Корректировка проектно-сметной документации по объекту «Капитальный ремонт автодороги по ул. Октябрьская от ул. Комсомольская до б-ра 50 лет Октября, г. Тольятти Самарской области»</t>
  </si>
  <si>
    <t>Устройство разделительной полосы в районе пересечения ул.Вокзальная – ул. Окраинная</t>
  </si>
  <si>
    <t>ул.Ларина;</t>
  </si>
  <si>
    <t xml:space="preserve">Доля объектов, на которых предусматривается использование новых и наилучших технологий, включенных в Реестр </t>
  </si>
  <si>
    <t>Количество погибших в дорожно-транспортных происшествиях, человек на 100 тыс. населения</t>
  </si>
  <si>
    <t>Департамент дорожного хозяйства и транспорта  администрации городского округа Тольятти,                                                             МКУ "ЦОДД ГОТ" (Департамент дорожного хозяйства и транспорта  администрации городского округа Тольятти)</t>
  </si>
  <si>
    <t>2021-2024</t>
  </si>
  <si>
    <t>2022, 2024</t>
  </si>
  <si>
    <t>2021- 2024</t>
  </si>
  <si>
    <t>№   п/п</t>
  </si>
  <si>
    <t xml:space="preserve">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</si>
  <si>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автодороги по ул. Тополиной с целью устройства дополнительной выделенной полосы на пересечении с Южным шоссе</t>
  </si>
  <si>
    <t>Осуществление строительного контроля на объекте: Капитальный ремонт  ул.Васильевская от ул.Калмыцкая до Обводного шоссе</t>
  </si>
  <si>
    <t>Капитальный ремонт ул.Васильевская от ул.Калмыцкая до Обводного шоссе</t>
  </si>
  <si>
    <t>Устройство шумовых полос и информационных щитов индивидуального проектирования на Автозаводском шоссе, в районе домов № 3, 5.</t>
  </si>
  <si>
    <t>Устройство  искусственных дорожных неровностей, установка дорожных знаков на б-ре Луначарского,2  (ул. Ворошилова, д.4)</t>
  </si>
  <si>
    <t>Устройство  искусственных дорожных неровностей, установка дорожных знаков на б-ре Кулибина, д.2</t>
  </si>
  <si>
    <t xml:space="preserve">Устройство светофорного объекта, установка дорожных знаков на ул. Громовой, д.1,  ООТ "ул. Механизаторов"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</si>
  <si>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А, ООТ "Гостиница Лада"</t>
  </si>
  <si>
    <t>Устройство светофорного объекта, установка дорожных знаков на ул. Автостроителей, д. 11, ООТ "Солнечный б-р"</t>
  </si>
  <si>
    <t>Устройство светофорного объекта, установка дорожных знаков и устройство пешеходной дорожки на Южном шоссе в районе дома №36, ООТ "1-я вставка"</t>
  </si>
  <si>
    <t>Устройство светофорного объекта, установка дорожных знаков и устройство пешеходной дорожки на Южном шоссе в районе дома №36, ООТ "3-я вставка"</t>
  </si>
  <si>
    <t>Устройство светофорного объекта, установка дорожных знаков на Южном шоссе в районе дома №36, ООТ "Жигулевская долина"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</si>
  <si>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</t>
  </si>
  <si>
    <t>Проектирование устройства остановки общественного транспорта ООТ "Лыжная база" по ул.М. Жукова</t>
  </si>
  <si>
    <t>Проектирование переноса  ООТ "Лесопитомник" по ул. Дзержинского</t>
  </si>
  <si>
    <t>ул. Фрунзе между Московским проспектом  и ул. Юбилейной</t>
  </si>
  <si>
    <t>ул. Железнодорожная от ул. Никонова до М-5 "Урал"</t>
  </si>
  <si>
    <t xml:space="preserve">ПОКАЗАТЕЛИ (ИНДИКАТОРЫ)
МУНИЦИПАЛЬНОЙ ПРОГРАММЫ "РАЗВИТИЕ ТРАНСПОРТНОЙ СИСТЕМЫ И ДОРОЖНОГО ХОЗЯЙСТВА ГОРОДСКОГО ОКРУГА ТОЛЬЯТТИ НА 2021 - 2025 ГГ."
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</si>
  <si>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</si>
  <si>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ул. Ларина (на участке от ул. Васильевская до ул. Ломоносова);</t>
  </si>
  <si>
    <t>ул.40 лет Победы 57-б (поликлинике на 500 посещений в смену);</t>
  </si>
  <si>
    <t>ул.Кудашева;</t>
  </si>
  <si>
    <t>ул.40 лет Победы 57-б (поликлиника на 500 посещений в смену);</t>
  </si>
  <si>
    <t>б-р Здоровья;</t>
  </si>
  <si>
    <t>ул.Тополиная от Южного шоссе до ул. 70 лет Октября (боковой проезд);</t>
  </si>
  <si>
    <t>Устройство искусственных дорожных неровностей на Яблоневом проезде (от ул. Кирова до ул. Добролюбова);</t>
  </si>
  <si>
    <t>Устройство искусственных дорожных неровностей в районе досугового центра "Русич" по ул. Никонова;</t>
  </si>
  <si>
    <t>Устройство искусственных дорожных неровностей на проезде вдоль территории СОШ №61 (ул.Свердлова,23), д/с №115 "Салют" (ул. Свердлова, 27);</t>
  </si>
  <si>
    <t>Устройство искусственных дорожных неровностей по б-ру Орджоникидзе до дома №20 по пр-ту Ст. Разина;</t>
  </si>
  <si>
    <t>Устройство искусственных дорожных неровностей по ул. Патрульная;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</si>
  <si>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нотки";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</si>
  <si>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№76";</t>
  </si>
  <si>
    <t>Устройство искусственных дорожных неровностей в районе дома №102 на ул. Ставропольская (д/с №100 "Островок");</t>
  </si>
  <si>
    <t>Устройство искусственных дорожных неровностей в районе МБУ "Школа № 89" (ул.Дзержинского д. №39);</t>
  </si>
  <si>
    <t>Устройство искусственных дорожных неровностей на ул. Советская, 53 д/с "Жар-Птица";</t>
  </si>
  <si>
    <t>Устройство искусственных дорожных неровностей по ул. Фрунзе в районе ООТ "Маршала Жукова";</t>
  </si>
  <si>
    <t>ул.Матросова в районе дома №26 (д/с №69 "Веточка");</t>
  </si>
  <si>
    <t>внутриквартальный проезд по ул.Комсомольская 165;</t>
  </si>
  <si>
    <t>ул.Голосова д.57, д.59, д.61;</t>
  </si>
  <si>
    <t>ул.Л.Чайкиной, д.69 и д.71;</t>
  </si>
  <si>
    <t>в районе дома №66 по ул.Ларина (Центр технического творчества);</t>
  </si>
  <si>
    <t>по проезду Почтовый, в районе дома №95 по ул.Ленина (Д/с №41 "Огонек");</t>
  </si>
  <si>
    <t>в районе дома №84 по ул.Мурысева (Педколледж);</t>
  </si>
  <si>
    <t>внутриквартальный проезд в районе дома №43 по ул.Фрунзе (Школа Королева).;</t>
  </si>
  <si>
    <t>в районе дома №6 по ул.Д.Ульянова (Д/с "Чайка");</t>
  </si>
  <si>
    <t>в районе дома №10 и №14 по бульвару Татищева;</t>
  </si>
  <si>
    <t>по ул.40 лет Победы №106, ул.Ворошилова №61;</t>
  </si>
  <si>
    <t>по бульвару Космонавтов, в районе дома №15 (2 шт.);</t>
  </si>
  <si>
    <t>ул.Железнодорожная (1 шт.);</t>
  </si>
  <si>
    <t>внутриквартальный проезд в районе дома №64 по ул.Баныкина (2 шт.);</t>
  </si>
  <si>
    <t>внутриквартальный проезд в районе дома №14 по ул.Баныкина перед пересечением с бульваром Ленина (четная сторона) (1 шт.);</t>
  </si>
  <si>
    <t>в районе пешеходного перехода у дома №16"А" по бульвару Ленина (2 шт.);</t>
  </si>
  <si>
    <t>внутриквартальный проезд от ул.Фрунзе (д.№16) до пр-та Ленинский (д.№27) (3 квартал, напротив "Фанни-парк") (3 шт.);</t>
  </si>
  <si>
    <t>в районе домов №65, 67, 69 по ул.Краснодонцев, Космодемьянской (5 шт.);</t>
  </si>
  <si>
    <t>внутриквартальный проезд ул. Победы в районе домов №№66,68,70 по ул.Мира (4 шт.);</t>
  </si>
  <si>
    <t>в районе дома №77 по ул. Мира (проезд гостиницы "Звезда Жигулей" и ДК "Тольятти") (1 шт.);</t>
  </si>
  <si>
    <t>внутриквартальный проезд вдоль домов №10, 14 по б-ру Татищева (19 квартал) (2 шт.);</t>
  </si>
  <si>
    <t>внутриквартальный проезд вдоль домов №69, 71 по ул. Лизы Чайкиной (2 шт.);</t>
  </si>
  <si>
    <t>Почтовый проезд вдоль д/с №41 "Огонек" (ул. Ленина, д. 95) (1 шт.);</t>
  </si>
  <si>
    <t>б-р Туполева (вдоль территории МДОУ "Школа №47" д. 12 (1 шт.);</t>
  </si>
  <si>
    <t>на проезде Федоровские луга (в районе пешеходного перехода и ООТ по требованию) (8 шт.);</t>
  </si>
  <si>
    <t>на внутриквартальном проезде в районе дома № 63 по ул. 70 лет Октября (2 шт.);</t>
  </si>
  <si>
    <t>по б-ру Гая в районе дома № 10 (2 шт.);</t>
  </si>
  <si>
    <t>на внутриквартальном проезде вдоль дома № 17,21 по ул. Дзержинского и дома № 2 по б-ру Гая (3 шт.);</t>
  </si>
  <si>
    <t>вдоль территории МБУ "Школа №88"(ул. Тополиная, 5) и д/с №210 "Ладушки" (Южное шоссе, 41) -20 квартал;</t>
  </si>
  <si>
    <t>вдоль домов №43 по ул. Фрунзе (школа Королева);</t>
  </si>
  <si>
    <t>вдоль территории д/с № 184 "Жигуленок" (ул.Ворошилова д.61) и МБУ "Школа № 81" (ул.40 лет Победы,106) - 13 квартал;</t>
  </si>
  <si>
    <t>вдоль территории МБУ "Лицей №51 (ул.Фрунзе,12) - 3А квартал;</t>
  </si>
  <si>
    <t>б-р Баумана в р-не домов №№ 1,2;</t>
  </si>
  <si>
    <t>в районе дома №9 по ул. Карбышева;</t>
  </si>
  <si>
    <t>в районе пересечения ул. Ленина - ул. Чапаева;</t>
  </si>
  <si>
    <t>в районе ООТ "17 квартал" по ул. Тополиная;</t>
  </si>
  <si>
    <t>в районе дома №5А по ул. Железнодорожная;</t>
  </si>
  <si>
    <t>по б-ру Орджоникидзе в районе дома №24 по Ленинскому проспекту;</t>
  </si>
  <si>
    <t>в районе дома №49 по ул. Радищева;</t>
  </si>
  <si>
    <t>в районе пересечения ул. Комсомольская-ул. Садовая;</t>
  </si>
  <si>
    <t>в районе дома №54 по ул. Мичурина;</t>
  </si>
  <si>
    <t>в районе дома №27А по ул. Мичурина;</t>
  </si>
  <si>
    <t>в районе пересечения ул. Шлютова-ул. Крупской;</t>
  </si>
  <si>
    <t>в районе дома №44 по ул. Лесная;</t>
  </si>
  <si>
    <t>в районе дома №77 по ул. Ленина;</t>
  </si>
  <si>
    <t>в районе дома №59 по ул. Октябрьская;</t>
  </si>
  <si>
    <t>в районе дома №93 по ул. Мурысева;</t>
  </si>
  <si>
    <t>в районе дома №91 по ул. Ленина;</t>
  </si>
  <si>
    <t>в районе дома №31 по Хрящевскому шоссе;</t>
  </si>
  <si>
    <t>в районе дома №12Б по ул. Офицерская;</t>
  </si>
  <si>
    <t xml:space="preserve">вдоль домов №№ 57,59,61 по ул.Голосова;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</si>
  <si>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Голосова");   </t>
  </si>
  <si>
    <t>устройство тротуара к поликлинике на 500 посещений в смену;</t>
  </si>
  <si>
    <t>дорожка вдоль улицы Александра Кудашева на участке от ул. Льва Толстого до границы г.о.Тольятти;</t>
  </si>
  <si>
    <t>ул.Родины по лесной зоне до микрорайона Портовый;</t>
  </si>
  <si>
    <t>по Хрящевскому шоссе от Южного шоссе до Обводного шоссе;</t>
  </si>
  <si>
    <t>дорожка вдоль ул. Северная;</t>
  </si>
  <si>
    <t>ликвидация несанкционированного примыкания в районе ООТ "Автолюбитель" по б-ру 50 лет Октября;</t>
  </si>
  <si>
    <t>в районе ООТ "Аптека" по ул. Революционная;</t>
  </si>
  <si>
    <t>в районе ООТ "Универсам" по ул. Революционная;</t>
  </si>
  <si>
    <t>в районе ООТ "Гаражи" по ул.Ботаническая;</t>
  </si>
  <si>
    <t>по ул.Офицерской от ул.Полякова до ул.Ботанической;</t>
  </si>
  <si>
    <t>островок безопасности и пешеходная дорожка в районе пересечения ул.Мичурина и ул.Герцена;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</si>
  <si>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АВТОВАЗа);</t>
  </si>
  <si>
    <t>устройство пешеходных дорожек на пересечении ул. Спортивная - пр- т Степана Разина;</t>
  </si>
  <si>
    <t>устройство пешеходной дорожки вдоль ул. Революционная в районе ул. Фрунзе;</t>
  </si>
  <si>
    <t>устройство тротуара на подходах к пешеходному переходу в районе дома №151 по ул. Комсомольской;</t>
  </si>
  <si>
    <t>устройство тротуаров на подходах к пешеходному переходу (перекресток ул. Победы – б-р 50 лет Октября);</t>
  </si>
  <si>
    <t>устройство тротуаров на подходах к пешеходному переходу – демонтаж существующего тротуара (перекресток ул. Ленина – ул. Кирова);</t>
  </si>
  <si>
    <t>устройство тротуара (на подходах к пешеходному переходу) на перекрестке ул. Коммунистическая и ул. Есенина;</t>
  </si>
  <si>
    <t>устройство тротуара по ул. Мира до ул. Голосова со стороны Прокуратуры;</t>
  </si>
  <si>
    <t>на подходах к пешеходному переходу в районе ООТ "ДС КВЦ ВАЗа";</t>
  </si>
  <si>
    <t>по ул.Борковской, до Фабричного проезда;</t>
  </si>
  <si>
    <t>на подходах к пешеходному переходу в районе ООТ "5 вставка ВАЗа";</t>
  </si>
  <si>
    <t>в районе дома №60 по Лесопарковому шоссе;</t>
  </si>
  <si>
    <t>на подходах к пешеходному переходу в районе ООТ "Магазин Восход" по ул. Свердлова;</t>
  </si>
  <si>
    <t>от ул.Дзержинского до ул.Борковская,93;</t>
  </si>
  <si>
    <t>через пешеходный переход в районе ул.Голосова,57;</t>
  </si>
  <si>
    <t>вдоль ул.Украинской;</t>
  </si>
  <si>
    <t>по ул.Воскресенская,18 Техникум № 47 для детей с ограниченными возможностями на подходах к пешеходному переходу;</t>
  </si>
  <si>
    <t xml:space="preserve">ул. Кудашева; </t>
  </si>
  <si>
    <t>ул. Фрунзе, в районе домов №№ 26,47 (перекресток улицы Фрунзе и Московского проспекта);</t>
  </si>
  <si>
    <t>ул. Ларина (на участке от Автозаводское шоссе до ул. Тимирязева);</t>
  </si>
  <si>
    <t xml:space="preserve">участок автодороги по ул. Кирова от Автозаводского шоссе до дома № 32 по ул. Кирова; </t>
  </si>
  <si>
    <t>участок переулка Островского от ул. Коммунистическая до ул. Мурысева;</t>
  </si>
  <si>
    <t>дорога вдоль ул. Спортивной (неч.сторона) от Физкультурного проезда до пр-та Степана Разина;</t>
  </si>
  <si>
    <t>дорога вдоль Московского проспекта от дома №57 до дома №45 (нечетная сторона);</t>
  </si>
  <si>
    <t>по Цветному бульвару от ул. Дзержинского до ул. 70 лет Октября 16 квартала Автозаводского района г.о. Тольятти;</t>
  </si>
  <si>
    <t xml:space="preserve">б-р Цветной в р-не дома № 20  (16 квартал);                </t>
  </si>
  <si>
    <t>в районе дома №33 по Московскому проспекту;</t>
  </si>
  <si>
    <t>в районе дома №35 по Московскому проспекту;</t>
  </si>
  <si>
    <t>ул. Кудашева</t>
  </si>
  <si>
    <t>32 квартал в районе дома №13а по ул.Революционной</t>
  </si>
  <si>
    <t>подземный переход, расположенный по адресу: г. Тольятти, ул. Свердлова, ост. Океан</t>
  </si>
  <si>
    <t>ул. Ленинградская, 28;</t>
  </si>
  <si>
    <t>Рябиновый б-р, 1;</t>
  </si>
  <si>
    <t>Рябиновый б-р, 13;</t>
  </si>
  <si>
    <t>Московский пр-т - ул. Фрунзе;</t>
  </si>
  <si>
    <t>ул. Олимпийская в районе д. 20 по ул. Полевая;</t>
  </si>
  <si>
    <t>ул. Сиреневая, 24;</t>
  </si>
  <si>
    <t>внутриквартальный пр-д от пр-да Дорофеева до ул. Макарова;</t>
  </si>
  <si>
    <t>б-р Цветной, 24;</t>
  </si>
  <si>
    <t>б-р Цветной, 13;</t>
  </si>
  <si>
    <t>ул. Ленина, ООТ "Дворец молодежи";</t>
  </si>
  <si>
    <t>ул. Л. Яшина, ООТ "Северовосточная";</t>
  </si>
  <si>
    <t>Приморский б-р пересечение с б-ром Буденного;</t>
  </si>
  <si>
    <t>б-р Гая, 10;</t>
  </si>
  <si>
    <t>ул. Юбилейная, ООТ "Кафе Салют";</t>
  </si>
  <si>
    <t>ул. Юбилейная, ООТ "Парк Победы";</t>
  </si>
  <si>
    <t>Ленинский пр-т, ООТ "б-р Туполева";</t>
  </si>
  <si>
    <t>пр-т Ст. Разина, ООТ "Театральная";</t>
  </si>
  <si>
    <t>ул. Л. Толстого пересечение с ул. Ленина;</t>
  </si>
  <si>
    <t>ул. Победы пересечение с б-ром 50 лет Октября;</t>
  </si>
  <si>
    <t>ул. Борковская, 51 (ООТ "Спецавтоцентр);</t>
  </si>
  <si>
    <t xml:space="preserve">Московский пр-т, ООТ "ул. Дзержинского"; </t>
  </si>
  <si>
    <t>ул. Спортивная в районе д. 55 по Приморскому б-ру;</t>
  </si>
  <si>
    <t>Московский пр-т, ООТ "Дом связи";</t>
  </si>
  <si>
    <t>ул. Цеховая,  ООТ "GM-АвтоВАЗ";</t>
  </si>
  <si>
    <t>ул. Родина пересечение с ул. Мира;</t>
  </si>
  <si>
    <t>ул. Голосова пересечение с ул. Новозаводская;</t>
  </si>
  <si>
    <t>ул. Революционная, ООТ "Экзотика";</t>
  </si>
  <si>
    <t>Обводное шоссе пересечение с ул. Новозаводская;</t>
  </si>
  <si>
    <t>Физкультурный проезд;</t>
  </si>
  <si>
    <t>ул. Спортивная, ООТ "Вега";</t>
  </si>
  <si>
    <t>ул. Революционная, ООТ "1000 мелочей";</t>
  </si>
  <si>
    <t>ул. Свердлова, 8;</t>
  </si>
  <si>
    <t>ул. Автостроителей, ООТ "40 лет Победы";</t>
  </si>
  <si>
    <t>ул. Борковская, ООТ "Южная база";</t>
  </si>
  <si>
    <t>ул. Горького, 46"А";</t>
  </si>
  <si>
    <t>ул. Матросова, 26;</t>
  </si>
  <si>
    <t>ул. Революционная, 47;</t>
  </si>
  <si>
    <t>ул. Гидротехническая пересечение с ул. Дорофеева;</t>
  </si>
  <si>
    <t>ул. Ворошилова, ООТ "б-р Луначарского";</t>
  </si>
  <si>
    <t>ул. Л.Яшина, ООТ "Льва Яшина";</t>
  </si>
  <si>
    <t>Приморский б-р, ООТ "8 квартал";</t>
  </si>
  <si>
    <t>ул. Коммунистическая, ООТ "Тюленина";</t>
  </si>
  <si>
    <t>ул. Коммунистическая, ООТ "Космодемьянской";</t>
  </si>
  <si>
    <t>ул. Родина, ООТ"Автовокзал";</t>
  </si>
  <si>
    <t>ул. Юбилейная, 85 и ООТ "Вега";</t>
  </si>
  <si>
    <t>ул. Новозаводская, ООТ "Химико-технологический колледж";</t>
  </si>
  <si>
    <t>ул. Автостроителей, ООТ "Молодежная";</t>
  </si>
  <si>
    <t>ул. 70 лет Октября, 33Б, 38, ООТ "Магазин мир продуктов";</t>
  </si>
  <si>
    <t>ул. Вокзальная, 100а (ООТ "10 КПП");</t>
  </si>
  <si>
    <t>ул. Комсомольская пересечение с ул. Новопромышленной;</t>
  </si>
  <si>
    <t>ул. Гидротехническая пересечение с ул. Шлюзовая;</t>
  </si>
  <si>
    <t>ул. Автостроителей, ООТ "Гостиница Лада";</t>
  </si>
  <si>
    <t>ул. 40 лет Победы, ООТ "Школа №70";</t>
  </si>
  <si>
    <t>ул. Громовой, ООТ "УТЭП";</t>
  </si>
  <si>
    <t>ул. Фрунзе, ООТ "11 квартал";</t>
  </si>
  <si>
    <t>ул. Железнодорожная, ООТ "Поликлиника";</t>
  </si>
  <si>
    <t>г.о. Тольятти, ул. Революционная от Ленинского проспекта до ул. Дзержинского;</t>
  </si>
  <si>
    <t>г.о.Тольятти, ул. Революционная пересечение с Ленинским проспектом;</t>
  </si>
  <si>
    <t xml:space="preserve">г.о. Тольятти, Ленинский проспект, д. №54Б/3 по ул.Революционная; </t>
  </si>
  <si>
    <t>г.о.Тольятти ул. Кудашева, начало населенного пункта;</t>
  </si>
  <si>
    <t>г.о.Тольятти, ул.Васильевская в районе перекрестка с Обводным шоссе, начало населенного пункта;</t>
  </si>
  <si>
    <t>г.о. Тольятти, ж/д переезд ул. Вокзальная, д.№101;</t>
  </si>
  <si>
    <t>г.о. Тольятти, ж/д переезд ул. Железнодорожная,д.№ 34 и д.34 ст.1 (два переезда);</t>
  </si>
  <si>
    <t>г.о. Тольятти, ж/д переезд, ул. Железнодорожная, д.№ 42;</t>
  </si>
  <si>
    <t>г.о. Тольятти, ж/д переезд ул. Индустриальная, пикет 0-500 (2,5 переезда);</t>
  </si>
  <si>
    <t>г.о. Тольятти, ж/д переезд ул. Индустриальная, пикет 500- 1000 (1,5 переезда);</t>
  </si>
  <si>
    <t>г.о. Тольятти, ж/д переезд ул. Индустриальная, пикет 1000-1500;</t>
  </si>
  <si>
    <t>г.о. Тольятти, ж/д переезд проезд перед ул. Калмыцкой (два переезда);</t>
  </si>
  <si>
    <t>г.о. Тольятти, ж/д переезд ул. Калмыцкая между ул. Новозаводской и ул. Васильевской;</t>
  </si>
  <si>
    <t>г.о. Тольятти, ж/д переезд ул. Коммунистическая, д. № 102 "а" (два переезда);</t>
  </si>
  <si>
    <t>г.о. Тольятти, ж/д переезд ул. Ларина, д.№ 148;</t>
  </si>
  <si>
    <t>г.о. Тольятти, ж/д переезд ул. Ларина, д.№ 151;</t>
  </si>
  <si>
    <t>г.о. Тольятти, ж/д переезд ул. Ларина, д.№ 169;</t>
  </si>
  <si>
    <t>г.о. Тольятти, ж/д переезд ул. Коммунистическая, д.№ 115;</t>
  </si>
  <si>
    <t>г.о. Тольятти, ж/д переезд ул. Никонова, д. № 43;</t>
  </si>
  <si>
    <t>г.о. Тольятти, ж/д переезд ул. Окраинная, д.№ 85 по ул. Северной;</t>
  </si>
  <si>
    <t>г.о. Тольятти, ж/д переезд ул. Окраинная, д. № 100 по ул. Вокзальной;</t>
  </si>
  <si>
    <t>г.о. Тольятти, ж/д переезд Поволжское шоссе, д.№ 34;</t>
  </si>
  <si>
    <t>г.о. Тольятти, ж/д переезд ул. Подгорная, д.№ 25 (перегон канал-Пискалы);</t>
  </si>
  <si>
    <t>г.о. Тольятти, ж/д переезд Хрящевское шоссе, д. № 13;</t>
  </si>
  <si>
    <t>Приморский б-р, ООТ "Театр Дилижанс";</t>
  </si>
  <si>
    <t>г.о. Тольятти, ул.40 лет Победы, ООТ "14 "а" квартал";</t>
  </si>
  <si>
    <t>г.о. Тольятти, ул.Гидротехническая - ул.Макарова перекресток;</t>
  </si>
  <si>
    <t>г.о. Тольятти, ул.Матросова,  д. №134 ООТ "МТЦ";</t>
  </si>
  <si>
    <t>г.о. Тольятти, Обводная дорога пос.Приморский;</t>
  </si>
  <si>
    <t>г.о. Тольятти, ул. Украинская от бульвара 50 лет Октября до ул. Шлютова;</t>
  </si>
  <si>
    <t>г.о. Тольятти, ул.Фрунзе, д. №22, д.№47 перекресток с Московским проспектом;</t>
  </si>
  <si>
    <t>г.о. Тольятти, ул. Революционная, ООТ "Ателье мод";</t>
  </si>
  <si>
    <t>ул. Вокзальная, ООТ "Кузнечно-прессовый цех";</t>
  </si>
  <si>
    <t>г.о.Тольятти, ул. Революционная, ООТ"Сатурн" и ООТ "1000 мелочей";</t>
  </si>
  <si>
    <t>г.о. Тольятти, ул. Революционная, ООТ "Универсам";</t>
  </si>
  <si>
    <t>г.о. Тольятти, Поволжское шоссе, ул.Раздольная ( подземный газопровод);</t>
  </si>
  <si>
    <t>г.о. Тольятти, ул. Комзина-Комсомольское шоссе перекресток;</t>
  </si>
  <si>
    <t>г.о. Тольятти, ул. Ингельберга,  д.№ 52, Школа №15;</t>
  </si>
  <si>
    <t>г.о. Тольятти, ул.Дзержинского, ООТ "Бульвар Кулибина";</t>
  </si>
  <si>
    <t>г.о. Тольятти, ул.40 лет Победы, ООТ "Школа №86";</t>
  </si>
  <si>
    <t>г.о. Тольятти, ул.40 лет Победы,  ООТ "Медучилище";</t>
  </si>
  <si>
    <t>г.о. Тольятти, ул.40 лет Победы,  д. №15 по Южному шоссе;</t>
  </si>
  <si>
    <t>г.о. Тольятти, ул.40 лет Победы, ООТ "ЖК "Лесной";</t>
  </si>
  <si>
    <t>г.о. Тольятти, ул. Победы-ул. Шлютова перекресток;</t>
  </si>
  <si>
    <t>г.о.Тольятти ул. Кудашева;</t>
  </si>
  <si>
    <t>г.о. Тольятти, ул.40 лет Победы, д. № 26;</t>
  </si>
  <si>
    <t>г.о. Тольятти, ул.Автостроителей, д.№ 9;</t>
  </si>
  <si>
    <t>г.о. Тольятти, ул.Баныкина, ООТ "72-й квартал";</t>
  </si>
  <si>
    <t>г.о. Тольятти, ул.Баныкина, ООТ "Магазин "Юность";</t>
  </si>
  <si>
    <t>г.о. Тольятти, ул.Баныкина, ООТ  "Спецавтохозяйство";</t>
  </si>
  <si>
    <t>г.о. Тольятти, ул.Баныкина, ООТ "Школа №1";</t>
  </si>
  <si>
    <t>г.о. Тольятти, ул.Голосова,д.№ 105 "а",  ООТ "АТС-26";</t>
  </si>
  <si>
    <t>г.о. Тольятти, ул.Коммунальная, д. №23, ООТ "Военный госпиталь";</t>
  </si>
  <si>
    <t>г.о. Тольятти, ул.Коммунальная, д. №33, ООТ "Пивзавод";</t>
  </si>
  <si>
    <t>г.о. Тольятти, ул.Комсомольская, ООТ "Информцентр";</t>
  </si>
  <si>
    <t>г.о. Тольятти, Ленинский проспект перед примыканием к Московскому  проспекту, д. 33 по Московскому проспекту;</t>
  </si>
  <si>
    <t>г.о. Тольятти, ул.Базовая, д. №7;</t>
  </si>
  <si>
    <t>г.о. Тольятти, Ленинский проспект, д. №40, д.№31;</t>
  </si>
  <si>
    <t>г.о. Тольятти, бульвар Луначарского, д. №1, №3;</t>
  </si>
  <si>
    <t>г.о. Тольятти, бульвар Луначарского,  д. №21;</t>
  </si>
  <si>
    <t>г.о. Тольятти, бульвар Луначарского,  д. №15, д.№17;</t>
  </si>
  <si>
    <t>г.о. Тольятти, ул. Маршала Жукова, д. № 56,  ООТ "Прилесье";</t>
  </si>
  <si>
    <t>г.о. Тольятти, Приморский бульвар, д.5;</t>
  </si>
  <si>
    <t>г.о. Тольятти, проспект Ст. Разина, д.№ 80;</t>
  </si>
  <si>
    <t>г.о. Тольятти, ул. Транспортная - Аптечный проезд (перекресток);</t>
  </si>
  <si>
    <t>г.о. Тольятти, ул.Шлюзовая, д. №14, д.№35;</t>
  </si>
  <si>
    <t xml:space="preserve">г.о. Тольятти, Южное шоссе, ООТ "АвтоВАЗ-ТО"; </t>
  </si>
  <si>
    <t>г.о. Тольятти,  ул. Автостроителей, в районе  ООТ "Ул. 40 лет Победы";</t>
  </si>
  <si>
    <t>г.о. Тольятти,  на перекрестке ул. Дзержинского - ул. Революционной - ул. Воскресенской;</t>
  </si>
  <si>
    <t>г.о. Тольятти, на  перекрестке ул. Карбышева - ул. Комсомольской;</t>
  </si>
  <si>
    <t>г.о. Тольятти, Обводное шоссе в районе пересечения с Хрящевским шоссе;</t>
  </si>
  <si>
    <t>г.о. Тольятти, пересечение ул. Ленинградская - ул. Гидростроевская ;</t>
  </si>
  <si>
    <t>г.о. Тольятти,   ул. Заставная и Московский проспект перед примыканием к ул. Дзержинского;</t>
  </si>
  <si>
    <t>г.о. Тольятти,  ул. Дзержинского в районе примыкания бульвара Курчатова;</t>
  </si>
  <si>
    <t>г.о. Тольятти, перекресток ул.К.Маркса и М.Горького;</t>
  </si>
  <si>
    <t>г.о. Тольятти,  ул. Комсомольская в районе пересечения с ул. Новопромышленной;</t>
  </si>
  <si>
    <t>г.о. Тольятти,  перекресток  ул.Мира - ул. Жилина;</t>
  </si>
  <si>
    <t>г.о. Тольятти, перекресток  ул. Гидротехническая - ул. В.Поплавского и перекресток  ул.Транспортная - 4-й проезд;</t>
  </si>
  <si>
    <t>г.о. Тольятти,  на перекрестке ул. Кирова - ул. Герцена;</t>
  </si>
  <si>
    <t>г.о. Тольятти,  перекресток ул. Юбилейной  - ул. Фрунзе;</t>
  </si>
  <si>
    <t>г.о. Тольятти,  ул. Маршала Жукова в районе ООТ "Лесной голосок";</t>
  </si>
  <si>
    <t>г.о. Тольятти,   ул. Маршала Жукова в районе ООТ "Весёлая семейка";</t>
  </si>
  <si>
    <t>г.о. Тольятти,   ул. Полякова, в районе  д.№24;</t>
  </si>
  <si>
    <t>г.о. Тольятти,  ул. Полякова в районе  ООТ "Ул.Полякова";</t>
  </si>
  <si>
    <t>г.о. Тольятти, ул. Ст. Разина в районе  ООТ "Театральная";</t>
  </si>
  <si>
    <t>г.о. Тольятти,  Южное шоссе в районе ООТ "Обводное шоссе";</t>
  </si>
  <si>
    <t>г.о. Тольяти, ул. 40 лет Победы, ООТ "Школа № 93";</t>
  </si>
  <si>
    <t>г.о. Тольятти, бульвар 50 лет Октября, ООТ "Ул. Октябрьская" в районе дома №38;</t>
  </si>
  <si>
    <t>г.о. Тольятти, ул. 70 лет Октября - ул.Тополиная в границах перекрестка;</t>
  </si>
  <si>
    <t>г.о. Тольятти, ул. Баныкина, ООТ "Белорусская";</t>
  </si>
  <si>
    <t>г.о. Тольятти, ул. Ворошилова, ООТ "Дом офицеров";</t>
  </si>
  <si>
    <t>г.о. Тольятти, ул. Коммунистическая  - ул. Механизаторов в границах перекрестка;</t>
  </si>
  <si>
    <t>г.о. Тольятти, ул. Комсомольская - ул .К.Маркса в границах перекрестка;</t>
  </si>
  <si>
    <t>г.о. Тольятти, ул. Ларина - ул. Герцена в границах перекрестка;</t>
  </si>
  <si>
    <t>г.о. Тольятти, ул. Маршала Жукова в районе дома №21, ООТ "Д/с "Елочка";</t>
  </si>
  <si>
    <t>г.о. Тольятти, ул. Мира - ул.К. Маркса в границах перекрестка;</t>
  </si>
  <si>
    <t>г.о. Тольятти, ул. Родины - ул.Республиканская в границах перекрестка;</t>
  </si>
  <si>
    <t>г.о. Тольятти, ул.Свердлова в районе дома №8;</t>
  </si>
  <si>
    <t>г.о. Тольятти, ул.Свердлова ООТ "бульвар Гая";</t>
  </si>
  <si>
    <t>г.о. Тольятти, ул.Свердлова ООТ "Магазин "Мебель" в районе дома №16;</t>
  </si>
  <si>
    <t>г.о. Тольятти, ул.Свердлова ООТ "Стоматологическая поликлиника" в районе дома №24 ;</t>
  </si>
  <si>
    <t>г.о. Тольятти, ул.Свердлова ООТ "Гостиница"в районе дома №32;</t>
  </si>
  <si>
    <t>г.о. Тольятти, ул.Свердлова в районе дома №38 перед пересечением с проспектом Ст.Разина;</t>
  </si>
  <si>
    <t>г.о. Тольятти, ул. Толстого в районе домов №28, 21;</t>
  </si>
  <si>
    <t>г.о. Тольятти, ул. Толстого ООТ "Толстого" в районе дома №22;</t>
  </si>
  <si>
    <t>г.о. Тольятти, ул. Юбилейная - ул. Свердлова в границах перекрестка;</t>
  </si>
  <si>
    <t>г.о. Тольятти, ул. Юбилейная - Ленинский проспект в границах перекрестка;</t>
  </si>
  <si>
    <t>г.о. Тольятти, ул. Юбилейная - ул.Дзержинского -ул.Борковская в границах перекрестка;</t>
  </si>
  <si>
    <t>г.о. Тольятти, ул. Громовой ООТ "Ул. У. Громовой" в районе дома №10 "А";</t>
  </si>
  <si>
    <t xml:space="preserve">г.о. Тольятти, ул. Толстого в районе дома №28; </t>
  </si>
  <si>
    <t>г.о. Тольятти, Южное шоссе, ООТ "19 квартал";</t>
  </si>
  <si>
    <t>г.о. Тольятти, Южное шоссе, ООТ "18 "А" квартал";</t>
  </si>
  <si>
    <t>г.о. Тольятти, Южное шоссе, ООТ "Автопарковая";</t>
  </si>
  <si>
    <t>г.о. Тольятти, ул. Ярославская, ООТ "Мясокомбинат" д. №49;</t>
  </si>
  <si>
    <t>г.о. Тольятти, ул. Чапаева, 124 напротив д/с "Соловушка";</t>
  </si>
  <si>
    <t>г.о. Тольятти, ул. Баумана в районе домов 1,2;</t>
  </si>
  <si>
    <t>г.о. Тольятти, ул. Кудашева, в районе ООТ "ул. Кудашева";</t>
  </si>
  <si>
    <t>г.о. Тольятти, перекресток ул. Ларина - ул. Ленина;</t>
  </si>
  <si>
    <t>г.о. Тольятти, на перекрестке проспекта Ст. Разина - ул. Дзержинского - ул. Ботанической;</t>
  </si>
  <si>
    <t>г.о. Тольятти, ул. Юбилейная перед пересечением с ул. Свердлова;</t>
  </si>
  <si>
    <t>г.о. Тольятти, на перекрестке ул. Новозаводской - ул. Комсомольской;</t>
  </si>
  <si>
    <t>г.о. Тольятти,   ул. 70 лет Октября, ООТ "19 квартал";</t>
  </si>
  <si>
    <t xml:space="preserve">г.о.Тольятти, ул.Революционная, ООТ "Приморский бульвар"; </t>
  </si>
  <si>
    <t>г.о.Тольятти, ул.Автостроителей, д.№ 41, д.№ 70, ООТ "12 квартал";</t>
  </si>
  <si>
    <t>г.о.Тольятти, перекресток ул. 70 лет Октября - ул. Тополиная;</t>
  </si>
  <si>
    <t>г.о.Тольятти, перекресток ул.Советская – ул.Комсомольская;</t>
  </si>
  <si>
    <t>г.о.Тольятти, перекресток ул.Революционная – ул.Фрунзе;</t>
  </si>
  <si>
    <t>г.о.Тольятти, ул.Коммунальная, д. №32 (ТЦ «Арбуз»), ООТ "Хладокомбинат";</t>
  </si>
  <si>
    <t>г.о.Тольятти, ул.М.Горького школа №5;</t>
  </si>
  <si>
    <t>г.о.Тольятти, ул.Спортивная, ООТ «Набережная";</t>
  </si>
  <si>
    <t>г.о. Тольятти, проезд от ул.Дорофеева до ул.Макарова;</t>
  </si>
  <si>
    <t>г.о. Тольятти, ул.Мурысева;</t>
  </si>
  <si>
    <t>г.о. Тольятти, проезд вдоль Школы №91, Льва Толстого,26А;</t>
  </si>
  <si>
    <t>г.о. Тольятти, ул.40 лет Победы ООТ "Лесная слобода";</t>
  </si>
  <si>
    <t>г.о. Тольятти, ул.40 лет Победы, ООТ "Школа № 86";</t>
  </si>
  <si>
    <t>г.о. Тольятти, ул.70 лет Октября, ООТ "Студенческая";</t>
  </si>
  <si>
    <t>г.о. Тольятти, ул. 70 лет Октября, ООТ "Рябиновый бульвар;</t>
  </si>
  <si>
    <t>г.о.Тольятти, ул. 70 лет Октября, ТЦ "Лада-Восход";</t>
  </si>
  <si>
    <t>г.о. Тольятти, ул. 70 лет Октября, ТЦ "Аврора";</t>
  </si>
  <si>
    <t>г.о. Тольятти, ул.Воскресенская,  ООТ "Проектное управление ВАЗа";</t>
  </si>
  <si>
    <t>г.о. Тольятти, перекресток ул.Гидротехническая - ул.Дорофеева;</t>
  </si>
  <si>
    <t>г.о. Тольятти, ул.Гидротехническая, д. №21  ООТ "Вокзальная";</t>
  </si>
  <si>
    <t>г.о. Тольятти, перекресток ул.Дзержинского - ул.Революционная - ул. Воскресенская;</t>
  </si>
  <si>
    <t>г.о. Тольятти, перекресток ул.Карла Маркса - ул.Чапаева;</t>
  </si>
  <si>
    <t>г.о. Тольятти, ул.Коммунистическая, д. № 96 "В", ООТ "Речной вокзал";</t>
  </si>
  <si>
    <t>г.о. Тольятти, ул.Коммунистическая, д.12, ДК "ТоАЗа";</t>
  </si>
  <si>
    <t>г.о. Тольятти,  ул. А. Кудашева, ООТ "Ул. А. Кудашева";</t>
  </si>
  <si>
    <t>г.о. Тольятти, Лесопарковое шоссе, д.60;</t>
  </si>
  <si>
    <t>г.о. Тольятти, ул. Никонова, д.18;</t>
  </si>
  <si>
    <t>г.о. Тольятти, перекресток ул. М. Горького - ул.Новопромышленная;</t>
  </si>
  <si>
    <t>г.о. Тольятти, Поволжское шоссе от с/о 210 до с/о 286;</t>
  </si>
  <si>
    <t>г.о. Тольятти, ул. Революционная ООТ "Кинотеатр "Сатурн";</t>
  </si>
  <si>
    <t>г.о. Тольятти, Поволжское шоссе с/о 252, ООТ "Кладбище";</t>
  </si>
  <si>
    <t>г.о. Тольятти, ул. Революционная, д. №25, МАУ "Автоград", д. №52 "А" ТЦ "Русь на Волге";</t>
  </si>
  <si>
    <t>г.о. Тольятти, ул. Спортивная, д.№ 16,  ООТ "Ул. Спортивная";</t>
  </si>
  <si>
    <t>г.о. Тольятти, ул. Спортивная, в районе д.№ 82  ул. Революционная;</t>
  </si>
  <si>
    <t>г.о. Тольятти, перекресток ул.Толстого - ул.Ленина;</t>
  </si>
  <si>
    <t>г.о. Тольятти, перекресток ул.Чайкиной - ул.Матросова;</t>
  </si>
  <si>
    <t>г.о. Тольятти, перекресток ул.Чайкиной - ул.Механизаторов;</t>
  </si>
  <si>
    <t>г.о.Тольятти, перекресток  ул. Дзержинского - ул. Ботаническая- проспект Ст.Разина;</t>
  </si>
  <si>
    <t>г.о.Тольятти, перекресток ул. 40 лет Победы и Южного шоссе;</t>
  </si>
  <si>
    <t>г.о. Тольятти, перекресток ул.Свердлова -  ул. Революционной;</t>
  </si>
  <si>
    <t>г.о. Тольятти, ул.Фрунзе, д. №23"Б",  ООТ "Административный центр";</t>
  </si>
  <si>
    <t>г.о. Тольятти,   Автозаводское шоосе, д.3, ООТ "Автозаводское шоссе" ;</t>
  </si>
  <si>
    <t>г.о.Тольятти, ул. Громовой д.54 "а", ООТ «Колхозный рынок";</t>
  </si>
  <si>
    <t>г.о. Тольятти, Южное ш.,  ООТ "7-я вставка";</t>
  </si>
  <si>
    <t>г.о. Тольятти, Южное ш., ООТ "Медсанчасть ВАЗа";</t>
  </si>
  <si>
    <t>г.о. Тольятти, Южное ш., ООТ "18-й А квартал";</t>
  </si>
  <si>
    <t>г.о. Тольятти, ул. Революционная, д. №52 "А", ТЦ "Русь на Волге";</t>
  </si>
  <si>
    <t>г.о. Тольятти, ул. Революционная, д. №47;</t>
  </si>
  <si>
    <t>г.о. Тольятти, ул. Революционная в районе перекрестка с Приморским бульваром;</t>
  </si>
  <si>
    <t>г.о. Тольятти, ул. Революционная, ООТ "Школа им. Академика Королева";</t>
  </si>
  <si>
    <t>г.о. Тольятти, ул. Революционная, ООТ "Приморский бульвар"</t>
  </si>
  <si>
    <t>г.о. Тольятти, перекресток  ул. Революционной и Ленинского проспекта;</t>
  </si>
  <si>
    <t>г.о. Тольятти, ул. Революционная, ООТ "Магазин "1000 мелочей"";</t>
  </si>
  <si>
    <t>г.о. Тольятти, ул. Революционная, ООТ "Аптека";</t>
  </si>
  <si>
    <t>г.о. Тольятти, Южное ш., ООТ "Жигулевская долина";</t>
  </si>
  <si>
    <t>г.о. Тольятти, Южное ш., ООТ "1 вставка ВАЗа";</t>
  </si>
  <si>
    <t>г.о. Тольятти, Южное ш., ООТ "3 вставка ВАЗа";</t>
  </si>
  <si>
    <t>г.о. Тольятти, Южное ш., ООТ "Машиностроительный колледж";</t>
  </si>
  <si>
    <t>г.о. Тольятти, Южное ш., ООТ "АвтоВАЗ ТО";</t>
  </si>
  <si>
    <t>г.о. Тольятти, Южное ш., ООТ "Восточное кольцо";</t>
  </si>
  <si>
    <t>г.о. Тольятти, Южное ш., ООТ "УВД";</t>
  </si>
  <si>
    <t>г.о. Тольятти, ул. 40 лет Победы в районе ООТ "Дендропарк";</t>
  </si>
  <si>
    <t>г.о. Тольятти,  ул. Механизаторов в районе примыкания к  ул. Мурысева;</t>
  </si>
  <si>
    <t xml:space="preserve">г.о. Тольятти,  Автозаводское шоссе, д.3;  </t>
  </si>
  <si>
    <t>г.о.Тольятти,  Автозаводское шоссе, д. 6;</t>
  </si>
  <si>
    <t>г.о.Тольятти, Автозаводское шоссе, д. 10Б;</t>
  </si>
  <si>
    <t>г.о. Тольятти,  Автозаводское шоссе, д.14;</t>
  </si>
  <si>
    <t xml:space="preserve">г.о. Тольятти,  Южное шоссе, д.19;  </t>
  </si>
  <si>
    <t>г.о. Тольятти,  Южное шоссе,  д.35;</t>
  </si>
  <si>
    <t>г.о. Тольятти,  ул. У.Громовой,  д.54А;</t>
  </si>
  <si>
    <t>г.о. Тольятти, дублер ул.Тополиная от Южного шоссе до ул.70 лет Октября, 19,20 квартал;</t>
  </si>
  <si>
    <t>г.о. Тольятти, дублер ул.Тополиная от ул.70 лет Октября до ул.Дзержинского, 16,17 квартал;</t>
  </si>
  <si>
    <t>г.о. Тольятти, ул.Дзержинского от ул.40 лет Победы до Московского пр-та;</t>
  </si>
  <si>
    <t>г.о. Тольятти, ул.Жилина от ул.Баныкина до площади Свободы;</t>
  </si>
  <si>
    <t>г.о. Тольятти, ул.Ушакова от ул.Баныкина до ул.Ленинградская;</t>
  </si>
  <si>
    <t xml:space="preserve">г.о. Тольятти, 12 квартал внутриквартальный проезд  от ул.Автостроителей до ул.Ворошилова; </t>
  </si>
  <si>
    <t>г.о. Тольятти, 12 квартал внутриквартальный проезд - дублер  ул.Свердлова;</t>
  </si>
  <si>
    <t>г.о. Тольятти, 13 квартал внутриквартальный проезд от ул.40 лет Победы до ул.Ворошилова;</t>
  </si>
  <si>
    <t>г.о. Тольятти, 13 квартал внутриквартальный проезд - дублер ул.40 лет Победы;</t>
  </si>
  <si>
    <t>г.о. Тольятти, 14 квартал внутриквартальный проезд от ул.Автостроителей до ул.40 лет Победы;</t>
  </si>
  <si>
    <t>г.о. Тольятти, 14 квартал внутриквартальный проезд - дублер ул.40 лет Победы;</t>
  </si>
  <si>
    <t>г.о. Тольятти, внутриквартальный проезд - дублер ул.Ярославская от ул.Громовой  до ул.Чайкиной;</t>
  </si>
  <si>
    <t>г.о. Тольятти, внутриквартальный проезд - дублер ул.Ярославская от ул.Чайкиной до ул.Мурысева;</t>
  </si>
  <si>
    <t>г.о. Тольятти, дублер ул.Мира от ул.Карбышева до ул.Комсомольской 73 квартал;</t>
  </si>
  <si>
    <t>г.о. Тольятти, дублер ул.Мира от ул.Голосова до ул.Карбышева, 72 квартал;</t>
  </si>
  <si>
    <t>г.о. Тольятти, дублер ул.Громовой от ул.Матросова до ул.Ярославская;</t>
  </si>
  <si>
    <t>ООТ "Театр Дилижанс" напротив здания по адресу: Приморский бульвар, 8;</t>
  </si>
  <si>
    <t>ООТ "База УМТС";</t>
  </si>
  <si>
    <t>ООТ "Детский городок";</t>
  </si>
  <si>
    <t>ООТ "Санаторий "Волжские зори"" на ул. Комзина;</t>
  </si>
  <si>
    <t>ООТ "АвтоВАЗагро" по ул.Ботаническая;</t>
  </si>
  <si>
    <t>ООТ "Лесопитомник" по ул.Дзержинского;</t>
  </si>
  <si>
    <t>ООТ "Лыжная база" по ул.М. Жукова;</t>
  </si>
  <si>
    <t>устройство парковочной площадки по пр-ту Степана Разина, в районе дома №93 ;</t>
  </si>
  <si>
    <t>Ликвидация въездов и парковочных карманов в районе домов 74,76 по ул. Дзержинского;</t>
  </si>
  <si>
    <t>Ликвидация выезда от ГСК на ул. Дзержинского;</t>
  </si>
  <si>
    <t>Устройство пандуса для съезда МНГ в районе дома, расположенного по адресу Мурысева,64;</t>
  </si>
  <si>
    <t>Устройство островка безопасности в районе ООТ "Школа исскуств" по ул. Дзержинского;</t>
  </si>
  <si>
    <t>Устройство островка безопасности в районе пересечения ул. Коммунальной и ул. Полякова;</t>
  </si>
  <si>
    <t>Ликвидация разрывов на 3-х разделительных полосах по Московскому проспекту, в районе дома №3;</t>
  </si>
  <si>
    <t>устройству бортового камня (ликвидации уширения проезжей части (на 1 полосу) на перекрестке ул. Коммунистическая и ул. Есенина;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</si>
  <si>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«АвтоВАЗтранс»;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</si>
  <si>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21;</t>
  </si>
  <si>
    <t>Устройство бортового камня (сокращение длины заездного кармана) ООТ "ДС КВЦ ВАЗа";</t>
  </si>
  <si>
    <t>Устройство островка безопасности на КТР ул. 40 лет Победы - ул. 70 лет Октября - ул. Л. Яшина;</t>
  </si>
  <si>
    <t>Устройство островка безопасности в районе пересечения Южное шоссе-ул. Борковская;</t>
  </si>
  <si>
    <t>Устройство островка безопасности в районе ООТ "Лесная" по ул. Карла Маркса;</t>
  </si>
  <si>
    <t>Устройство островка безопасности в районе перекрестка с ул. Строителей (пос. Приморский);</t>
  </si>
  <si>
    <t>Устройство островка безопасности в районе КТР б-р 50 лет Октября-Автозаводское шоссе;</t>
  </si>
  <si>
    <t>Устройство островка безопасности по ул. Ворошилова в районе дома №5;</t>
  </si>
  <si>
    <t>Устройство бортового камня (сокращение длины заездного кармана) ООТ "5 вставка ВАЗа";</t>
  </si>
  <si>
    <t>Устройство бортового камня (сокращение длины заездного кармана) ООТ "Магазин Восход" по ул. Свердлова;</t>
  </si>
  <si>
    <t>Ликвидация места разворота по ул. Спортивная в районе пересечения с Приморским бульваром;</t>
  </si>
  <si>
    <t>Восстановление бортового камня в районе дома №53 по ул. Ленина</t>
  </si>
  <si>
    <t>на пересечении Московского пр-та и ул. Дзержинского;</t>
  </si>
  <si>
    <t xml:space="preserve"> на пересечении Московского пр-та и ул. Дзержинского (установка РМП);</t>
  </si>
  <si>
    <t>По устройству бортового камня для изменения геометрии выезда в районе дома № 12  по ул. Автостроителей;</t>
  </si>
  <si>
    <t>По устройству бортового камня для изменения геометрии выезда в районе дома № 58 по ул. Баныкина;</t>
  </si>
  <si>
    <t>По устройству бортового камня для изменения геометрии выезда в районе дома №7 по ул. Ботанической;</t>
  </si>
  <si>
    <t>По установке дорожных удерживающих боковых ограждении по внутреннему радиусу на Комсомольском шоссе в районе опор №145,146,149 и 150;</t>
  </si>
  <si>
    <t>По устройству тротуара перекресток ул. Ленина и ул. М. Горького;</t>
  </si>
  <si>
    <t>По устройству бортового камня для изменения геометрии разделительной полосы на пересечении ул. Победы и ул. Комсомольской;</t>
  </si>
  <si>
    <t>По устройству бортового камня для изменения геометрии разворота на ул. Фрунзе в районе дома №35;</t>
  </si>
  <si>
    <t>По устройству поперечных шумовых полос по ул. Шлютова  перекресток с улицей Украинской;</t>
  </si>
  <si>
    <t>По установке щитов "Аварийно-опасный участок" по адресу Южное шоссе пересечение с Хрящевским и Автозаводским шоссе;</t>
  </si>
  <si>
    <t>Устройство шумовых полос на автодороге по участку а/д от Московского пр- та до мкр Приморский в районе дома №12/7 по ул. Летней (пос. Приморский) и дома №25А по ул. Строителей (пос. Приморский);</t>
  </si>
  <si>
    <t>Устройство шумовых полос на автодороге по ул. Родины в районе световых опор №159,156,125,118</t>
  </si>
  <si>
    <t>По установке повторителей сигналов светофоров в районе дома № 12  по ул. Автостроителей;</t>
  </si>
  <si>
    <t>По установке повторителей сигналов, устройство технических средств организации дорожного движения в районе дома № 58 по ул. Баныкина;</t>
  </si>
  <si>
    <t>По устройству светофорного регулирования в районе дома №7 по ул. Ботанической;</t>
  </si>
  <si>
    <t>По устройству светофорного объекта на Московском проспекте на пересечении с ул. Дзержинского;</t>
  </si>
  <si>
    <t>По устройству светофорного объекта перекресток ул. Ленина и ул. М. Горького;</t>
  </si>
  <si>
    <t>По установке повторителей сигналов на консольные опоры перекресток улиц Мира и Голосова;</t>
  </si>
  <si>
    <t>По устройству светофорного объекта на пересечении ул. Победы и ул. Комсомольской;</t>
  </si>
  <si>
    <t>По установке повторителей сигнала светофора на пересечении ул. Фрунзе и ул. Революционной;</t>
  </si>
  <si>
    <t>По устройству светофорного объекта на перекрестке ул. Северной и ул. Борковской;</t>
  </si>
  <si>
    <t>По устройству светофорного объекта по адресу Южное шоссе пересечение с Хрящевским и Автозаводским шоссе;</t>
  </si>
  <si>
    <t>По устройству транспортного светофора на перекрестке Южное шоссе - ул. 40 лет Победы;</t>
  </si>
  <si>
    <t>Установка дорожного знака на ул.40 лет Победы 57-б (поликлиника на 500 посещений в смену);</t>
  </si>
  <si>
    <t xml:space="preserve">Устройство светофорного регулирования на перекресткес ул. Коммунистическая - ул. Есенина;                                                             </t>
  </si>
  <si>
    <t>Устройство светофорного объекта (перекресток ул. Ленина - ул. Кирова);</t>
  </si>
  <si>
    <t>Устройство ТСОДД (перекресток ул. Победы – б-р 50 лет Октября);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</si>
  <si>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</si>
  <si>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</si>
  <si>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</si>
  <si>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</si>
  <si>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</si>
  <si>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>Устройство искусственной дорожной неровности, установка дорожных знаков 
на проезде между ул. Баныкина и ул. Ленинградская, ООШ №26 и д/с "Тополек"</t>
  </si>
  <si>
    <r>
      <t xml:space="preserve">Содержание автомобильных дорог местного значения и внутриквартальных проездов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</si>
  <si>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</si>
  <si>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</si>
  <si>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</si>
  <si>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</si>
  <si>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</si>
  <si>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</si>
  <si>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</si>
  <si>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</si>
  <si>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</si>
  <si>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Площадь автомобильных дорог, на которых проведен ремонт “картами”</t>
  </si>
  <si>
    <t>2023-2024</t>
  </si>
  <si>
    <t>пешеходная и велосипедная дорожка вдоль ул. Родины по лесной зоне до микрорайона Портовый;</t>
  </si>
  <si>
    <t xml:space="preserve">ООТ «Телецентр» по пр-ту Степана Разина; 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</si>
  <si>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</si>
  <si>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</si>
  <si>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</si>
  <si>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</si>
  <si>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</si>
  <si>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</si>
  <si>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</si>
  <si>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</si>
  <si>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</si>
  <si>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</si>
  <si>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</si>
  <si>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</si>
  <si>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</si>
  <si>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2.1.5.14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</si>
  <si>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</si>
  <si>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</si>
  <si>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</si>
  <si>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</si>
  <si>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</si>
  <si>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</si>
  <si>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</si>
  <si>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</si>
  <si>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</si>
  <si>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</si>
  <si>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</si>
  <si>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</si>
  <si>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</si>
  <si>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2.1.5.28</t>
  </si>
  <si>
    <t>2.1.5.29</t>
  </si>
  <si>
    <t>2.1.5.30</t>
  </si>
  <si>
    <t>2.1.5.31</t>
  </si>
  <si>
    <t>2.1.5.32</t>
  </si>
  <si>
    <t>2.1.5.33</t>
  </si>
  <si>
    <t>2.1.5.34</t>
  </si>
  <si>
    <t>2.1.5.35</t>
  </si>
  <si>
    <t>2.1.5.36</t>
  </si>
  <si>
    <t>2.1.5.37</t>
  </si>
  <si>
    <t>2.1.5.38</t>
  </si>
  <si>
    <t>2.1.5.39</t>
  </si>
  <si>
    <t>2.1.5.40</t>
  </si>
  <si>
    <t>2.1.5.41</t>
  </si>
  <si>
    <t>2.1.5.42</t>
  </si>
  <si>
    <t>2.1.5.43</t>
  </si>
  <si>
    <t>2.1.5.44</t>
  </si>
  <si>
    <t>2.1.5.45</t>
  </si>
  <si>
    <t>2.1.5.46</t>
  </si>
  <si>
    <t>2.1.5.47</t>
  </si>
  <si>
    <t>2.1.5.48</t>
  </si>
  <si>
    <t>2.1.5.49</t>
  </si>
  <si>
    <t>2.1.5.50</t>
  </si>
  <si>
    <t>2.1.5.51</t>
  </si>
  <si>
    <t>2.1.5.52</t>
  </si>
  <si>
    <t>2.1.5.53</t>
  </si>
  <si>
    <t>2.1.5.54</t>
  </si>
  <si>
    <t>2.1.5.55</t>
  </si>
  <si>
    <t>2.1.5.56</t>
  </si>
  <si>
    <t>2.1.5.57</t>
  </si>
  <si>
    <t>2.1.5.58</t>
  </si>
  <si>
    <t>2.1.5.59</t>
  </si>
  <si>
    <t>2.1.5.60</t>
  </si>
  <si>
    <t>2.1.5.61</t>
  </si>
  <si>
    <t>2.1.5.62</t>
  </si>
  <si>
    <t>2.1.5.63</t>
  </si>
  <si>
    <t>2.1.5.64</t>
  </si>
  <si>
    <t>2.1.5.65</t>
  </si>
  <si>
    <t>2.1.5.66</t>
  </si>
  <si>
    <t>2.1.5.67</t>
  </si>
  <si>
    <t>2.1.5.68</t>
  </si>
  <si>
    <t>2.1.5.69</t>
  </si>
  <si>
    <t>2.1.5.70</t>
  </si>
  <si>
    <t>2.1.5.71</t>
  </si>
  <si>
    <t>2.1.5.72</t>
  </si>
  <si>
    <t>2.1.5.73</t>
  </si>
  <si>
    <t>2.1.5.74</t>
  </si>
  <si>
    <t>2.1.5.75</t>
  </si>
  <si>
    <t>2.1.5.76</t>
  </si>
  <si>
    <t>2.1.5.77</t>
  </si>
  <si>
    <t>2.1.5.78</t>
  </si>
  <si>
    <t>2.1.5.79</t>
  </si>
  <si>
    <t>2.1.5.80</t>
  </si>
  <si>
    <t>2.1.5.81</t>
  </si>
  <si>
    <t>2.1.5.82</t>
  </si>
  <si>
    <t>2.1.5.83</t>
  </si>
  <si>
    <t>2.1.5.84</t>
  </si>
  <si>
    <t>2.1.5.85</t>
  </si>
  <si>
    <t>2.1.5.86</t>
  </si>
  <si>
    <t>2.1.5.87</t>
  </si>
  <si>
    <t>2.1.5.88</t>
  </si>
  <si>
    <t>2.1.5.89</t>
  </si>
  <si>
    <t>2.1.5.90</t>
  </si>
  <si>
    <t>2.1.5.91</t>
  </si>
  <si>
    <t>2.1.5.92</t>
  </si>
  <si>
    <t>2.1.5.93</t>
  </si>
  <si>
    <t>2.1.5.94</t>
  </si>
  <si>
    <t>2.1.5.95</t>
  </si>
  <si>
    <t>2.1.5.96</t>
  </si>
  <si>
    <t>2.1.5.97</t>
  </si>
  <si>
    <t>2.1.5.98</t>
  </si>
  <si>
    <t>2.1.5.99</t>
  </si>
  <si>
    <t>2.1.5.100</t>
  </si>
  <si>
    <t>2.1.5.101</t>
  </si>
  <si>
    <t>2.1.5.102</t>
  </si>
  <si>
    <t>2.1.5.103</t>
  </si>
  <si>
    <t>2.1.5.105</t>
  </si>
  <si>
    <t>2.1.5.106</t>
  </si>
  <si>
    <t>2.1.5.107</t>
  </si>
  <si>
    <t>2.1.5.108</t>
  </si>
  <si>
    <t>2.1.5.109</t>
  </si>
  <si>
    <t>2.1.5.110</t>
  </si>
  <si>
    <t>2.1.5.111</t>
  </si>
  <si>
    <t>2.1.5.112</t>
  </si>
  <si>
    <t>2.1.5.113</t>
  </si>
  <si>
    <t>2.1.5.114</t>
  </si>
  <si>
    <t>2.1.5.115</t>
  </si>
  <si>
    <t>2.1.5.116</t>
  </si>
  <si>
    <t>2.1.5.117</t>
  </si>
  <si>
    <t>2.1.5.118</t>
  </si>
  <si>
    <t>2.1.5.119</t>
  </si>
  <si>
    <t>2.1.5.120</t>
  </si>
  <si>
    <t>2.1.5.121</t>
  </si>
  <si>
    <t>2.1.5.122</t>
  </si>
  <si>
    <t>2.1.5.123</t>
  </si>
  <si>
    <t>2.1.5.124</t>
  </si>
  <si>
    <t>2.1.5.125</t>
  </si>
  <si>
    <t>2.1.5.126</t>
  </si>
  <si>
    <t>2.1.5.127</t>
  </si>
  <si>
    <t>2.1.5.128</t>
  </si>
  <si>
    <t>2.1.5.129</t>
  </si>
  <si>
    <t>2.1.5.130</t>
  </si>
  <si>
    <t>2.1.5.131</t>
  </si>
  <si>
    <t>2.1.5.132</t>
  </si>
  <si>
    <t>2.1.5.133</t>
  </si>
  <si>
    <t>2.1.1.1.1</t>
  </si>
  <si>
    <t>2.1.1.1.2</t>
  </si>
  <si>
    <t>2.1.1.1</t>
  </si>
  <si>
    <t>2.1.1.1.3</t>
  </si>
  <si>
    <t>2.1.1.2</t>
  </si>
  <si>
    <t>2.1.1.3</t>
  </si>
  <si>
    <t>2.1.1.4</t>
  </si>
  <si>
    <t>2.1.1.6</t>
  </si>
  <si>
    <t>2.1.1.7</t>
  </si>
  <si>
    <t>2.1.1.8</t>
  </si>
  <si>
    <t>2.1.1.8.1</t>
  </si>
  <si>
    <t>2.1.1.9</t>
  </si>
  <si>
    <t>2.1.1.9.1</t>
  </si>
  <si>
    <t>2.1.1.10</t>
  </si>
  <si>
    <t>2.1.1.11</t>
  </si>
  <si>
    <t>2.1.1.12</t>
  </si>
  <si>
    <t>2.1.1.13</t>
  </si>
  <si>
    <t>2.1.1.13.1</t>
  </si>
  <si>
    <t>2.1.1.13.2</t>
  </si>
  <si>
    <t>2.1.1.13.3</t>
  </si>
  <si>
    <t>2.1.1.14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</si>
  <si>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</si>
  <si>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</si>
  <si>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</si>
  <si>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</si>
  <si>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</si>
  <si>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</si>
  <si>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</si>
  <si>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</si>
  <si>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</si>
  <si>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</si>
  <si>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</si>
  <si>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</si>
  <si>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</si>
  <si>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</si>
  <si>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</si>
  <si>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</si>
  <si>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</si>
  <si>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</si>
  <si>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</si>
  <si>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</si>
  <si>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2.1.3.22</t>
  </si>
  <si>
    <t>2.1.3.21</t>
  </si>
  <si>
    <t>2.1.3.24</t>
  </si>
  <si>
    <t>2.1.3.25</t>
  </si>
  <si>
    <t>2.1.3.26</t>
  </si>
  <si>
    <t>2.1.3.27</t>
  </si>
  <si>
    <t>2.1.3.28</t>
  </si>
  <si>
    <t>2.1.3.29</t>
  </si>
  <si>
    <t>2.1.4.1</t>
  </si>
  <si>
    <t>2.1.4.2</t>
  </si>
  <si>
    <t>2.1.4.3</t>
  </si>
  <si>
    <t>2.1.4.4</t>
  </si>
  <si>
    <t>2.1.4.5</t>
  </si>
  <si>
    <t>2.1.4.6</t>
  </si>
  <si>
    <t>2.1.4.7</t>
  </si>
  <si>
    <t>2.1.4.8</t>
  </si>
  <si>
    <t>2.1.4.9</t>
  </si>
  <si>
    <t>2.1.4.10</t>
  </si>
  <si>
    <t>2.1.4.11</t>
  </si>
  <si>
    <t>2.1.4.12</t>
  </si>
  <si>
    <t>2.1.4.13</t>
  </si>
  <si>
    <t>2.1.4.14</t>
  </si>
  <si>
    <t>2.1.4.15</t>
  </si>
  <si>
    <t>2.1.4.16</t>
  </si>
  <si>
    <t>2.1.4.17</t>
  </si>
  <si>
    <t>2.1.4.18</t>
  </si>
  <si>
    <t>2.1.4.19</t>
  </si>
  <si>
    <t>2.1.4.20</t>
  </si>
  <si>
    <t>2.1.4.21</t>
  </si>
  <si>
    <t>2.1.6.1</t>
  </si>
  <si>
    <t>2.1.6.2</t>
  </si>
  <si>
    <t>2.1.7.1</t>
  </si>
  <si>
    <t>2.1.7.2</t>
  </si>
  <si>
    <t>2.1.7.3</t>
  </si>
  <si>
    <t>2.1.7.3.1</t>
  </si>
  <si>
    <t>2.1.7.3.2</t>
  </si>
  <si>
    <t>2.1.7.3.3</t>
  </si>
  <si>
    <t>2.1.7.3.4</t>
  </si>
  <si>
    <t>2.1.7.3.5</t>
  </si>
  <si>
    <t>2.1.7.3.6</t>
  </si>
  <si>
    <t>2.1.7.3.7</t>
  </si>
  <si>
    <t>2.1.7.4</t>
  </si>
  <si>
    <t>2.1.7.5</t>
  </si>
  <si>
    <t>2.1.7.5.1</t>
  </si>
  <si>
    <t>2.1.7.6</t>
  </si>
  <si>
    <t>2.1.7.6.1</t>
  </si>
  <si>
    <t>2.17.7</t>
  </si>
  <si>
    <t>Ремонт ул.Воскресенская  между ул.Дзержинского и ул.Заставная</t>
  </si>
  <si>
    <t>Ремнот Комсомольского шоссе между ул.Комзина и ул.Есенина</t>
  </si>
  <si>
    <t>Ремонт Южного шоссе, от ул.Борковская до ул.Полякова</t>
  </si>
  <si>
    <t>Ремонт Южная завода - часть Южного шоссе, между ул.Борковская и ул.Воскресенская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</si>
  <si>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 и финансовые ресурсы</t>
  </si>
  <si>
    <t>Устройство  искусственных неровностей трапецеевидной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</si>
  <si>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мероприятий муниципальной программы "Развитие транспортной системы и дорожного хозяйства городского округа Тольятти на 2021-2025 гг." </t>
  </si>
  <si>
    <t>Объекты на 2025 год</t>
  </si>
  <si>
    <t>Количество диагностируемых надземных пешеходных переходов (мостов, путепроводов)</t>
  </si>
  <si>
    <t>2021, 2024</t>
  </si>
  <si>
    <t>1.1.10.</t>
  </si>
  <si>
    <t xml:space="preserve">2024 </t>
  </si>
  <si>
    <t>Осуществление технологического присоединения к электрическим сетям объекта "Пункт весового контроля", расположенного по адресу: Самарская область, г.Тольятти, ул. Коммунальная</t>
  </si>
  <si>
    <t xml:space="preserve">Проезд к войсковой части </t>
  </si>
  <si>
    <t>ул. Кирова</t>
  </si>
  <si>
    <t xml:space="preserve">Количество откорректированной проектно-сметной документации </t>
  </si>
  <si>
    <t>вдоль проспекта Степана Разина от дома №35 до дома №25;</t>
  </si>
  <si>
    <t>Устройство светофорного объекта (Южное шоссе  ООТ "ДС КВЦ ВАЗа");</t>
  </si>
  <si>
    <t>Устройство светофорного объекта (Южное шоссе  ООТ "5 вставка ВАЗа");</t>
  </si>
  <si>
    <t>Устройство светофорного объекта (б-р Цветной в районе дома №20);</t>
  </si>
  <si>
    <t>Устройство светофорного объекта (б-р Баумана в районе домов №1 и №2)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</si>
  <si>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объектов подпрограммы "Повышение безопасности дорожного движения на период 2021 - 2025 гг." и финансовые ресурсы</t>
  </si>
  <si>
    <t xml:space="preserve">Диагностика подземных пешеходных переходов:     2023 год:                                       - автодороги Восточная завода-часть улицы Борковской между улицей Северной и шоссе Южным;  2024 год:                                                       - северо-восточнее жилого дома, имеющего адрес проспект Ленинский, 27;                                          - по ул. Свердлова в районе ТД «Восход», имеющего адрес ул. Революционная, 20;                                                                    - северо-восточнее здания, имеющего адрес: ул. Новозаводская, д.11;               - северо-восточнее здания, имеющего адрес: ул. Новозаводская, д.7
</t>
  </si>
  <si>
    <t>Диагностика надземных пешеходных переходов (мостов,путепроводов):                                                                                      2021 год:                                                                                                     -путепровод через а/д на пересечении ул. Громовой – Поволжское шоссе г.о. Тольятти;                                                                         - путепровод через а/д на пересечении ул. Революционная – Ленинский проспект г.о. Тольятти;                      2024 год:                                                                              -путепровод «Автозаводское шоссе ООО «Детская многопрофильная больница»</t>
  </si>
  <si>
    <t xml:space="preserve">Диагностика надземных пешеходных переходов (мостов,путепроводов):                                                                       2021 год:                                                              -путепровод через а/д на пересечении ул. Громовой – Поволжское шоссе г.о. Тольятти;                                                            -путепровод через а/д на пересечении ул. Революционная – Ленинский проспект г.о. Тольятти;                                                                       2024 год:                                                          -путепровод «Автозаводское шоссе ООО «Детская многопрофильная больница»
</t>
  </si>
  <si>
    <t xml:space="preserve">Диагностика подземных пешеходных переходов:                                                  2023 год:                                                                  -автодороги Восточная завода-часть улицы Борковской между улицей Северной и шоссе Южным;                                                              2024 год:                                                             -северо-восточнее жилого дома, имеющего адрес проспект Ленинский, 27;                                                                    -по ул. Свердлова в районе ТД «Восход», имеющего адрес ул. Революционная, 20;                                                                 -северо-восточнее здания, имеющего адрес: ул. Новозаводская, д.11;                                                        -северо-восточнее здания, имеющего адрес: ул. Новозаводская, д.7
</t>
  </si>
  <si>
    <t>Оплата принятых в 2021 году обязательств</t>
  </si>
  <si>
    <t>2021 (Оплата ранее принятых обязательств)</t>
  </si>
  <si>
    <t>между домами №6 и 8 по б-ру Баумана;</t>
  </si>
  <si>
    <t>между домами №17 по ул. Офицерской и №3 по б-ру Солнечный;</t>
  </si>
  <si>
    <t>между зданиями №11 и №15Б по по ул. 70 лет Октября</t>
  </si>
  <si>
    <t>от ООТ "ТВВКИСУ" до перекрестка с ул. Ворошилова</t>
  </si>
  <si>
    <t>1.4.</t>
  </si>
  <si>
    <t>1.4.1.</t>
  </si>
  <si>
    <t>1.4.2.</t>
  </si>
  <si>
    <t>1.4.3.</t>
  </si>
  <si>
    <t>1.4.4.</t>
  </si>
  <si>
    <t>1.4.5.</t>
  </si>
  <si>
    <t>1.4.6.</t>
  </si>
  <si>
    <t>Департамент образования  администрации городского округа Тольятти</t>
  </si>
  <si>
    <t>Проведение городского профилактического мероприятия на знание правил дорожного движения "Интеллектуальный квиз "Дорога и СИМ"</t>
  </si>
  <si>
    <t>Проведение квеста по безопасности дорожного движения  среди  творческих объединений школьников - юных инспекторов движения "Битва отрядов ЮИД"</t>
  </si>
  <si>
    <t>Количество предоставленных точек по технологическому присоединению к централизованной системе водоотведения</t>
  </si>
  <si>
    <t xml:space="preserve">Количество предоставленных точек по технологическому присоединению к электрическим сетям </t>
  </si>
  <si>
    <t>Количество разработанной проектно-сметной документации по устройству, строительству заездов, проездов, автомобильных дорог общего пользования местного значения городского округа Тольятти</t>
  </si>
  <si>
    <t>Организация и проведение тестирования учащихся 3. 7, 10 классов на знание правил дорожного движения</t>
  </si>
  <si>
    <t>Задача 4 подпрограммы: формирование законопослушного поведения участников дорожного движения</t>
  </si>
  <si>
    <t xml:space="preserve">Количество проведенных квестов
</t>
  </si>
  <si>
    <t>Количество проведенных акций</t>
  </si>
  <si>
    <t>Количество проведенных мероприятий</t>
  </si>
  <si>
    <t>Проведение акции " Безопасность на дорогах начинается с семьи"</t>
  </si>
  <si>
    <t>Доля муниципальных дошкольных образовательных учреждений, в которых проведена акция</t>
  </si>
  <si>
    <t xml:space="preserve">Организация работы отрядов Юных помощников инспекторов движения </t>
  </si>
  <si>
    <t>Доля муниципальных общеобразовательных учреждений, в которых проведено тестирование</t>
  </si>
  <si>
    <t>1.4.7.</t>
  </si>
  <si>
    <t>1.4.8.</t>
  </si>
  <si>
    <t>Департамент общественной безопасности  администрации городского округа Тольятти</t>
  </si>
  <si>
    <t>Количество размещенной информации</t>
  </si>
  <si>
    <t>Информационное оповещение пассажиров о правилах дорожного движения в общественном городском наземном транспорте</t>
  </si>
  <si>
    <t>Доля подвижного состава, информирующая пассажиров о правилах дорожного движения</t>
  </si>
  <si>
    <t>Доля образовательных учреждений, принявших участие в профилактических  мероприятиях</t>
  </si>
  <si>
    <t>не менее 3</t>
  </si>
  <si>
    <t>не менее 50</t>
  </si>
  <si>
    <t>г.о. Тольятти,ул. Вокзальная ООТ "10 проходная";</t>
  </si>
  <si>
    <t>млн. пассажиро-километров</t>
  </si>
  <si>
    <t>Приобретение спецтехники и транспортных средств</t>
  </si>
  <si>
    <t>Количество приобретенных транспортных средств</t>
  </si>
  <si>
    <t>г.о. Тольятти ул.Коммунистическая от ул.Тюленина 
г.о. Тольятти, проезд вдоль домов №28,30а,32 по ул.Баныкина (71 квартал)         
г.о. Тольятти ул.Коммунистическая от ул.Тюленина</t>
  </si>
  <si>
    <t xml:space="preserve">г.о. Тольятти, проезд вдоль домов №28,30а,32 по ул.Баныкина (71 квартал) </t>
  </si>
  <si>
    <t>Размещение на официальном портале органов местного самоуправления информации о безопасном поведении на дороге</t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</si>
  <si>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</si>
  <si>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t xml:space="preserve">В связи с невыполнением подрядной организацией капитального ремонта автодороги по ул.Никонова от улицы Железнодорожная до улицы Ингельберга  в 2022, 2023 году, площадь на которой необходимо произвести капитальный ремонт переносится на 2024 год. </t>
  </si>
  <si>
    <t>Проведение городской акции по профилактике и предупреждению дорожно-транспортных происшествий и правонарушений с участием лиц, использующих для передвижения средства индивидуальной мобильности "По Тольятти на СИМ безопасно колесим"</t>
  </si>
  <si>
    <t xml:space="preserve">МП "ТТУ",                                                                АО ТПАТП №3 (Департамент дорожного хозяйства и транспорта  администрации городского округа Тольятти)                                                    </t>
  </si>
  <si>
    <t>Ремонт пешеходных дорожек и площадок остановок общественного транспорта</t>
  </si>
  <si>
    <t>ООТ «Аптека № 245» на ул. Революционной;</t>
  </si>
  <si>
    <t>ООТ «Кинотеатр “Сатурн”» на ул. Революционной;</t>
  </si>
  <si>
    <t>ООТ «Ателье Мод» на ул. Революционной;</t>
  </si>
  <si>
    <t>Пешеходная дорожка по ул. Шлютова;</t>
  </si>
  <si>
    <t>Пешеходная дорожка по ул. Дзержинского</t>
  </si>
  <si>
    <t>Пешеходная дорожка по ул. 70 лет Октября на пешеходном переходе между домами 68 и 47 по ул. 70 лет Октября;</t>
  </si>
  <si>
    <t>Количество отремонтированных  площадок остановок общественного транспорта</t>
  </si>
  <si>
    <t xml:space="preserve">Количество отремонтированных пешеходных дорожек </t>
  </si>
  <si>
    <t>350,26/194,12</t>
  </si>
  <si>
    <t>Приложение № 1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</si>
  <si>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2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</si>
  <si>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3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</si>
  <si>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4                                                                                                                                                                       к  постановлению администрации                                                                                                                                            городского  округа Тольятти                                    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</si>
</sst>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4">
    <xf numFmtId="0" fontId="0" fillId="0" borderId="0" xfId="0"/>
    <xf numFmtId="0" fontId="25" fillId="0" borderId="0" xfId="0" applyFont="1" applyAlignment="1">
      <alignment wrapText="1"/>
    </xf>
    <xf numFmtId="0" fontId="0" fillId="0" borderId="6" xfId="0" applyBorder="1"/>
    <xf numFmtId="0" fontId="5" fillId="0" borderId="0" xfId="0" applyFont="1"/>
    <xf numFmtId="0" fontId="14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17" fillId="0" borderId="0" xfId="0" applyFont="1"/>
    <xf numFmtId="0" fontId="0" fillId="0" borderId="0" xfId="0" applyAlignment="1">
      <alignment horizontal="center" vertical="center"/>
    </xf>
    <xf numFmtId="4" fontId="9" fillId="0" borderId="0" xfId="0" applyNumberFormat="1" applyFont="1"/>
    <xf numFmtId="0" fontId="39" fillId="0" borderId="0" xfId="0" applyFont="1"/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5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27" fillId="0" borderId="0" xfId="0" applyFont="1"/>
    <xf numFmtId="0" fontId="20" fillId="0" borderId="0" xfId="0" applyFont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0" fontId="0" fillId="0" borderId="3" xfId="0" applyBorder="1"/>
    <xf numFmtId="0" fontId="5" fillId="0" borderId="3" xfId="0" applyFont="1" applyBorder="1"/>
    <xf numFmtId="3" fontId="29" fillId="0" borderId="4" xfId="0" applyNumberFormat="1" applyFont="1" applyBorder="1" applyAlignment="1">
      <alignment horizontal="center" vertical="center"/>
    </xf>
    <xf numFmtId="166" fontId="40" fillId="0" borderId="1" xfId="0" applyNumberFormat="1" applyFont="1" applyBorder="1" applyAlignment="1">
      <alignment horizontal="center" vertical="center"/>
    </xf>
    <xf numFmtId="166" fontId="24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shrinkToFit="1"/>
    </xf>
    <xf numFmtId="2" fontId="7" fillId="0" borderId="0" xfId="1" applyNumberFormat="1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2" borderId="0" xfId="0" applyFill="1"/>
    <xf numFmtId="0" fontId="5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/>
    <xf numFmtId="0" fontId="24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44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0" xfId="0" applyFont="1" applyFill="1"/>
    <xf numFmtId="0" fontId="19" fillId="2" borderId="3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7" fontId="5" fillId="2" borderId="0" xfId="0" applyNumberFormat="1" applyFont="1" applyFill="1"/>
    <xf numFmtId="0" fontId="17" fillId="2" borderId="0" xfId="0" applyFont="1" applyFill="1"/>
    <xf numFmtId="0" fontId="2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5" fillId="2" borderId="6" xfId="0" applyFont="1" applyFill="1" applyBorder="1"/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top" wrapText="1"/>
    </xf>
    <xf numFmtId="168" fontId="46" fillId="2" borderId="4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168" fontId="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top" wrapText="1"/>
    </xf>
    <xf numFmtId="168" fontId="6" fillId="2" borderId="16" xfId="0" applyNumberFormat="1" applyFont="1" applyFill="1" applyBorder="1" applyAlignment="1">
      <alignment horizontal="center" vertical="top" wrapText="1"/>
    </xf>
    <xf numFmtId="168" fontId="6" fillId="2" borderId="13" xfId="0" applyNumberFormat="1" applyFont="1" applyFill="1" applyBorder="1" applyAlignment="1">
      <alignment horizontal="center" vertical="top" wrapText="1"/>
    </xf>
    <xf numFmtId="169" fontId="6" fillId="2" borderId="13" xfId="0" applyNumberFormat="1" applyFont="1" applyFill="1" applyBorder="1" applyAlignment="1">
      <alignment horizontal="center" vertical="top" wrapText="1"/>
    </xf>
    <xf numFmtId="169" fontId="6" fillId="2" borderId="14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169" fontId="6" fillId="2" borderId="5" xfId="0" applyNumberFormat="1" applyFont="1" applyFill="1" applyBorder="1" applyAlignment="1">
      <alignment horizontal="center" vertical="top" wrapText="1"/>
    </xf>
    <xf numFmtId="169" fontId="6" fillId="2" borderId="4" xfId="0" applyNumberFormat="1" applyFont="1" applyFill="1" applyBorder="1" applyAlignment="1">
      <alignment horizontal="center" vertical="top" wrapText="1"/>
    </xf>
    <xf numFmtId="168" fontId="46" fillId="2" borderId="1" xfId="0" applyNumberFormat="1" applyFont="1" applyFill="1" applyBorder="1" applyAlignment="1">
      <alignment horizontal="center" vertical="top" wrapText="1"/>
    </xf>
    <xf numFmtId="169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170" fontId="6" fillId="2" borderId="1" xfId="0" applyNumberFormat="1" applyFont="1" applyFill="1" applyBorder="1" applyAlignment="1">
      <alignment horizontal="center" vertical="top" wrapText="1"/>
    </xf>
    <xf numFmtId="169" fontId="46" fillId="2" borderId="1" xfId="0" applyNumberFormat="1" applyFont="1" applyFill="1" applyBorder="1" applyAlignment="1">
      <alignment horizontal="center" vertical="top" wrapText="1"/>
    </xf>
    <xf numFmtId="169" fontId="6" fillId="2" borderId="11" xfId="0" applyNumberFormat="1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46" fillId="2" borderId="1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2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/>
    </xf>
    <xf numFmtId="0" fontId="14" fillId="2" borderId="0" xfId="0" applyFont="1" applyFill="1"/>
    <xf numFmtId="0" fontId="24" fillId="2" borderId="0" xfId="0" applyFont="1" applyFill="1" applyAlignment="1">
      <alignment horizontal="center" vertical="top" wrapText="1"/>
    </xf>
    <xf numFmtId="165" fontId="0" fillId="2" borderId="0" xfId="0" applyNumberFormat="1" applyFill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 wrapText="1"/>
    </xf>
    <xf numFmtId="0" fontId="45" fillId="2" borderId="8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2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9" xfId="0" applyFont="1" applyFill="1" applyBorder="1" applyAlignment="1">
      <alignment horizontal="left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167" fontId="34" fillId="2" borderId="5" xfId="0" applyNumberFormat="1" applyFont="1" applyFill="1" applyBorder="1" applyAlignment="1">
      <alignment vertical="top"/>
    </xf>
    <xf numFmtId="167" fontId="34" fillId="2" borderId="5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vertical="top"/>
    </xf>
    <xf numFmtId="167" fontId="34" fillId="2" borderId="8" xfId="0" applyNumberFormat="1" applyFont="1" applyFill="1" applyBorder="1" applyAlignment="1">
      <alignment vertical="center"/>
    </xf>
    <xf numFmtId="167" fontId="34" fillId="2" borderId="4" xfId="0" applyNumberFormat="1" applyFont="1" applyFill="1" applyBorder="1" applyAlignment="1">
      <alignment vertical="top"/>
    </xf>
    <xf numFmtId="167" fontId="34" fillId="2" borderId="4" xfId="0" applyNumberFormat="1" applyFont="1" applyFill="1" applyBorder="1" applyAlignment="1">
      <alignment vertical="center"/>
    </xf>
    <xf numFmtId="167" fontId="34" fillId="2" borderId="8" xfId="0" applyNumberFormat="1" applyFont="1" applyFill="1" applyBorder="1" applyAlignment="1">
      <alignment horizontal="center" vertical="top"/>
    </xf>
    <xf numFmtId="167" fontId="34" fillId="2" borderId="8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167" fontId="34" fillId="2" borderId="5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0" fontId="0" fillId="2" borderId="4" xfId="0" applyFill="1" applyBorder="1"/>
    <xf numFmtId="0" fontId="10" fillId="2" borderId="4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vertical="top"/>
    </xf>
    <xf numFmtId="168" fontId="3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top" wrapText="1"/>
    </xf>
    <xf numFmtId="0" fontId="25" fillId="2" borderId="11" xfId="0" applyFont="1" applyFill="1" applyBorder="1" applyAlignment="1">
      <alignment horizontal="left" vertical="center" wrapText="1"/>
    </xf>
    <xf numFmtId="168" fontId="34" fillId="2" borderId="4" xfId="0" applyNumberFormat="1" applyFont="1" applyFill="1" applyBorder="1" applyAlignment="1">
      <alignment vertical="top"/>
    </xf>
    <xf numFmtId="168" fontId="34" fillId="2" borderId="4" xfId="0" applyNumberFormat="1" applyFont="1" applyFill="1" applyBorder="1" applyAlignment="1">
      <alignment vertical="center"/>
    </xf>
    <xf numFmtId="168" fontId="34" fillId="2" borderId="8" xfId="0" applyNumberFormat="1" applyFont="1" applyFill="1" applyBorder="1" applyAlignment="1">
      <alignment vertical="top"/>
    </xf>
    <xf numFmtId="168" fontId="34" fillId="2" borderId="8" xfId="0" applyNumberFormat="1" applyFont="1" applyFill="1" applyBorder="1" applyAlignment="1">
      <alignment vertical="center"/>
    </xf>
    <xf numFmtId="168" fontId="15" fillId="2" borderId="8" xfId="0" applyNumberFormat="1" applyFont="1" applyFill="1" applyBorder="1" applyAlignment="1">
      <alignment vertical="top"/>
    </xf>
    <xf numFmtId="0" fontId="56" fillId="2" borderId="8" xfId="0" applyFont="1" applyFill="1" applyBorder="1" applyAlignment="1">
      <alignment horizontal="left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wrapText="1"/>
    </xf>
    <xf numFmtId="0" fontId="25" fillId="2" borderId="11" xfId="0" applyFont="1" applyFill="1" applyBorder="1"/>
    <xf numFmtId="0" fontId="10" fillId="2" borderId="1" xfId="0" applyFont="1" applyFill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wrapText="1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4" fontId="11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2" fontId="57" fillId="2" borderId="1" xfId="0" applyNumberFormat="1" applyFont="1" applyFill="1" applyBorder="1" applyAlignment="1">
      <alignment horizontal="center" vertical="center" wrapText="1" shrinkToFit="1"/>
    </xf>
    <xf numFmtId="4" fontId="10" fillId="2" borderId="1" xfId="0" applyNumberFormat="1" applyFont="1" applyFill="1" applyBorder="1" applyAlignment="1">
      <alignment horizontal="center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1" fillId="2" borderId="1" xfId="0" applyNumberFormat="1" applyFont="1" applyFill="1" applyBorder="1" applyAlignment="1">
      <alignment horizontal="left" vertical="center" wrapText="1" shrinkToFit="1"/>
    </xf>
    <xf numFmtId="4" fontId="35" fillId="2" borderId="1" xfId="0" applyNumberFormat="1" applyFont="1" applyFill="1" applyBorder="1" applyAlignment="1">
      <alignment horizontal="center" vertical="center" wrapText="1" shrinkToFit="1"/>
    </xf>
    <xf numFmtId="4" fontId="31" fillId="2" borderId="1" xfId="0" applyNumberFormat="1" applyFont="1" applyFill="1" applyBorder="1" applyAlignment="1">
      <alignment horizontal="left" vertical="center" wrapText="1" shrinkToFit="1"/>
    </xf>
    <xf numFmtId="4" fontId="39" fillId="2" borderId="0" xfId="0" applyNumberFormat="1" applyFont="1" applyFill="1"/>
    <xf numFmtId="4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left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6" fillId="2" borderId="1" xfId="1" applyNumberFormat="1" applyFont="1" applyFill="1" applyBorder="1" applyAlignment="1">
      <alignment horizontal="center" vertical="center" wrapText="1"/>
    </xf>
    <xf numFmtId="4" fontId="49" fillId="2" borderId="1" xfId="1" applyNumberFormat="1" applyFont="1" applyFill="1" applyBorder="1" applyAlignment="1">
      <alignment horizontal="left" vertical="center" wrapText="1"/>
    </xf>
    <xf numFmtId="2" fontId="46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2" fontId="8" fillId="2" borderId="1" xfId="1" applyNumberFormat="1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71" fontId="6" fillId="2" borderId="1" xfId="4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167" fontId="25" fillId="2" borderId="2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168" fontId="29" fillId="2" borderId="1" xfId="0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horizontal="center" vertical="center" wrapText="1"/>
    </xf>
    <xf numFmtId="3" fontId="28" fillId="2" borderId="1" xfId="4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/>
    <xf numFmtId="3" fontId="24" fillId="2" borderId="0" xfId="0" applyNumberFormat="1" applyFont="1" applyFill="1"/>
    <xf numFmtId="3" fontId="29" fillId="2" borderId="1" xfId="4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16" fontId="19" fillId="2" borderId="1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168" fontId="0" fillId="2" borderId="0" xfId="0" applyNumberFormat="1" applyFill="1"/>
    <xf numFmtId="0" fontId="6" fillId="2" borderId="7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25" fillId="2" borderId="1" xfId="6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5" fillId="2" borderId="1" xfId="6" applyFont="1" applyFill="1" applyBorder="1" applyAlignment="1">
      <alignment horizontal="center" vertical="center" wrapText="1"/>
    </xf>
    <xf numFmtId="3" fontId="29" fillId="2" borderId="1" xfId="6" applyNumberFormat="1" applyFont="1" applyFill="1" applyBorder="1" applyAlignment="1">
      <alignment horizontal="center" vertical="center"/>
    </xf>
    <xf numFmtId="3" fontId="28" fillId="2" borderId="1" xfId="6" applyNumberFormat="1" applyFont="1" applyFill="1" applyBorder="1" applyAlignment="1">
      <alignment horizontal="center" vertical="center"/>
    </xf>
    <xf numFmtId="3" fontId="53" fillId="2" borderId="1" xfId="6" applyNumberFormat="1" applyFont="1" applyFill="1" applyBorder="1" applyAlignment="1">
      <alignment horizontal="center" vertical="center"/>
    </xf>
    <xf numFmtId="3" fontId="54" fillId="2" borderId="1" xfId="6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25" fillId="2" borderId="3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69" fontId="6" fillId="2" borderId="0" xfId="0" applyNumberFormat="1" applyFont="1" applyFill="1" applyAlignment="1">
      <alignment horizontal="center" vertical="top" wrapText="1"/>
    </xf>
    <xf numFmtId="2" fontId="46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8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top"/>
    </xf>
    <xf numFmtId="168" fontId="15" fillId="2" borderId="1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172" fontId="6" fillId="2" borderId="1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top" wrapText="1"/>
    </xf>
    <xf numFmtId="0" fontId="16" fillId="2" borderId="7" xfId="0" applyFont="1" applyFill="1" applyBorder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168" fontId="15" fillId="2" borderId="5" xfId="0" applyNumberFormat="1" applyFont="1" applyFill="1" applyBorder="1" applyAlignment="1">
      <alignment horizontal="center" vertical="center"/>
    </xf>
    <xf numFmtId="168" fontId="15" fillId="2" borderId="8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center"/>
    </xf>
    <xf numFmtId="168" fontId="34" fillId="2" borderId="8" xfId="0" applyNumberFormat="1" applyFont="1" applyFill="1" applyBorder="1" applyAlignment="1">
      <alignment horizontal="center" vertical="center"/>
    </xf>
    <xf numFmtId="168" fontId="34" fillId="2" borderId="4" xfId="0" applyNumberFormat="1" applyFont="1" applyFill="1" applyBorder="1" applyAlignment="1">
      <alignment horizontal="center" vertical="center"/>
    </xf>
    <xf numFmtId="168" fontId="34" fillId="2" borderId="5" xfId="0" applyNumberFormat="1" applyFont="1" applyFill="1" applyBorder="1" applyAlignment="1">
      <alignment horizontal="center" vertical="top"/>
    </xf>
    <xf numFmtId="168" fontId="34" fillId="2" borderId="8" xfId="0" applyNumberFormat="1" applyFont="1" applyFill="1" applyBorder="1" applyAlignment="1">
      <alignment horizontal="center" vertical="top"/>
    </xf>
    <xf numFmtId="168" fontId="34" fillId="2" borderId="4" xfId="0" applyNumberFormat="1" applyFont="1" applyFill="1" applyBorder="1" applyAlignment="1">
      <alignment horizontal="center" vertical="top"/>
    </xf>
    <xf numFmtId="168" fontId="34" fillId="2" borderId="17" xfId="0" applyNumberFormat="1" applyFont="1" applyFill="1" applyBorder="1" applyAlignment="1">
      <alignment horizontal="center" vertical="top"/>
    </xf>
    <xf numFmtId="168" fontId="15" fillId="2" borderId="5" xfId="0" applyNumberFormat="1" applyFont="1" applyFill="1" applyBorder="1" applyAlignment="1">
      <alignment horizontal="center" vertical="top"/>
    </xf>
    <xf numFmtId="168" fontId="15" fillId="2" borderId="8" xfId="0" applyNumberFormat="1" applyFont="1" applyFill="1" applyBorder="1" applyAlignment="1">
      <alignment horizontal="center" vertical="top"/>
    </xf>
    <xf numFmtId="168" fontId="15" fillId="2" borderId="4" xfId="0" applyNumberFormat="1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68" fontId="16" fillId="2" borderId="5" xfId="0" applyNumberFormat="1" applyFont="1" applyFill="1" applyBorder="1" applyAlignment="1">
      <alignment horizontal="center" vertical="top" wrapText="1"/>
    </xf>
    <xf numFmtId="168" fontId="16" fillId="2" borderId="8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168" fontId="34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168" fontId="15" fillId="2" borderId="1" xfId="0" applyNumberFormat="1" applyFont="1" applyFill="1" applyBorder="1" applyAlignment="1">
      <alignment horizontal="center" vertical="top"/>
    </xf>
    <xf numFmtId="168" fontId="34" fillId="2" borderId="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left" vertical="center" wrapText="1"/>
    </xf>
    <xf numFmtId="0" fontId="51" fillId="2" borderId="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168" fontId="15" fillId="2" borderId="9" xfId="0" applyNumberFormat="1" applyFont="1" applyFill="1" applyBorder="1" applyAlignment="1">
      <alignment horizontal="center" vertical="top"/>
    </xf>
    <xf numFmtId="168" fontId="34" fillId="2" borderId="1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2" fontId="10" fillId="2" borderId="7" xfId="1" applyNumberFormat="1" applyFont="1" applyFill="1" applyBorder="1" applyAlignment="1">
      <alignment horizontal="left" vertical="center" wrapText="1"/>
    </xf>
    <xf numFmtId="2" fontId="10" fillId="2" borderId="3" xfId="1" applyNumberFormat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left" vertical="center" wrapText="1"/>
    </xf>
    <xf numFmtId="4" fontId="10" fillId="2" borderId="7" xfId="1" applyNumberFormat="1" applyFont="1" applyFill="1" applyBorder="1" applyAlignment="1">
      <alignment horizontal="left" vertical="center" wrapText="1"/>
    </xf>
    <xf numFmtId="4" fontId="10" fillId="2" borderId="3" xfId="1" applyNumberFormat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left" vertical="center" wrapText="1"/>
    </xf>
    <xf numFmtId="165" fontId="10" fillId="2" borderId="7" xfId="1" applyNumberFormat="1" applyFont="1" applyFill="1" applyBorder="1" applyAlignment="1">
      <alignment horizontal="left" vertical="center" wrapText="1"/>
    </xf>
    <xf numFmtId="165" fontId="10" fillId="2" borderId="3" xfId="1" applyNumberFormat="1" applyFont="1" applyFill="1" applyBorder="1" applyAlignment="1">
      <alignment horizontal="left" vertical="center" wrapText="1"/>
    </xf>
    <xf numFmtId="165" fontId="10" fillId="2" borderId="2" xfId="1" applyNumberFormat="1" applyFont="1" applyFill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left" vertical="center" wrapText="1" shrinkToFit="1"/>
    </xf>
    <xf numFmtId="4" fontId="10" fillId="2" borderId="3" xfId="0" applyNumberFormat="1" applyFont="1" applyFill="1" applyBorder="1" applyAlignment="1">
      <alignment horizontal="left" vertical="center" wrapText="1" shrinkToFit="1"/>
    </xf>
    <xf numFmtId="4" fontId="10" fillId="2" borderId="2" xfId="0" applyNumberFormat="1" applyFont="1" applyFill="1" applyBorder="1" applyAlignment="1">
      <alignment horizontal="left" vertical="center" wrapText="1" shrinkToFit="1"/>
    </xf>
    <xf numFmtId="2" fontId="7" fillId="2" borderId="1" xfId="0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2" fontId="10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/>
    <xf numFmtId="0" fontId="41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25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46" fillId="2" borderId="5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6" fillId="2" borderId="5" xfId="0" applyNumberFormat="1" applyFont="1" applyFill="1" applyBorder="1" applyAlignment="1">
      <alignment horizontal="center" vertical="top"/>
    </xf>
    <xf numFmtId="14" fontId="6" fillId="2" borderId="4" xfId="0" applyNumberFormat="1" applyFont="1" applyFill="1" applyBorder="1" applyAlignment="1">
      <alignment horizontal="center" vertical="top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66"/>
      <color rgb="FFFFFF00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"/>
  <sheetViews>
    <sheetView view="pageBreakPreview" topLeftCell="A16" zoomScale="90" zoomScaleNormal="85" zoomScaleSheetLayoutView="90" zoomScalePageLayoutView="130" workbookViewId="0">
      <selection activeCell="H22" sqref="H22"/>
    </sheetView>
  </sheetViews>
  <sheetFormatPr defaultColWidth="9.140625"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A1" s="46"/>
      <c r="B1" s="46"/>
      <c r="C1" s="46"/>
      <c r="D1" s="46"/>
      <c r="E1" s="371" t="s">
        <v>588</v>
      </c>
      <c r="F1" s="371"/>
      <c r="G1" s="371"/>
      <c r="H1" s="371"/>
      <c r="I1" s="371"/>
      <c r="J1" s="1"/>
      <c r="K1" s="1"/>
    </row>
    <row r="2" spans="1:11" ht="40.15" customHeight="1" x14ac:dyDescent="0.2">
      <c r="A2" s="370" t="s">
        <v>299</v>
      </c>
      <c r="B2" s="370"/>
      <c r="C2" s="370"/>
      <c r="D2" s="370"/>
      <c r="E2" s="370"/>
      <c r="F2" s="370"/>
      <c r="G2" s="370"/>
      <c r="H2" s="370"/>
      <c r="I2" s="370"/>
    </row>
    <row r="3" spans="1:11" ht="31.5" customHeight="1" x14ac:dyDescent="0.2">
      <c r="A3" s="377" t="s">
        <v>74</v>
      </c>
      <c r="B3" s="377" t="s">
        <v>180</v>
      </c>
      <c r="C3" s="377" t="s">
        <v>181</v>
      </c>
      <c r="D3" s="377" t="s">
        <v>100</v>
      </c>
      <c r="E3" s="377" t="s">
        <v>182</v>
      </c>
      <c r="F3" s="377"/>
      <c r="G3" s="377"/>
      <c r="H3" s="377"/>
      <c r="I3" s="377"/>
    </row>
    <row r="4" spans="1:11" ht="27" customHeight="1" x14ac:dyDescent="0.2">
      <c r="A4" s="377"/>
      <c r="B4" s="377"/>
      <c r="C4" s="377"/>
      <c r="D4" s="377"/>
      <c r="E4" s="47" t="s">
        <v>508</v>
      </c>
      <c r="F4" s="47" t="s">
        <v>509</v>
      </c>
      <c r="G4" s="47" t="s">
        <v>510</v>
      </c>
      <c r="H4" s="47" t="s">
        <v>511</v>
      </c>
      <c r="I4" s="47" t="s">
        <v>512</v>
      </c>
    </row>
    <row r="5" spans="1:11" ht="15" x14ac:dyDescent="0.2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</row>
    <row r="6" spans="1:11" ht="61.5" customHeight="1" x14ac:dyDescent="0.2">
      <c r="A6" s="124">
        <v>1</v>
      </c>
      <c r="B6" s="70" t="s">
        <v>197</v>
      </c>
      <c r="C6" s="124" t="s">
        <v>116</v>
      </c>
      <c r="D6" s="124">
        <v>2.5</v>
      </c>
      <c r="E6" s="124">
        <v>2.4500000000000002</v>
      </c>
      <c r="F6" s="126">
        <v>2.4</v>
      </c>
      <c r="G6" s="126">
        <v>2.35</v>
      </c>
      <c r="H6" s="126" t="s">
        <v>103</v>
      </c>
      <c r="I6" s="124" t="s">
        <v>103</v>
      </c>
    </row>
    <row r="7" spans="1:11" ht="45" customHeight="1" x14ac:dyDescent="0.2">
      <c r="A7" s="124">
        <v>2</v>
      </c>
      <c r="B7" s="70" t="s">
        <v>198</v>
      </c>
      <c r="C7" s="124" t="s">
        <v>177</v>
      </c>
      <c r="D7" s="124">
        <v>789</v>
      </c>
      <c r="E7" s="124">
        <v>788</v>
      </c>
      <c r="F7" s="124">
        <v>785</v>
      </c>
      <c r="G7" s="124">
        <v>780</v>
      </c>
      <c r="H7" s="124">
        <v>775</v>
      </c>
      <c r="I7" s="124">
        <v>770</v>
      </c>
    </row>
    <row r="8" spans="1:11" ht="48" customHeight="1" x14ac:dyDescent="0.2">
      <c r="A8" s="124">
        <v>3</v>
      </c>
      <c r="B8" s="70" t="s">
        <v>1406</v>
      </c>
      <c r="C8" s="124" t="s">
        <v>116</v>
      </c>
      <c r="D8" s="124" t="s">
        <v>103</v>
      </c>
      <c r="E8" s="124" t="s">
        <v>103</v>
      </c>
      <c r="F8" s="124" t="s">
        <v>103</v>
      </c>
      <c r="G8" s="124" t="s">
        <v>103</v>
      </c>
      <c r="H8" s="124">
        <v>100</v>
      </c>
      <c r="I8" s="124">
        <v>100</v>
      </c>
    </row>
    <row r="9" spans="1:11" ht="86.25" customHeight="1" x14ac:dyDescent="0.2">
      <c r="A9" s="124">
        <v>4</v>
      </c>
      <c r="B9" s="70" t="s">
        <v>394</v>
      </c>
      <c r="C9" s="124" t="s">
        <v>119</v>
      </c>
      <c r="D9" s="124">
        <v>711.9</v>
      </c>
      <c r="E9" s="125">
        <v>730.5</v>
      </c>
      <c r="F9" s="129">
        <v>755.75</v>
      </c>
      <c r="G9" s="129">
        <f>763.95-3.61+3.44-3.11</f>
        <v>760.67000000000007</v>
      </c>
      <c r="H9" s="320">
        <f>810.3-44.18-1.53+4.25+11.33-7.64</f>
        <v>772.53000000000009</v>
      </c>
      <c r="I9" s="124">
        <f>817.5-50.61</f>
        <v>766.89</v>
      </c>
    </row>
    <row r="10" spans="1:11" ht="98.25" customHeight="1" x14ac:dyDescent="0.2">
      <c r="A10" s="124">
        <v>5</v>
      </c>
      <c r="B10" s="70" t="s">
        <v>395</v>
      </c>
      <c r="C10" s="124" t="s">
        <v>116</v>
      </c>
      <c r="D10" s="124" t="s">
        <v>103</v>
      </c>
      <c r="E10" s="126">
        <v>0.35</v>
      </c>
      <c r="F10" s="129">
        <v>0.02</v>
      </c>
      <c r="G10" s="129">
        <f>0+0.19-0.17</f>
        <v>1.999999999999999E-2</v>
      </c>
      <c r="H10" s="320">
        <f>0.18-0.07</f>
        <v>0.10999999999999999</v>
      </c>
      <c r="I10" s="126" t="s">
        <v>103</v>
      </c>
    </row>
    <row r="11" spans="1:11" ht="112.5" customHeight="1" x14ac:dyDescent="0.2">
      <c r="A11" s="124">
        <v>6</v>
      </c>
      <c r="B11" s="70" t="s">
        <v>396</v>
      </c>
      <c r="C11" s="124" t="s">
        <v>116</v>
      </c>
      <c r="D11" s="124" t="s">
        <v>103</v>
      </c>
      <c r="E11" s="126">
        <v>0.1</v>
      </c>
      <c r="F11" s="129">
        <v>0.05</v>
      </c>
      <c r="G11" s="129">
        <f>100/868.09*1.96</f>
        <v>0.22578304092893592</v>
      </c>
      <c r="H11" s="124" t="s">
        <v>103</v>
      </c>
      <c r="I11" s="124" t="s">
        <v>103</v>
      </c>
    </row>
    <row r="12" spans="1:11" ht="112.5" customHeight="1" x14ac:dyDescent="0.2">
      <c r="A12" s="124">
        <v>7</v>
      </c>
      <c r="B12" s="70" t="s">
        <v>397</v>
      </c>
      <c r="C12" s="124" t="s">
        <v>116</v>
      </c>
      <c r="D12" s="124" t="s">
        <v>103</v>
      </c>
      <c r="E12" s="126">
        <v>0.05</v>
      </c>
      <c r="F12" s="129">
        <f>1.41-0.92</f>
        <v>0.48999999999999988</v>
      </c>
      <c r="G12" s="129" t="s">
        <v>103</v>
      </c>
      <c r="H12" s="126">
        <v>0.49</v>
      </c>
      <c r="I12" s="126" t="s">
        <v>103</v>
      </c>
    </row>
    <row r="13" spans="1:11" ht="146.25" customHeight="1" x14ac:dyDescent="0.2">
      <c r="A13" s="124">
        <v>8</v>
      </c>
      <c r="B13" s="70" t="s">
        <v>178</v>
      </c>
      <c r="C13" s="124" t="s">
        <v>116</v>
      </c>
      <c r="D13" s="124">
        <v>43.8</v>
      </c>
      <c r="E13" s="124">
        <v>3</v>
      </c>
      <c r="F13" s="130">
        <v>0.61</v>
      </c>
      <c r="G13" s="130">
        <f>2.34-0.17-0.18</f>
        <v>1.99</v>
      </c>
      <c r="H13" s="124">
        <f>2.16-0.29-0.12</f>
        <v>1.75</v>
      </c>
      <c r="I13" s="124" t="s">
        <v>103</v>
      </c>
    </row>
    <row r="14" spans="1:11" ht="36" customHeight="1" x14ac:dyDescent="0.2">
      <c r="A14" s="124">
        <v>9</v>
      </c>
      <c r="B14" s="70" t="s">
        <v>179</v>
      </c>
      <c r="C14" s="124" t="s">
        <v>116</v>
      </c>
      <c r="D14" s="124">
        <v>40</v>
      </c>
      <c r="E14" s="124">
        <v>45</v>
      </c>
      <c r="F14" s="124">
        <v>49</v>
      </c>
      <c r="G14" s="124">
        <v>50</v>
      </c>
      <c r="H14" s="124">
        <v>55</v>
      </c>
      <c r="I14" s="124">
        <v>60</v>
      </c>
    </row>
    <row r="15" spans="1:11" ht="48.75" customHeight="1" x14ac:dyDescent="0.2">
      <c r="A15" s="124">
        <v>10</v>
      </c>
      <c r="B15" s="70" t="s">
        <v>184</v>
      </c>
      <c r="C15" s="124" t="s">
        <v>116</v>
      </c>
      <c r="D15" s="124">
        <v>20.5</v>
      </c>
      <c r="E15" s="124">
        <v>38.700000000000003</v>
      </c>
      <c r="F15" s="124">
        <v>18.8</v>
      </c>
      <c r="G15" s="124">
        <f>24.2+4.7-3.6</f>
        <v>25.299999999999997</v>
      </c>
      <c r="H15" s="124">
        <f>24.2+4.7</f>
        <v>28.9</v>
      </c>
      <c r="I15" s="124">
        <f>24.2+4.7</f>
        <v>28.9</v>
      </c>
    </row>
    <row r="16" spans="1:11" ht="41.25" customHeight="1" x14ac:dyDescent="0.2">
      <c r="A16" s="124">
        <v>11</v>
      </c>
      <c r="B16" s="70" t="s">
        <v>185</v>
      </c>
      <c r="C16" s="124" t="s">
        <v>116</v>
      </c>
      <c r="D16" s="124">
        <v>77.5</v>
      </c>
      <c r="E16" s="124">
        <v>50.6</v>
      </c>
      <c r="F16" s="124">
        <v>54.8</v>
      </c>
      <c r="G16" s="124">
        <f>54.8+2.6</f>
        <v>57.4</v>
      </c>
      <c r="H16" s="124">
        <f>54.8+2.6</f>
        <v>57.4</v>
      </c>
      <c r="I16" s="124">
        <f>54.8+2.6</f>
        <v>57.4</v>
      </c>
    </row>
    <row r="17" spans="1:9" ht="41.25" customHeight="1" x14ac:dyDescent="0.2">
      <c r="A17" s="124">
        <v>12</v>
      </c>
      <c r="B17" s="70" t="s">
        <v>218</v>
      </c>
      <c r="C17" s="124" t="s">
        <v>116</v>
      </c>
      <c r="D17" s="124">
        <v>90.1</v>
      </c>
      <c r="E17" s="125">
        <v>94</v>
      </c>
      <c r="F17" s="125">
        <v>95.1</v>
      </c>
      <c r="G17" s="125">
        <f>95.4+0.4-0.2</f>
        <v>95.600000000000009</v>
      </c>
      <c r="H17" s="125">
        <f>95.4+0.4</f>
        <v>95.800000000000011</v>
      </c>
      <c r="I17" s="125">
        <f>95.4+0.4</f>
        <v>95.800000000000011</v>
      </c>
    </row>
    <row r="18" spans="1:9" ht="42" customHeight="1" x14ac:dyDescent="0.2">
      <c r="A18" s="124">
        <v>13</v>
      </c>
      <c r="B18" s="70" t="s">
        <v>186</v>
      </c>
      <c r="C18" s="124" t="s">
        <v>116</v>
      </c>
      <c r="D18" s="124">
        <v>81.3</v>
      </c>
      <c r="E18" s="124">
        <v>82.3</v>
      </c>
      <c r="F18" s="125">
        <v>89</v>
      </c>
      <c r="G18" s="125">
        <f>89+2.2</f>
        <v>91.2</v>
      </c>
      <c r="H18" s="125">
        <f>89+2.2</f>
        <v>91.2</v>
      </c>
      <c r="I18" s="125">
        <f>89+2.2</f>
        <v>91.2</v>
      </c>
    </row>
    <row r="19" spans="1:9" ht="13.5" x14ac:dyDescent="0.25">
      <c r="A19" s="375" t="s">
        <v>433</v>
      </c>
      <c r="B19" s="376"/>
      <c r="C19" s="376"/>
      <c r="D19" s="376"/>
      <c r="E19" s="376"/>
      <c r="F19" s="376"/>
      <c r="G19" s="376"/>
      <c r="H19" s="376"/>
      <c r="I19" s="376"/>
    </row>
    <row r="20" spans="1:9" ht="39.75" customHeight="1" x14ac:dyDescent="0.2">
      <c r="A20" s="124">
        <v>14</v>
      </c>
      <c r="B20" s="115" t="s">
        <v>183</v>
      </c>
      <c r="C20" s="124" t="s">
        <v>1410</v>
      </c>
      <c r="D20" s="125">
        <v>1115.1470999999999</v>
      </c>
      <c r="E20" s="124">
        <v>1115.5</v>
      </c>
      <c r="F20" s="125">
        <v>1115.75</v>
      </c>
      <c r="G20" s="125">
        <v>1116</v>
      </c>
      <c r="H20" s="125">
        <v>1116.25</v>
      </c>
      <c r="I20" s="124">
        <v>1116.5</v>
      </c>
    </row>
    <row r="21" spans="1:9" ht="29.25" customHeight="1" x14ac:dyDescent="0.25">
      <c r="A21" s="372" t="s">
        <v>432</v>
      </c>
      <c r="B21" s="373"/>
      <c r="C21" s="373"/>
      <c r="D21" s="373"/>
      <c r="E21" s="373"/>
      <c r="F21" s="373"/>
      <c r="G21" s="373"/>
      <c r="H21" s="373"/>
      <c r="I21" s="374"/>
    </row>
    <row r="22" spans="1:9" ht="49.5" customHeight="1" x14ac:dyDescent="0.2">
      <c r="A22" s="124">
        <v>15</v>
      </c>
      <c r="B22" s="70" t="s">
        <v>189</v>
      </c>
      <c r="C22" s="124" t="s">
        <v>116</v>
      </c>
      <c r="D22" s="125" t="s">
        <v>103</v>
      </c>
      <c r="E22" s="125">
        <v>74.66</v>
      </c>
      <c r="F22" s="125">
        <f>80.1+0.6</f>
        <v>80.699999999999989</v>
      </c>
      <c r="G22" s="126">
        <f>84.14+0.22-0.22</f>
        <v>84.14</v>
      </c>
      <c r="H22" s="368">
        <v>92.3</v>
      </c>
      <c r="I22" s="125">
        <v>87</v>
      </c>
    </row>
    <row r="23" spans="1:9" ht="55.5" customHeight="1" x14ac:dyDescent="0.2">
      <c r="A23" s="124">
        <v>16</v>
      </c>
      <c r="B23" s="70" t="s">
        <v>648</v>
      </c>
      <c r="C23" s="124" t="s">
        <v>116</v>
      </c>
      <c r="D23" s="124" t="s">
        <v>103</v>
      </c>
      <c r="E23" s="124">
        <v>10</v>
      </c>
      <c r="F23" s="124">
        <v>20</v>
      </c>
      <c r="G23" s="124">
        <v>30</v>
      </c>
      <c r="H23" s="369">
        <v>100</v>
      </c>
      <c r="I23" s="124" t="s">
        <v>103</v>
      </c>
    </row>
    <row r="24" spans="1:9" ht="49.5" customHeight="1" x14ac:dyDescent="0.2">
      <c r="A24" s="124">
        <v>17</v>
      </c>
      <c r="B24" s="70" t="s">
        <v>342</v>
      </c>
      <c r="C24" s="124" t="s">
        <v>116</v>
      </c>
      <c r="D24" s="124" t="s">
        <v>103</v>
      </c>
      <c r="E24" s="124">
        <v>62</v>
      </c>
      <c r="F24" s="124">
        <v>64</v>
      </c>
      <c r="G24" s="124">
        <v>66</v>
      </c>
      <c r="H24" s="369">
        <v>100</v>
      </c>
      <c r="I24" s="124" t="s">
        <v>103</v>
      </c>
    </row>
    <row r="25" spans="1:9" ht="46.5" customHeight="1" x14ac:dyDescent="0.2">
      <c r="A25" s="124">
        <v>18</v>
      </c>
      <c r="B25" s="70" t="s">
        <v>649</v>
      </c>
      <c r="C25" s="124" t="s">
        <v>116</v>
      </c>
      <c r="D25" s="124" t="s">
        <v>103</v>
      </c>
      <c r="E25" s="124" t="s">
        <v>103</v>
      </c>
      <c r="F25" s="124" t="s">
        <v>103</v>
      </c>
      <c r="G25" s="124" t="s">
        <v>103</v>
      </c>
      <c r="H25" s="124">
        <v>2.67</v>
      </c>
      <c r="I25" s="124" t="s">
        <v>103</v>
      </c>
    </row>
    <row r="26" spans="1:9" ht="30.75" customHeight="1" x14ac:dyDescent="0.2"/>
    <row r="27" spans="1:9" ht="27" customHeight="1" x14ac:dyDescent="0.2">
      <c r="D27" s="2"/>
      <c r="E27" s="2"/>
    </row>
  </sheetData>
  <mergeCells count="9">
    <mergeCell ref="A2:I2"/>
    <mergeCell ref="E1:I1"/>
    <mergeCell ref="A21:I21"/>
    <mergeCell ref="A19:I19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1" firstPageNumber="9" fitToHeight="0" orientation="portrait" useFirstPageNumber="1" r:id="rId1"/>
  <headerFooter>
    <oddHeader>&amp;C&amp;P</oddHeader>
  </headerFooter>
  <rowBreaks count="1" manualBreakCount="1">
    <brk id="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9"/>
  <sheetViews>
    <sheetView tabSelected="1" view="pageBreakPreview" topLeftCell="A583" zoomScale="70" zoomScaleNormal="50" zoomScaleSheetLayoutView="70" workbookViewId="0">
      <selection activeCell="AB593" sqref="AB593"/>
    </sheetView>
  </sheetViews>
  <sheetFormatPr defaultColWidth="9.140625" defaultRowHeight="42" customHeight="1" outlineLevelCol="2" x14ac:dyDescent="0.2"/>
  <cols>
    <col min="1" max="1" width="7.85546875" style="46" customWidth="1"/>
    <col min="2" max="2" width="110.7109375" style="50" customWidth="1"/>
    <col min="3" max="3" width="11.140625" style="51" customWidth="1"/>
    <col min="4" max="4" width="16.5703125" style="46" customWidth="1"/>
    <col min="5" max="5" width="10.42578125" style="46" hidden="1" customWidth="1" outlineLevel="1"/>
    <col min="6" max="6" width="11.7109375" style="46" hidden="1" customWidth="1" outlineLevel="1"/>
    <col min="7" max="7" width="13" style="46" hidden="1" customWidth="1" outlineLevel="1"/>
    <col min="8" max="8" width="10.85546875" style="51" customWidth="1" collapsed="1"/>
    <col min="9" max="9" width="15.42578125" style="46" customWidth="1"/>
    <col min="10" max="10" width="10.140625" style="46" hidden="1" customWidth="1" outlineLevel="2"/>
    <col min="11" max="11" width="12.42578125" style="46" hidden="1" customWidth="1" outlineLevel="2"/>
    <col min="12" max="12" width="0.140625" style="46" customWidth="1" outlineLevel="2"/>
    <col min="13" max="13" width="10.7109375" style="51" customWidth="1"/>
    <col min="14" max="14" width="16.7109375" style="46" customWidth="1"/>
    <col min="15" max="15" width="10.28515625" style="46" hidden="1" customWidth="1" outlineLevel="1"/>
    <col min="16" max="16" width="12.5703125" style="46" hidden="1" customWidth="1" outlineLevel="1"/>
    <col min="17" max="17" width="2.140625" style="46" hidden="1" customWidth="1" outlineLevel="1"/>
    <col min="18" max="18" width="12.85546875" style="51" customWidth="1" collapsed="1"/>
    <col min="19" max="19" width="16.85546875" style="46" customWidth="1"/>
    <col min="20" max="20" width="9.5703125" style="46" hidden="1" customWidth="1" outlineLevel="1"/>
    <col min="21" max="21" width="11.28515625" style="46" hidden="1" customWidth="1" outlineLevel="1"/>
    <col min="22" max="22" width="13" style="46" hidden="1" customWidth="1" outlineLevel="1"/>
    <col min="23" max="23" width="12.5703125" style="51" customWidth="1" collapsed="1"/>
    <col min="24" max="24" width="15.85546875" style="46" customWidth="1"/>
    <col min="25" max="25" width="10.42578125" style="46" hidden="1" customWidth="1" outlineLevel="1"/>
    <col min="26" max="26" width="11.42578125" style="46" hidden="1" customWidth="1" outlineLevel="1"/>
    <col min="27" max="27" width="14" style="46" hidden="1" customWidth="1" outlineLevel="1"/>
    <col min="28" max="28" width="11.5703125" style="63" customWidth="1" collapsed="1"/>
    <col min="29" max="29" width="14.5703125" style="46" bestFit="1" customWidth="1"/>
    <col min="30" max="30" width="11" style="46" bestFit="1" customWidth="1"/>
    <col min="31" max="16384" width="9.140625" style="46"/>
  </cols>
  <sheetData>
    <row r="1" spans="1:30" ht="80.25" customHeight="1" x14ac:dyDescent="0.25">
      <c r="S1" s="131"/>
      <c r="T1" s="131" t="s">
        <v>217</v>
      </c>
      <c r="U1" s="131" t="s">
        <v>217</v>
      </c>
      <c r="V1" s="131" t="s">
        <v>217</v>
      </c>
      <c r="W1" s="427" t="s">
        <v>1430</v>
      </c>
      <c r="X1" s="427"/>
      <c r="Y1" s="427"/>
      <c r="Z1" s="427"/>
      <c r="AA1" s="427"/>
      <c r="AB1" s="427"/>
    </row>
    <row r="2" spans="1:30" s="52" customFormat="1" ht="118.5" customHeight="1" x14ac:dyDescent="0.25">
      <c r="A2" s="132"/>
      <c r="B2" s="132"/>
      <c r="C2" s="133"/>
      <c r="H2" s="134"/>
      <c r="I2" s="53"/>
      <c r="J2" s="53"/>
      <c r="K2" s="53"/>
      <c r="L2" s="53"/>
      <c r="M2" s="46"/>
      <c r="N2" s="46"/>
      <c r="O2" s="135"/>
      <c r="P2" s="46"/>
      <c r="Q2" s="46"/>
      <c r="R2" s="46"/>
      <c r="S2" s="136"/>
      <c r="T2" s="136" t="s">
        <v>137</v>
      </c>
      <c r="U2" s="136" t="s">
        <v>137</v>
      </c>
      <c r="V2" s="136" t="s">
        <v>137</v>
      </c>
      <c r="W2" s="428" t="s">
        <v>402</v>
      </c>
      <c r="X2" s="428"/>
      <c r="Y2" s="428"/>
      <c r="Z2" s="428"/>
      <c r="AA2" s="428"/>
      <c r="AB2" s="428"/>
    </row>
    <row r="3" spans="1:30" ht="55.5" customHeight="1" x14ac:dyDescent="0.35">
      <c r="A3" s="65"/>
      <c r="B3" s="429" t="s">
        <v>1367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</row>
    <row r="4" spans="1:30" ht="27.6" customHeight="1" x14ac:dyDescent="0.2">
      <c r="A4" s="420" t="s">
        <v>74</v>
      </c>
      <c r="B4" s="421" t="s">
        <v>96</v>
      </c>
      <c r="C4" s="423" t="s">
        <v>95</v>
      </c>
      <c r="D4" s="423"/>
      <c r="E4" s="423"/>
      <c r="F4" s="423"/>
      <c r="G4" s="423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31" t="s">
        <v>70</v>
      </c>
    </row>
    <row r="5" spans="1:30" ht="27.6" customHeight="1" x14ac:dyDescent="0.2">
      <c r="A5" s="420"/>
      <c r="B5" s="422"/>
      <c r="C5" s="416" t="s">
        <v>69</v>
      </c>
      <c r="D5" s="416"/>
      <c r="E5" s="416"/>
      <c r="F5" s="416"/>
      <c r="G5" s="416"/>
      <c r="H5" s="416" t="s">
        <v>68</v>
      </c>
      <c r="I5" s="416"/>
      <c r="J5" s="416"/>
      <c r="K5" s="416"/>
      <c r="L5" s="416"/>
      <c r="M5" s="416" t="s">
        <v>67</v>
      </c>
      <c r="N5" s="416"/>
      <c r="O5" s="416"/>
      <c r="P5" s="416"/>
      <c r="Q5" s="416"/>
      <c r="R5" s="416" t="s">
        <v>66</v>
      </c>
      <c r="S5" s="416"/>
      <c r="T5" s="416"/>
      <c r="U5" s="416"/>
      <c r="V5" s="416"/>
      <c r="W5" s="416" t="s">
        <v>65</v>
      </c>
      <c r="X5" s="416"/>
      <c r="Y5" s="416"/>
      <c r="Z5" s="416"/>
      <c r="AA5" s="416"/>
      <c r="AB5" s="431"/>
    </row>
    <row r="6" spans="1:30" ht="24.6" customHeight="1" x14ac:dyDescent="0.2">
      <c r="A6" s="420"/>
      <c r="B6" s="422"/>
      <c r="C6" s="66" t="s">
        <v>64</v>
      </c>
      <c r="D6" s="348" t="s">
        <v>93</v>
      </c>
      <c r="E6" s="348" t="s">
        <v>62</v>
      </c>
      <c r="F6" s="348" t="s">
        <v>61</v>
      </c>
      <c r="G6" s="348" t="s">
        <v>60</v>
      </c>
      <c r="H6" s="66" t="s">
        <v>64</v>
      </c>
      <c r="I6" s="348" t="s">
        <v>93</v>
      </c>
      <c r="J6" s="348" t="s">
        <v>62</v>
      </c>
      <c r="K6" s="348" t="s">
        <v>61</v>
      </c>
      <c r="L6" s="348" t="s">
        <v>60</v>
      </c>
      <c r="M6" s="66" t="s">
        <v>64</v>
      </c>
      <c r="N6" s="348" t="s">
        <v>93</v>
      </c>
      <c r="O6" s="348" t="s">
        <v>62</v>
      </c>
      <c r="P6" s="348" t="s">
        <v>61</v>
      </c>
      <c r="Q6" s="348" t="s">
        <v>60</v>
      </c>
      <c r="R6" s="66" t="s">
        <v>64</v>
      </c>
      <c r="S6" s="348" t="s">
        <v>93</v>
      </c>
      <c r="T6" s="348" t="s">
        <v>62</v>
      </c>
      <c r="U6" s="348" t="s">
        <v>61</v>
      </c>
      <c r="V6" s="348" t="s">
        <v>60</v>
      </c>
      <c r="W6" s="66" t="s">
        <v>64</v>
      </c>
      <c r="X6" s="348" t="s">
        <v>93</v>
      </c>
      <c r="Y6" s="348" t="s">
        <v>62</v>
      </c>
      <c r="Z6" s="348" t="s">
        <v>61</v>
      </c>
      <c r="AA6" s="348" t="s">
        <v>60</v>
      </c>
      <c r="AB6" s="431"/>
    </row>
    <row r="7" spans="1:30" s="54" customFormat="1" ht="21.6" customHeight="1" x14ac:dyDescent="0.2">
      <c r="A7" s="137">
        <v>1</v>
      </c>
      <c r="B7" s="137">
        <v>2</v>
      </c>
      <c r="C7" s="137">
        <v>3</v>
      </c>
      <c r="D7" s="137">
        <v>4</v>
      </c>
      <c r="E7" s="137">
        <v>5</v>
      </c>
      <c r="F7" s="137">
        <v>6</v>
      </c>
      <c r="G7" s="137">
        <v>7</v>
      </c>
      <c r="H7" s="137">
        <v>5</v>
      </c>
      <c r="I7" s="137">
        <v>6</v>
      </c>
      <c r="J7" s="137">
        <v>10</v>
      </c>
      <c r="K7" s="137">
        <v>11</v>
      </c>
      <c r="L7" s="137">
        <v>12</v>
      </c>
      <c r="M7" s="137">
        <v>7</v>
      </c>
      <c r="N7" s="137">
        <v>8</v>
      </c>
      <c r="O7" s="137">
        <v>15</v>
      </c>
      <c r="P7" s="137">
        <v>16</v>
      </c>
      <c r="Q7" s="137">
        <v>17</v>
      </c>
      <c r="R7" s="137">
        <v>9</v>
      </c>
      <c r="S7" s="137">
        <v>10</v>
      </c>
      <c r="T7" s="137">
        <v>20</v>
      </c>
      <c r="U7" s="137">
        <v>21</v>
      </c>
      <c r="V7" s="137">
        <v>22</v>
      </c>
      <c r="W7" s="137">
        <v>11</v>
      </c>
      <c r="X7" s="137">
        <v>12</v>
      </c>
      <c r="Y7" s="137">
        <v>25</v>
      </c>
      <c r="Z7" s="137">
        <v>26</v>
      </c>
      <c r="AA7" s="137">
        <v>27</v>
      </c>
      <c r="AB7" s="137">
        <v>13</v>
      </c>
    </row>
    <row r="8" spans="1:30" s="54" customFormat="1" ht="29.25" customHeight="1" x14ac:dyDescent="0.2">
      <c r="A8" s="417" t="s">
        <v>674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9"/>
      <c r="AC8" s="55"/>
      <c r="AD8" s="55"/>
    </row>
    <row r="9" spans="1:30" s="54" customFormat="1" ht="34.5" customHeight="1" x14ac:dyDescent="0.2">
      <c r="A9" s="343" t="s">
        <v>1</v>
      </c>
      <c r="B9" s="425" t="s">
        <v>448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56"/>
      <c r="AD9" s="57"/>
    </row>
    <row r="10" spans="1:30" s="58" customFormat="1" ht="13.9" customHeight="1" x14ac:dyDescent="0.2">
      <c r="A10" s="401" t="s">
        <v>8</v>
      </c>
      <c r="B10" s="138" t="s">
        <v>356</v>
      </c>
      <c r="C10" s="384">
        <f>D10+E10+F10+G10</f>
        <v>67429</v>
      </c>
      <c r="D10" s="388">
        <v>67429</v>
      </c>
      <c r="E10" s="332">
        <v>0</v>
      </c>
      <c r="F10" s="332">
        <v>0</v>
      </c>
      <c r="G10" s="332">
        <v>0</v>
      </c>
      <c r="H10" s="384">
        <f>I10+J10+K10+L10</f>
        <v>19781</v>
      </c>
      <c r="I10" s="388">
        <f>6885+12896</f>
        <v>19781</v>
      </c>
      <c r="J10" s="332">
        <v>0</v>
      </c>
      <c r="K10" s="332">
        <v>0</v>
      </c>
      <c r="L10" s="332">
        <v>0</v>
      </c>
      <c r="M10" s="384">
        <f>N10</f>
        <v>757</v>
      </c>
      <c r="N10" s="388">
        <f>30758-12896-17501-30+426</f>
        <v>757</v>
      </c>
      <c r="O10" s="338">
        <v>0</v>
      </c>
      <c r="P10" s="338">
        <v>0</v>
      </c>
      <c r="Q10" s="338">
        <v>0</v>
      </c>
      <c r="R10" s="384">
        <f>S10</f>
        <v>20213</v>
      </c>
      <c r="S10" s="388">
        <f>30758-22399-1128-23+13546-541</f>
        <v>20213</v>
      </c>
      <c r="T10" s="332">
        <v>0</v>
      </c>
      <c r="U10" s="332">
        <v>0</v>
      </c>
      <c r="V10" s="332">
        <v>0</v>
      </c>
      <c r="W10" s="384">
        <f>X10</f>
        <v>37613</v>
      </c>
      <c r="X10" s="388">
        <f>34182+3431</f>
        <v>37613</v>
      </c>
      <c r="Y10" s="332">
        <v>0</v>
      </c>
      <c r="Z10" s="332">
        <v>0</v>
      </c>
      <c r="AA10" s="332">
        <v>0</v>
      </c>
      <c r="AB10" s="384">
        <f>C10+H10+M10+R10+W10</f>
        <v>145793</v>
      </c>
    </row>
    <row r="11" spans="1:30" s="58" customFormat="1" ht="15.75" customHeight="1" x14ac:dyDescent="0.2">
      <c r="A11" s="401"/>
      <c r="B11" s="139" t="s">
        <v>146</v>
      </c>
      <c r="C11" s="385"/>
      <c r="D11" s="389"/>
      <c r="E11" s="332"/>
      <c r="F11" s="332"/>
      <c r="G11" s="332"/>
      <c r="H11" s="385"/>
      <c r="I11" s="389"/>
      <c r="J11" s="332"/>
      <c r="K11" s="332"/>
      <c r="L11" s="332"/>
      <c r="M11" s="385"/>
      <c r="N11" s="389"/>
      <c r="O11" s="338"/>
      <c r="P11" s="338"/>
      <c r="Q11" s="338"/>
      <c r="R11" s="385"/>
      <c r="S11" s="389">
        <f t="shared" ref="S11:S28" si="0">30758-22399</f>
        <v>8359</v>
      </c>
      <c r="T11" s="332"/>
      <c r="U11" s="332"/>
      <c r="V11" s="332"/>
      <c r="W11" s="385"/>
      <c r="X11" s="389">
        <v>34182</v>
      </c>
      <c r="Y11" s="332"/>
      <c r="Z11" s="332"/>
      <c r="AA11" s="332"/>
      <c r="AB11" s="385"/>
    </row>
    <row r="12" spans="1:30" s="58" customFormat="1" ht="13.9" customHeight="1" x14ac:dyDescent="0.2">
      <c r="A12" s="401"/>
      <c r="B12" s="140" t="s">
        <v>148</v>
      </c>
      <c r="C12" s="385"/>
      <c r="D12" s="389"/>
      <c r="E12" s="332"/>
      <c r="F12" s="332"/>
      <c r="G12" s="332"/>
      <c r="H12" s="385"/>
      <c r="I12" s="389"/>
      <c r="J12" s="332"/>
      <c r="K12" s="332"/>
      <c r="L12" s="332"/>
      <c r="M12" s="385"/>
      <c r="N12" s="389"/>
      <c r="O12" s="338"/>
      <c r="P12" s="338"/>
      <c r="Q12" s="338"/>
      <c r="R12" s="385"/>
      <c r="S12" s="389">
        <f t="shared" si="0"/>
        <v>8359</v>
      </c>
      <c r="T12" s="332"/>
      <c r="U12" s="332"/>
      <c r="V12" s="332"/>
      <c r="W12" s="385"/>
      <c r="X12" s="389">
        <v>34182</v>
      </c>
      <c r="Y12" s="332"/>
      <c r="Z12" s="332"/>
      <c r="AA12" s="332"/>
      <c r="AB12" s="385"/>
    </row>
    <row r="13" spans="1:30" s="58" customFormat="1" ht="13.9" customHeight="1" x14ac:dyDescent="0.2">
      <c r="A13" s="401"/>
      <c r="B13" s="140" t="s">
        <v>149</v>
      </c>
      <c r="C13" s="385"/>
      <c r="D13" s="389"/>
      <c r="E13" s="332"/>
      <c r="F13" s="332"/>
      <c r="G13" s="332"/>
      <c r="H13" s="385"/>
      <c r="I13" s="389"/>
      <c r="J13" s="332"/>
      <c r="K13" s="332"/>
      <c r="L13" s="332"/>
      <c r="M13" s="385"/>
      <c r="N13" s="389"/>
      <c r="O13" s="338"/>
      <c r="P13" s="338"/>
      <c r="Q13" s="338"/>
      <c r="R13" s="385"/>
      <c r="S13" s="389">
        <f t="shared" si="0"/>
        <v>8359</v>
      </c>
      <c r="T13" s="332"/>
      <c r="U13" s="332"/>
      <c r="V13" s="332"/>
      <c r="W13" s="385"/>
      <c r="X13" s="389">
        <v>34182</v>
      </c>
      <c r="Y13" s="332"/>
      <c r="Z13" s="332"/>
      <c r="AA13" s="332"/>
      <c r="AB13" s="385"/>
    </row>
    <row r="14" spans="1:30" s="58" customFormat="1" ht="13.9" customHeight="1" x14ac:dyDescent="0.2">
      <c r="A14" s="401"/>
      <c r="B14" s="140" t="s">
        <v>150</v>
      </c>
      <c r="C14" s="385"/>
      <c r="D14" s="389"/>
      <c r="E14" s="332"/>
      <c r="F14" s="332"/>
      <c r="G14" s="332"/>
      <c r="H14" s="385"/>
      <c r="I14" s="389"/>
      <c r="J14" s="332"/>
      <c r="K14" s="332"/>
      <c r="L14" s="332"/>
      <c r="M14" s="385"/>
      <c r="N14" s="389"/>
      <c r="O14" s="338"/>
      <c r="P14" s="338"/>
      <c r="Q14" s="338"/>
      <c r="R14" s="385"/>
      <c r="S14" s="389">
        <f t="shared" si="0"/>
        <v>8359</v>
      </c>
      <c r="T14" s="332"/>
      <c r="U14" s="332"/>
      <c r="V14" s="332"/>
      <c r="W14" s="385"/>
      <c r="X14" s="389">
        <v>34182</v>
      </c>
      <c r="Y14" s="332"/>
      <c r="Z14" s="332"/>
      <c r="AA14" s="332"/>
      <c r="AB14" s="385"/>
    </row>
    <row r="15" spans="1:30" s="58" customFormat="1" ht="13.9" customHeight="1" x14ac:dyDescent="0.2">
      <c r="A15" s="401"/>
      <c r="B15" s="140" t="s">
        <v>151</v>
      </c>
      <c r="C15" s="385"/>
      <c r="D15" s="389"/>
      <c r="E15" s="332"/>
      <c r="F15" s="332"/>
      <c r="G15" s="332"/>
      <c r="H15" s="385"/>
      <c r="I15" s="389"/>
      <c r="J15" s="332"/>
      <c r="K15" s="332"/>
      <c r="L15" s="332"/>
      <c r="M15" s="385"/>
      <c r="N15" s="389"/>
      <c r="O15" s="338"/>
      <c r="P15" s="338"/>
      <c r="Q15" s="338"/>
      <c r="R15" s="385"/>
      <c r="S15" s="389">
        <f t="shared" si="0"/>
        <v>8359</v>
      </c>
      <c r="T15" s="332"/>
      <c r="U15" s="332"/>
      <c r="V15" s="332"/>
      <c r="W15" s="385"/>
      <c r="X15" s="389">
        <v>34182</v>
      </c>
      <c r="Y15" s="332"/>
      <c r="Z15" s="332"/>
      <c r="AA15" s="332"/>
      <c r="AB15" s="385"/>
    </row>
    <row r="16" spans="1:30" s="58" customFormat="1" ht="13.9" customHeight="1" x14ac:dyDescent="0.2">
      <c r="A16" s="401"/>
      <c r="B16" s="140" t="s">
        <v>675</v>
      </c>
      <c r="C16" s="385"/>
      <c r="D16" s="389"/>
      <c r="E16" s="332"/>
      <c r="F16" s="332"/>
      <c r="G16" s="332"/>
      <c r="H16" s="385"/>
      <c r="I16" s="389"/>
      <c r="J16" s="332"/>
      <c r="K16" s="332"/>
      <c r="L16" s="332"/>
      <c r="M16" s="385"/>
      <c r="N16" s="389"/>
      <c r="O16" s="338"/>
      <c r="P16" s="338"/>
      <c r="Q16" s="338"/>
      <c r="R16" s="385"/>
      <c r="S16" s="389">
        <f t="shared" si="0"/>
        <v>8359</v>
      </c>
      <c r="T16" s="332"/>
      <c r="U16" s="332"/>
      <c r="V16" s="332"/>
      <c r="W16" s="385"/>
      <c r="X16" s="389">
        <v>34182</v>
      </c>
      <c r="Y16" s="332"/>
      <c r="Z16" s="332"/>
      <c r="AA16" s="332"/>
      <c r="AB16" s="385"/>
    </row>
    <row r="17" spans="1:28" s="58" customFormat="1" ht="13.9" customHeight="1" x14ac:dyDescent="0.2">
      <c r="A17" s="401"/>
      <c r="B17" s="140" t="s">
        <v>200</v>
      </c>
      <c r="C17" s="385"/>
      <c r="D17" s="389"/>
      <c r="E17" s="332"/>
      <c r="F17" s="332"/>
      <c r="G17" s="332"/>
      <c r="H17" s="385"/>
      <c r="I17" s="389"/>
      <c r="J17" s="332"/>
      <c r="K17" s="332"/>
      <c r="L17" s="332"/>
      <c r="M17" s="385"/>
      <c r="N17" s="389"/>
      <c r="O17" s="338"/>
      <c r="P17" s="338"/>
      <c r="Q17" s="338"/>
      <c r="R17" s="385"/>
      <c r="S17" s="389">
        <f t="shared" si="0"/>
        <v>8359</v>
      </c>
      <c r="T17" s="332"/>
      <c r="U17" s="332"/>
      <c r="V17" s="332"/>
      <c r="W17" s="385"/>
      <c r="X17" s="389">
        <v>34182</v>
      </c>
      <c r="Y17" s="332"/>
      <c r="Z17" s="332"/>
      <c r="AA17" s="332"/>
      <c r="AB17" s="385"/>
    </row>
    <row r="18" spans="1:28" s="58" customFormat="1" ht="15.75" customHeight="1" x14ac:dyDescent="0.2">
      <c r="A18" s="401"/>
      <c r="B18" s="139" t="s">
        <v>147</v>
      </c>
      <c r="C18" s="385"/>
      <c r="D18" s="389"/>
      <c r="E18" s="332"/>
      <c r="F18" s="332"/>
      <c r="G18" s="332"/>
      <c r="H18" s="385"/>
      <c r="I18" s="389"/>
      <c r="J18" s="332"/>
      <c r="K18" s="332"/>
      <c r="L18" s="332"/>
      <c r="M18" s="385"/>
      <c r="N18" s="389"/>
      <c r="O18" s="338"/>
      <c r="P18" s="338"/>
      <c r="Q18" s="338"/>
      <c r="R18" s="385"/>
      <c r="S18" s="389">
        <f t="shared" si="0"/>
        <v>8359</v>
      </c>
      <c r="T18" s="332"/>
      <c r="U18" s="332"/>
      <c r="V18" s="332"/>
      <c r="W18" s="385"/>
      <c r="X18" s="389">
        <v>34182</v>
      </c>
      <c r="Y18" s="332"/>
      <c r="Z18" s="332"/>
      <c r="AA18" s="332"/>
      <c r="AB18" s="385"/>
    </row>
    <row r="19" spans="1:28" s="58" customFormat="1" ht="17.25" customHeight="1" x14ac:dyDescent="0.2">
      <c r="A19" s="401"/>
      <c r="B19" s="141" t="s">
        <v>372</v>
      </c>
      <c r="C19" s="385"/>
      <c r="D19" s="389"/>
      <c r="E19" s="332"/>
      <c r="F19" s="332"/>
      <c r="G19" s="332"/>
      <c r="H19" s="385"/>
      <c r="I19" s="389"/>
      <c r="J19" s="332"/>
      <c r="K19" s="332"/>
      <c r="L19" s="332"/>
      <c r="M19" s="385"/>
      <c r="N19" s="389"/>
      <c r="O19" s="338"/>
      <c r="P19" s="338"/>
      <c r="Q19" s="338"/>
      <c r="R19" s="385"/>
      <c r="S19" s="389">
        <f t="shared" si="0"/>
        <v>8359</v>
      </c>
      <c r="T19" s="332"/>
      <c r="U19" s="332"/>
      <c r="V19" s="332"/>
      <c r="W19" s="385"/>
      <c r="X19" s="389">
        <v>34182</v>
      </c>
      <c r="Y19" s="332"/>
      <c r="Z19" s="332"/>
      <c r="AA19" s="332"/>
      <c r="AB19" s="385"/>
    </row>
    <row r="20" spans="1:28" s="58" customFormat="1" ht="15.75" customHeight="1" x14ac:dyDescent="0.2">
      <c r="A20" s="401"/>
      <c r="B20" s="142" t="s">
        <v>322</v>
      </c>
      <c r="C20" s="385"/>
      <c r="D20" s="389"/>
      <c r="E20" s="332"/>
      <c r="F20" s="332"/>
      <c r="G20" s="332"/>
      <c r="H20" s="385"/>
      <c r="I20" s="389"/>
      <c r="J20" s="332"/>
      <c r="K20" s="332"/>
      <c r="L20" s="332"/>
      <c r="M20" s="385"/>
      <c r="N20" s="389"/>
      <c r="O20" s="338"/>
      <c r="P20" s="338"/>
      <c r="Q20" s="338"/>
      <c r="R20" s="385"/>
      <c r="S20" s="389">
        <f t="shared" si="0"/>
        <v>8359</v>
      </c>
      <c r="T20" s="332"/>
      <c r="U20" s="332"/>
      <c r="V20" s="332"/>
      <c r="W20" s="385"/>
      <c r="X20" s="389">
        <v>34182</v>
      </c>
      <c r="Y20" s="332"/>
      <c r="Z20" s="332"/>
      <c r="AA20" s="332"/>
      <c r="AB20" s="385"/>
    </row>
    <row r="21" spans="1:28" s="58" customFormat="1" ht="15.75" customHeight="1" x14ac:dyDescent="0.2">
      <c r="A21" s="401"/>
      <c r="B21" s="141" t="s">
        <v>676</v>
      </c>
      <c r="C21" s="385"/>
      <c r="D21" s="389"/>
      <c r="E21" s="324"/>
      <c r="F21" s="324"/>
      <c r="G21" s="324"/>
      <c r="H21" s="385"/>
      <c r="I21" s="389"/>
      <c r="J21" s="324"/>
      <c r="K21" s="324"/>
      <c r="L21" s="324"/>
      <c r="M21" s="385"/>
      <c r="N21" s="389"/>
      <c r="O21" s="339"/>
      <c r="P21" s="339"/>
      <c r="Q21" s="339"/>
      <c r="R21" s="385"/>
      <c r="S21" s="389"/>
      <c r="T21" s="324"/>
      <c r="U21" s="324"/>
      <c r="V21" s="324"/>
      <c r="W21" s="385"/>
      <c r="X21" s="389"/>
      <c r="Y21" s="324"/>
      <c r="Z21" s="324"/>
      <c r="AA21" s="324"/>
      <c r="AB21" s="385"/>
    </row>
    <row r="22" spans="1:28" s="58" customFormat="1" ht="15.75" customHeight="1" x14ac:dyDescent="0.2">
      <c r="A22" s="401"/>
      <c r="B22" s="140" t="s">
        <v>380</v>
      </c>
      <c r="C22" s="385"/>
      <c r="D22" s="389"/>
      <c r="E22" s="324"/>
      <c r="F22" s="324"/>
      <c r="G22" s="324"/>
      <c r="H22" s="385"/>
      <c r="I22" s="389"/>
      <c r="J22" s="324"/>
      <c r="K22" s="324"/>
      <c r="L22" s="324"/>
      <c r="M22" s="385"/>
      <c r="N22" s="389"/>
      <c r="O22" s="339"/>
      <c r="P22" s="339"/>
      <c r="Q22" s="339"/>
      <c r="R22" s="385"/>
      <c r="S22" s="389">
        <f t="shared" si="0"/>
        <v>8359</v>
      </c>
      <c r="T22" s="324"/>
      <c r="U22" s="324"/>
      <c r="V22" s="324"/>
      <c r="W22" s="385"/>
      <c r="X22" s="389">
        <v>34182</v>
      </c>
      <c r="Y22" s="324"/>
      <c r="Z22" s="324"/>
      <c r="AA22" s="324"/>
      <c r="AB22" s="385"/>
    </row>
    <row r="23" spans="1:28" s="58" customFormat="1" ht="15.75" customHeight="1" x14ac:dyDescent="0.2">
      <c r="A23" s="401"/>
      <c r="B23" s="142" t="s">
        <v>373</v>
      </c>
      <c r="C23" s="385"/>
      <c r="D23" s="389"/>
      <c r="E23" s="324"/>
      <c r="F23" s="324"/>
      <c r="G23" s="324"/>
      <c r="H23" s="385"/>
      <c r="I23" s="389"/>
      <c r="J23" s="324"/>
      <c r="K23" s="324"/>
      <c r="L23" s="324"/>
      <c r="M23" s="385"/>
      <c r="N23" s="389"/>
      <c r="O23" s="339"/>
      <c r="P23" s="339"/>
      <c r="Q23" s="339"/>
      <c r="R23" s="385"/>
      <c r="S23" s="389">
        <f t="shared" si="0"/>
        <v>8359</v>
      </c>
      <c r="T23" s="324"/>
      <c r="U23" s="324"/>
      <c r="V23" s="324"/>
      <c r="W23" s="385"/>
      <c r="X23" s="389">
        <v>34182</v>
      </c>
      <c r="Y23" s="324"/>
      <c r="Z23" s="324"/>
      <c r="AA23" s="324"/>
      <c r="AB23" s="385"/>
    </row>
    <row r="24" spans="1:28" s="58" customFormat="1" ht="15.75" customHeight="1" x14ac:dyDescent="0.2">
      <c r="A24" s="401"/>
      <c r="B24" s="141" t="s">
        <v>647</v>
      </c>
      <c r="C24" s="385"/>
      <c r="D24" s="389"/>
      <c r="E24" s="324"/>
      <c r="F24" s="324"/>
      <c r="G24" s="324"/>
      <c r="H24" s="385"/>
      <c r="I24" s="389"/>
      <c r="J24" s="324"/>
      <c r="K24" s="324"/>
      <c r="L24" s="324"/>
      <c r="M24" s="385"/>
      <c r="N24" s="389"/>
      <c r="O24" s="339"/>
      <c r="P24" s="339"/>
      <c r="Q24" s="339"/>
      <c r="R24" s="385"/>
      <c r="S24" s="389"/>
      <c r="T24" s="324"/>
      <c r="U24" s="324"/>
      <c r="V24" s="324"/>
      <c r="W24" s="385"/>
      <c r="X24" s="389"/>
      <c r="Y24" s="324"/>
      <c r="Z24" s="324"/>
      <c r="AA24" s="324"/>
      <c r="AB24" s="385"/>
    </row>
    <row r="25" spans="1:28" s="58" customFormat="1" ht="15.75" customHeight="1" x14ac:dyDescent="0.2">
      <c r="A25" s="401"/>
      <c r="B25" s="141" t="s">
        <v>370</v>
      </c>
      <c r="C25" s="385"/>
      <c r="D25" s="389"/>
      <c r="E25" s="324"/>
      <c r="F25" s="324"/>
      <c r="G25" s="324"/>
      <c r="H25" s="385"/>
      <c r="I25" s="389"/>
      <c r="J25" s="324"/>
      <c r="K25" s="324"/>
      <c r="L25" s="324"/>
      <c r="M25" s="385"/>
      <c r="N25" s="389"/>
      <c r="O25" s="339"/>
      <c r="P25" s="339"/>
      <c r="Q25" s="339"/>
      <c r="R25" s="385"/>
      <c r="S25" s="389"/>
      <c r="T25" s="324"/>
      <c r="U25" s="324"/>
      <c r="V25" s="324"/>
      <c r="W25" s="385"/>
      <c r="X25" s="389"/>
      <c r="Y25" s="324"/>
      <c r="Z25" s="324"/>
      <c r="AA25" s="324"/>
      <c r="AB25" s="385"/>
    </row>
    <row r="26" spans="1:28" s="58" customFormat="1" ht="15.75" customHeight="1" x14ac:dyDescent="0.2">
      <c r="A26" s="401"/>
      <c r="B26" s="140" t="s">
        <v>677</v>
      </c>
      <c r="C26" s="385"/>
      <c r="D26" s="389"/>
      <c r="E26" s="324"/>
      <c r="F26" s="324"/>
      <c r="G26" s="324"/>
      <c r="H26" s="385"/>
      <c r="I26" s="389"/>
      <c r="J26" s="324"/>
      <c r="K26" s="324"/>
      <c r="L26" s="324"/>
      <c r="M26" s="385"/>
      <c r="N26" s="389"/>
      <c r="O26" s="339"/>
      <c r="P26" s="339"/>
      <c r="Q26" s="339"/>
      <c r="R26" s="385"/>
      <c r="S26" s="389"/>
      <c r="T26" s="324"/>
      <c r="U26" s="324"/>
      <c r="V26" s="324"/>
      <c r="W26" s="385"/>
      <c r="X26" s="389"/>
      <c r="Y26" s="324"/>
      <c r="Z26" s="324"/>
      <c r="AA26" s="324"/>
      <c r="AB26" s="385"/>
    </row>
    <row r="27" spans="1:28" s="58" customFormat="1" ht="15.75" customHeight="1" x14ac:dyDescent="0.2">
      <c r="A27" s="401"/>
      <c r="B27" s="142" t="s">
        <v>411</v>
      </c>
      <c r="C27" s="385"/>
      <c r="D27" s="389"/>
      <c r="E27" s="324"/>
      <c r="F27" s="324"/>
      <c r="G27" s="324"/>
      <c r="H27" s="385"/>
      <c r="I27" s="389"/>
      <c r="J27" s="324"/>
      <c r="K27" s="324"/>
      <c r="L27" s="324"/>
      <c r="M27" s="385"/>
      <c r="N27" s="389"/>
      <c r="O27" s="339"/>
      <c r="P27" s="339"/>
      <c r="Q27" s="339"/>
      <c r="R27" s="385"/>
      <c r="S27" s="389"/>
      <c r="T27" s="324"/>
      <c r="U27" s="324"/>
      <c r="V27" s="324"/>
      <c r="W27" s="385"/>
      <c r="X27" s="389"/>
      <c r="Y27" s="324"/>
      <c r="Z27" s="324"/>
      <c r="AA27" s="324"/>
      <c r="AB27" s="385"/>
    </row>
    <row r="28" spans="1:28" s="58" customFormat="1" ht="15.75" customHeight="1" x14ac:dyDescent="0.2">
      <c r="A28" s="401"/>
      <c r="B28" s="141" t="s">
        <v>371</v>
      </c>
      <c r="C28" s="385"/>
      <c r="D28" s="389"/>
      <c r="E28" s="324"/>
      <c r="F28" s="324"/>
      <c r="G28" s="324"/>
      <c r="H28" s="385"/>
      <c r="I28" s="389"/>
      <c r="J28" s="324"/>
      <c r="K28" s="324"/>
      <c r="L28" s="324"/>
      <c r="M28" s="385"/>
      <c r="N28" s="390"/>
      <c r="O28" s="339"/>
      <c r="P28" s="339"/>
      <c r="Q28" s="339"/>
      <c r="R28" s="385"/>
      <c r="S28" s="389">
        <f t="shared" si="0"/>
        <v>8359</v>
      </c>
      <c r="T28" s="324"/>
      <c r="U28" s="324"/>
      <c r="V28" s="324"/>
      <c r="W28" s="385"/>
      <c r="X28" s="389">
        <v>34182</v>
      </c>
      <c r="Y28" s="324"/>
      <c r="Z28" s="324"/>
      <c r="AA28" s="324"/>
      <c r="AB28" s="385"/>
    </row>
    <row r="29" spans="1:28" s="58" customFormat="1" ht="31.5" customHeight="1" x14ac:dyDescent="0.2">
      <c r="A29" s="401" t="s">
        <v>15</v>
      </c>
      <c r="B29" s="138" t="s">
        <v>354</v>
      </c>
      <c r="C29" s="384">
        <f>D29+E29+F29+G29</f>
        <v>1235</v>
      </c>
      <c r="D29" s="388">
        <v>1235</v>
      </c>
      <c r="E29" s="332">
        <v>0</v>
      </c>
      <c r="F29" s="332">
        <v>0</v>
      </c>
      <c r="G29" s="332">
        <v>0</v>
      </c>
      <c r="H29" s="384">
        <f>I29+J29+K29+L29</f>
        <v>741</v>
      </c>
      <c r="I29" s="388">
        <v>741</v>
      </c>
      <c r="J29" s="332">
        <v>0</v>
      </c>
      <c r="K29" s="332">
        <v>0</v>
      </c>
      <c r="L29" s="332">
        <v>0</v>
      </c>
      <c r="M29" s="384">
        <f>N29+O29+P29+Q29</f>
        <v>115</v>
      </c>
      <c r="N29" s="388">
        <f>0+115</f>
        <v>115</v>
      </c>
      <c r="O29" s="338">
        <v>0</v>
      </c>
      <c r="P29" s="338">
        <v>0</v>
      </c>
      <c r="Q29" s="338">
        <v>0</v>
      </c>
      <c r="R29" s="384">
        <f>S29+T29+U29+V29</f>
        <v>1174</v>
      </c>
      <c r="S29" s="388">
        <f>23+119+71+882+79</f>
        <v>1174</v>
      </c>
      <c r="T29" s="332">
        <v>0</v>
      </c>
      <c r="U29" s="332">
        <v>0</v>
      </c>
      <c r="V29" s="332">
        <v>0</v>
      </c>
      <c r="W29" s="384">
        <f>X29+Y29+Z29+AA29</f>
        <v>0</v>
      </c>
      <c r="X29" s="388">
        <v>0</v>
      </c>
      <c r="Y29" s="332">
        <v>0</v>
      </c>
      <c r="Z29" s="332">
        <v>0</v>
      </c>
      <c r="AA29" s="332">
        <v>0</v>
      </c>
      <c r="AB29" s="384">
        <f>C29+H29+M29+R29+W29</f>
        <v>3265</v>
      </c>
    </row>
    <row r="30" spans="1:28" s="58" customFormat="1" ht="14.25" customHeight="1" x14ac:dyDescent="0.2">
      <c r="A30" s="401"/>
      <c r="B30" s="139" t="s">
        <v>401</v>
      </c>
      <c r="C30" s="385"/>
      <c r="D30" s="389"/>
      <c r="E30" s="332"/>
      <c r="F30" s="332"/>
      <c r="G30" s="332"/>
      <c r="H30" s="385"/>
      <c r="I30" s="389"/>
      <c r="J30" s="332"/>
      <c r="K30" s="332"/>
      <c r="L30" s="332"/>
      <c r="M30" s="385"/>
      <c r="N30" s="389"/>
      <c r="O30" s="338"/>
      <c r="P30" s="338"/>
      <c r="Q30" s="338"/>
      <c r="R30" s="385"/>
      <c r="S30" s="389"/>
      <c r="T30" s="332"/>
      <c r="U30" s="332"/>
      <c r="V30" s="332"/>
      <c r="W30" s="385"/>
      <c r="X30" s="389"/>
      <c r="Y30" s="332"/>
      <c r="Z30" s="332"/>
      <c r="AA30" s="332"/>
      <c r="AB30" s="385"/>
    </row>
    <row r="31" spans="1:28" s="58" customFormat="1" ht="14.25" customHeight="1" x14ac:dyDescent="0.2">
      <c r="A31" s="401"/>
      <c r="B31" s="140" t="s">
        <v>150</v>
      </c>
      <c r="C31" s="385"/>
      <c r="D31" s="389"/>
      <c r="E31" s="332"/>
      <c r="F31" s="332"/>
      <c r="G31" s="332"/>
      <c r="H31" s="385"/>
      <c r="I31" s="389"/>
      <c r="J31" s="332"/>
      <c r="K31" s="332"/>
      <c r="L31" s="332"/>
      <c r="M31" s="385"/>
      <c r="N31" s="389"/>
      <c r="O31" s="338"/>
      <c r="P31" s="338"/>
      <c r="Q31" s="338"/>
      <c r="R31" s="385"/>
      <c r="S31" s="389"/>
      <c r="T31" s="332"/>
      <c r="U31" s="332"/>
      <c r="V31" s="332"/>
      <c r="W31" s="385"/>
      <c r="X31" s="389"/>
      <c r="Y31" s="332"/>
      <c r="Z31" s="332"/>
      <c r="AA31" s="332"/>
      <c r="AB31" s="385"/>
    </row>
    <row r="32" spans="1:28" s="58" customFormat="1" ht="14.25" customHeight="1" x14ac:dyDescent="0.2">
      <c r="A32" s="401"/>
      <c r="B32" s="142" t="s">
        <v>322</v>
      </c>
      <c r="C32" s="385"/>
      <c r="D32" s="389"/>
      <c r="E32" s="332"/>
      <c r="F32" s="332"/>
      <c r="G32" s="332"/>
      <c r="H32" s="385"/>
      <c r="I32" s="389"/>
      <c r="J32" s="332"/>
      <c r="K32" s="332"/>
      <c r="L32" s="332"/>
      <c r="M32" s="385"/>
      <c r="N32" s="389"/>
      <c r="O32" s="338"/>
      <c r="P32" s="338"/>
      <c r="Q32" s="338"/>
      <c r="R32" s="385"/>
      <c r="S32" s="389"/>
      <c r="T32" s="332"/>
      <c r="U32" s="332"/>
      <c r="V32" s="332"/>
      <c r="W32" s="385"/>
      <c r="X32" s="389"/>
      <c r="Y32" s="332"/>
      <c r="Z32" s="332"/>
      <c r="AA32" s="332"/>
      <c r="AB32" s="385"/>
    </row>
    <row r="33" spans="1:28" s="58" customFormat="1" ht="14.25" customHeight="1" x14ac:dyDescent="0.2">
      <c r="A33" s="401"/>
      <c r="B33" s="141" t="s">
        <v>678</v>
      </c>
      <c r="C33" s="385"/>
      <c r="D33" s="389"/>
      <c r="E33" s="332"/>
      <c r="F33" s="332"/>
      <c r="G33" s="332"/>
      <c r="H33" s="385"/>
      <c r="I33" s="389"/>
      <c r="J33" s="332"/>
      <c r="K33" s="332"/>
      <c r="L33" s="332"/>
      <c r="M33" s="385"/>
      <c r="N33" s="389"/>
      <c r="O33" s="338"/>
      <c r="P33" s="338"/>
      <c r="Q33" s="338"/>
      <c r="R33" s="385"/>
      <c r="S33" s="389"/>
      <c r="T33" s="332"/>
      <c r="U33" s="332"/>
      <c r="V33" s="332"/>
      <c r="W33" s="385"/>
      <c r="X33" s="389"/>
      <c r="Y33" s="332"/>
      <c r="Z33" s="332"/>
      <c r="AA33" s="332"/>
      <c r="AB33" s="385"/>
    </row>
    <row r="34" spans="1:28" s="58" customFormat="1" ht="14.25" customHeight="1" x14ac:dyDescent="0.2">
      <c r="A34" s="401"/>
      <c r="B34" s="141" t="s">
        <v>679</v>
      </c>
      <c r="C34" s="385"/>
      <c r="D34" s="389"/>
      <c r="E34" s="332"/>
      <c r="F34" s="332"/>
      <c r="G34" s="332"/>
      <c r="H34" s="385"/>
      <c r="I34" s="389"/>
      <c r="J34" s="332"/>
      <c r="K34" s="332"/>
      <c r="L34" s="332"/>
      <c r="M34" s="385"/>
      <c r="N34" s="389"/>
      <c r="O34" s="338"/>
      <c r="P34" s="338"/>
      <c r="Q34" s="338"/>
      <c r="R34" s="385"/>
      <c r="S34" s="389"/>
      <c r="T34" s="332"/>
      <c r="U34" s="332"/>
      <c r="V34" s="332"/>
      <c r="W34" s="385"/>
      <c r="X34" s="389"/>
      <c r="Y34" s="332"/>
      <c r="Z34" s="332"/>
      <c r="AA34" s="332"/>
      <c r="AB34" s="385"/>
    </row>
    <row r="35" spans="1:28" s="58" customFormat="1" ht="14.25" customHeight="1" x14ac:dyDescent="0.2">
      <c r="A35" s="401"/>
      <c r="B35" s="142" t="s">
        <v>373</v>
      </c>
      <c r="C35" s="385"/>
      <c r="D35" s="389"/>
      <c r="E35" s="332"/>
      <c r="F35" s="332"/>
      <c r="G35" s="332"/>
      <c r="H35" s="385"/>
      <c r="I35" s="389"/>
      <c r="J35" s="332"/>
      <c r="K35" s="332"/>
      <c r="L35" s="332"/>
      <c r="M35" s="385"/>
      <c r="N35" s="389"/>
      <c r="O35" s="338"/>
      <c r="P35" s="338"/>
      <c r="Q35" s="338"/>
      <c r="R35" s="385"/>
      <c r="S35" s="389"/>
      <c r="T35" s="332"/>
      <c r="U35" s="332"/>
      <c r="V35" s="332"/>
      <c r="W35" s="385"/>
      <c r="X35" s="389"/>
      <c r="Y35" s="332"/>
      <c r="Z35" s="332"/>
      <c r="AA35" s="332"/>
      <c r="AB35" s="385"/>
    </row>
    <row r="36" spans="1:28" s="58" customFormat="1" ht="14.25" customHeight="1" x14ac:dyDescent="0.2">
      <c r="A36" s="401"/>
      <c r="B36" s="141" t="s">
        <v>678</v>
      </c>
      <c r="C36" s="385"/>
      <c r="D36" s="389"/>
      <c r="E36" s="332"/>
      <c r="F36" s="332"/>
      <c r="G36" s="332"/>
      <c r="H36" s="385"/>
      <c r="I36" s="389"/>
      <c r="J36" s="332"/>
      <c r="K36" s="332"/>
      <c r="L36" s="332"/>
      <c r="M36" s="385"/>
      <c r="N36" s="389"/>
      <c r="O36" s="338"/>
      <c r="P36" s="338"/>
      <c r="Q36" s="338"/>
      <c r="R36" s="385"/>
      <c r="S36" s="389"/>
      <c r="T36" s="332"/>
      <c r="U36" s="332"/>
      <c r="V36" s="332"/>
      <c r="W36" s="385"/>
      <c r="X36" s="389"/>
      <c r="Y36" s="332"/>
      <c r="Z36" s="332"/>
      <c r="AA36" s="332"/>
      <c r="AB36" s="385"/>
    </row>
    <row r="37" spans="1:28" s="58" customFormat="1" ht="14.25" customHeight="1" x14ac:dyDescent="0.2">
      <c r="A37" s="401"/>
      <c r="B37" s="141" t="s">
        <v>679</v>
      </c>
      <c r="C37" s="385"/>
      <c r="D37" s="389"/>
      <c r="E37" s="332"/>
      <c r="F37" s="332"/>
      <c r="G37" s="332"/>
      <c r="H37" s="385"/>
      <c r="I37" s="389"/>
      <c r="J37" s="332"/>
      <c r="K37" s="332"/>
      <c r="L37" s="332"/>
      <c r="M37" s="385"/>
      <c r="N37" s="389"/>
      <c r="O37" s="338"/>
      <c r="P37" s="338"/>
      <c r="Q37" s="338"/>
      <c r="R37" s="385"/>
      <c r="S37" s="389"/>
      <c r="T37" s="332"/>
      <c r="U37" s="332"/>
      <c r="V37" s="332"/>
      <c r="W37" s="385"/>
      <c r="X37" s="389"/>
      <c r="Y37" s="332"/>
      <c r="Z37" s="332"/>
      <c r="AA37" s="332"/>
      <c r="AB37" s="385"/>
    </row>
    <row r="38" spans="1:28" s="58" customFormat="1" ht="14.25" customHeight="1" x14ac:dyDescent="0.2">
      <c r="A38" s="401"/>
      <c r="B38" s="141" t="s">
        <v>680</v>
      </c>
      <c r="C38" s="385"/>
      <c r="D38" s="389"/>
      <c r="E38" s="332"/>
      <c r="F38" s="332"/>
      <c r="G38" s="332"/>
      <c r="H38" s="385"/>
      <c r="I38" s="389"/>
      <c r="J38" s="332"/>
      <c r="K38" s="332"/>
      <c r="L38" s="332"/>
      <c r="M38" s="385"/>
      <c r="N38" s="389"/>
      <c r="O38" s="338"/>
      <c r="P38" s="338"/>
      <c r="Q38" s="338"/>
      <c r="R38" s="385"/>
      <c r="S38" s="389"/>
      <c r="T38" s="332"/>
      <c r="U38" s="332"/>
      <c r="V38" s="332"/>
      <c r="W38" s="385"/>
      <c r="X38" s="389"/>
      <c r="Y38" s="332"/>
      <c r="Z38" s="332"/>
      <c r="AA38" s="332"/>
      <c r="AB38" s="385"/>
    </row>
    <row r="39" spans="1:28" s="58" customFormat="1" ht="14.25" customHeight="1" x14ac:dyDescent="0.2">
      <c r="A39" s="401"/>
      <c r="B39" s="141" t="s">
        <v>1124</v>
      </c>
      <c r="C39" s="385"/>
      <c r="D39" s="389"/>
      <c r="E39" s="332"/>
      <c r="F39" s="332"/>
      <c r="G39" s="332"/>
      <c r="H39" s="385"/>
      <c r="I39" s="389"/>
      <c r="J39" s="332"/>
      <c r="K39" s="332"/>
      <c r="L39" s="332"/>
      <c r="M39" s="385"/>
      <c r="N39" s="389"/>
      <c r="O39" s="338"/>
      <c r="P39" s="338"/>
      <c r="Q39" s="338"/>
      <c r="R39" s="385"/>
      <c r="S39" s="389"/>
      <c r="T39" s="332"/>
      <c r="U39" s="332"/>
      <c r="V39" s="332"/>
      <c r="W39" s="385"/>
      <c r="X39" s="389"/>
      <c r="Y39" s="332"/>
      <c r="Z39" s="332"/>
      <c r="AA39" s="332"/>
      <c r="AB39" s="385"/>
    </row>
    <row r="40" spans="1:28" s="58" customFormat="1" ht="14.25" customHeight="1" x14ac:dyDescent="0.2">
      <c r="A40" s="401"/>
      <c r="B40" s="141" t="s">
        <v>783</v>
      </c>
      <c r="C40" s="385"/>
      <c r="D40" s="389"/>
      <c r="E40" s="332"/>
      <c r="F40" s="332"/>
      <c r="G40" s="332"/>
      <c r="H40" s="385"/>
      <c r="I40" s="389"/>
      <c r="J40" s="332"/>
      <c r="K40" s="332"/>
      <c r="L40" s="332"/>
      <c r="M40" s="385"/>
      <c r="N40" s="389"/>
      <c r="O40" s="338"/>
      <c r="P40" s="338"/>
      <c r="Q40" s="338"/>
      <c r="R40" s="385"/>
      <c r="S40" s="389"/>
      <c r="T40" s="332"/>
      <c r="U40" s="332"/>
      <c r="V40" s="332"/>
      <c r="W40" s="385"/>
      <c r="X40" s="389"/>
      <c r="Y40" s="332"/>
      <c r="Z40" s="332"/>
      <c r="AA40" s="332"/>
      <c r="AB40" s="385"/>
    </row>
    <row r="41" spans="1:28" ht="17.25" customHeight="1" x14ac:dyDescent="0.2">
      <c r="A41" s="401" t="s">
        <v>26</v>
      </c>
      <c r="B41" s="138" t="s">
        <v>145</v>
      </c>
      <c r="C41" s="400">
        <f>D41+E41+F41+G41</f>
        <v>1644</v>
      </c>
      <c r="D41" s="402">
        <v>1644</v>
      </c>
      <c r="E41" s="332">
        <v>0</v>
      </c>
      <c r="F41" s="332">
        <v>0</v>
      </c>
      <c r="G41" s="332">
        <v>0</v>
      </c>
      <c r="H41" s="400">
        <f>I41+J41+K41+L41</f>
        <v>1472</v>
      </c>
      <c r="I41" s="402">
        <v>1472</v>
      </c>
      <c r="J41" s="332">
        <v>0</v>
      </c>
      <c r="K41" s="332">
        <v>0</v>
      </c>
      <c r="L41" s="332">
        <v>0</v>
      </c>
      <c r="M41" s="400">
        <f>N41</f>
        <v>4212</v>
      </c>
      <c r="N41" s="388">
        <f>1368-668+1946+117-708+676+1409+418+253+200-396-403</f>
        <v>4212</v>
      </c>
      <c r="O41" s="338">
        <v>0</v>
      </c>
      <c r="P41" s="338">
        <v>0</v>
      </c>
      <c r="Q41" s="338">
        <v>0</v>
      </c>
      <c r="R41" s="400">
        <f>S41</f>
        <v>8783</v>
      </c>
      <c r="S41" s="402">
        <f>1368+3232-3797+8055+17-92</f>
        <v>8783</v>
      </c>
      <c r="T41" s="332">
        <v>0</v>
      </c>
      <c r="U41" s="332">
        <v>0</v>
      </c>
      <c r="V41" s="332">
        <v>0</v>
      </c>
      <c r="W41" s="400">
        <f>X41</f>
        <v>1364</v>
      </c>
      <c r="X41" s="402">
        <f>4463-3099</f>
        <v>1364</v>
      </c>
      <c r="Y41" s="332">
        <v>0</v>
      </c>
      <c r="Z41" s="332">
        <v>0</v>
      </c>
      <c r="AA41" s="332">
        <v>0</v>
      </c>
      <c r="AB41" s="400">
        <f>C41+H41+M41+R41+W41</f>
        <v>17475</v>
      </c>
    </row>
    <row r="42" spans="1:28" ht="16.5" customHeight="1" x14ac:dyDescent="0.2">
      <c r="A42" s="401"/>
      <c r="B42" s="139" t="s">
        <v>146</v>
      </c>
      <c r="C42" s="400"/>
      <c r="D42" s="402"/>
      <c r="E42" s="332"/>
      <c r="F42" s="332"/>
      <c r="G42" s="332"/>
      <c r="H42" s="400"/>
      <c r="I42" s="402"/>
      <c r="J42" s="332"/>
      <c r="K42" s="332"/>
      <c r="L42" s="332"/>
      <c r="M42" s="400"/>
      <c r="N42" s="389"/>
      <c r="O42" s="338"/>
      <c r="P42" s="338"/>
      <c r="Q42" s="338"/>
      <c r="R42" s="400"/>
      <c r="S42" s="402"/>
      <c r="T42" s="332"/>
      <c r="U42" s="332"/>
      <c r="V42" s="332"/>
      <c r="W42" s="400"/>
      <c r="X42" s="402"/>
      <c r="Y42" s="332"/>
      <c r="Z42" s="332"/>
      <c r="AA42" s="332"/>
      <c r="AB42" s="400"/>
    </row>
    <row r="43" spans="1:28" ht="33.75" customHeight="1" x14ac:dyDescent="0.2">
      <c r="A43" s="401"/>
      <c r="B43" s="140" t="s">
        <v>681</v>
      </c>
      <c r="C43" s="400"/>
      <c r="D43" s="402"/>
      <c r="E43" s="332"/>
      <c r="F43" s="332"/>
      <c r="G43" s="332"/>
      <c r="H43" s="400"/>
      <c r="I43" s="402"/>
      <c r="J43" s="332"/>
      <c r="K43" s="332"/>
      <c r="L43" s="332"/>
      <c r="M43" s="400"/>
      <c r="N43" s="389"/>
      <c r="O43" s="338"/>
      <c r="P43" s="338"/>
      <c r="Q43" s="338"/>
      <c r="R43" s="400"/>
      <c r="S43" s="402"/>
      <c r="T43" s="332"/>
      <c r="U43" s="332"/>
      <c r="V43" s="332"/>
      <c r="W43" s="400"/>
      <c r="X43" s="402"/>
      <c r="Y43" s="332"/>
      <c r="Z43" s="332"/>
      <c r="AA43" s="332"/>
      <c r="AB43" s="400"/>
    </row>
    <row r="44" spans="1:28" ht="21.75" customHeight="1" x14ac:dyDescent="0.2">
      <c r="A44" s="401"/>
      <c r="B44" s="140" t="s">
        <v>682</v>
      </c>
      <c r="C44" s="400"/>
      <c r="D44" s="402"/>
      <c r="E44" s="332"/>
      <c r="F44" s="332"/>
      <c r="G44" s="332"/>
      <c r="H44" s="400"/>
      <c r="I44" s="402"/>
      <c r="J44" s="332"/>
      <c r="K44" s="332"/>
      <c r="L44" s="332"/>
      <c r="M44" s="400"/>
      <c r="N44" s="389"/>
      <c r="O44" s="338"/>
      <c r="P44" s="338"/>
      <c r="Q44" s="338"/>
      <c r="R44" s="400"/>
      <c r="S44" s="402"/>
      <c r="T44" s="332"/>
      <c r="U44" s="332"/>
      <c r="V44" s="332"/>
      <c r="W44" s="400"/>
      <c r="X44" s="402"/>
      <c r="Y44" s="332"/>
      <c r="Z44" s="332"/>
      <c r="AA44" s="332"/>
      <c r="AB44" s="400"/>
    </row>
    <row r="45" spans="1:28" ht="32.25" customHeight="1" x14ac:dyDescent="0.2">
      <c r="A45" s="401"/>
      <c r="B45" s="140" t="s">
        <v>683</v>
      </c>
      <c r="C45" s="400"/>
      <c r="D45" s="402"/>
      <c r="E45" s="332"/>
      <c r="F45" s="332"/>
      <c r="G45" s="332"/>
      <c r="H45" s="400"/>
      <c r="I45" s="402"/>
      <c r="J45" s="332"/>
      <c r="K45" s="332"/>
      <c r="L45" s="332"/>
      <c r="M45" s="400"/>
      <c r="N45" s="389"/>
      <c r="O45" s="338"/>
      <c r="P45" s="338"/>
      <c r="Q45" s="338"/>
      <c r="R45" s="400"/>
      <c r="S45" s="402"/>
      <c r="T45" s="332"/>
      <c r="U45" s="332"/>
      <c r="V45" s="332"/>
      <c r="W45" s="400"/>
      <c r="X45" s="402"/>
      <c r="Y45" s="332"/>
      <c r="Z45" s="332"/>
      <c r="AA45" s="332"/>
      <c r="AB45" s="400"/>
    </row>
    <row r="46" spans="1:28" ht="21.75" customHeight="1" x14ac:dyDescent="0.2">
      <c r="A46" s="401"/>
      <c r="B46" s="140" t="s">
        <v>684</v>
      </c>
      <c r="C46" s="400"/>
      <c r="D46" s="402"/>
      <c r="E46" s="332"/>
      <c r="F46" s="332"/>
      <c r="G46" s="332"/>
      <c r="H46" s="400"/>
      <c r="I46" s="402"/>
      <c r="J46" s="332"/>
      <c r="K46" s="332"/>
      <c r="L46" s="332"/>
      <c r="M46" s="400"/>
      <c r="N46" s="389"/>
      <c r="O46" s="338"/>
      <c r="P46" s="338"/>
      <c r="Q46" s="338"/>
      <c r="R46" s="400"/>
      <c r="S46" s="402"/>
      <c r="T46" s="332"/>
      <c r="U46" s="332"/>
      <c r="V46" s="332"/>
      <c r="W46" s="400"/>
      <c r="X46" s="402"/>
      <c r="Y46" s="332"/>
      <c r="Z46" s="332"/>
      <c r="AA46" s="332"/>
      <c r="AB46" s="400"/>
    </row>
    <row r="47" spans="1:28" ht="18" customHeight="1" x14ac:dyDescent="0.2">
      <c r="A47" s="401"/>
      <c r="B47" s="140" t="s">
        <v>685</v>
      </c>
      <c r="C47" s="400"/>
      <c r="D47" s="402"/>
      <c r="E47" s="332"/>
      <c r="F47" s="332"/>
      <c r="G47" s="332"/>
      <c r="H47" s="400"/>
      <c r="I47" s="402"/>
      <c r="J47" s="332"/>
      <c r="K47" s="332"/>
      <c r="L47" s="332"/>
      <c r="M47" s="400"/>
      <c r="N47" s="389"/>
      <c r="O47" s="338"/>
      <c r="P47" s="338"/>
      <c r="Q47" s="338"/>
      <c r="R47" s="400"/>
      <c r="S47" s="402"/>
      <c r="T47" s="332"/>
      <c r="U47" s="332"/>
      <c r="V47" s="332"/>
      <c r="W47" s="400"/>
      <c r="X47" s="402"/>
      <c r="Y47" s="332"/>
      <c r="Z47" s="332"/>
      <c r="AA47" s="332"/>
      <c r="AB47" s="400"/>
    </row>
    <row r="48" spans="1:28" ht="33.75" customHeight="1" x14ac:dyDescent="0.2">
      <c r="A48" s="401"/>
      <c r="B48" s="140" t="s">
        <v>686</v>
      </c>
      <c r="C48" s="400"/>
      <c r="D48" s="402"/>
      <c r="E48" s="332"/>
      <c r="F48" s="332"/>
      <c r="G48" s="332"/>
      <c r="H48" s="400"/>
      <c r="I48" s="402"/>
      <c r="J48" s="332"/>
      <c r="K48" s="332"/>
      <c r="L48" s="332"/>
      <c r="M48" s="400"/>
      <c r="N48" s="389"/>
      <c r="O48" s="338"/>
      <c r="P48" s="338"/>
      <c r="Q48" s="338"/>
      <c r="R48" s="400"/>
      <c r="S48" s="402"/>
      <c r="T48" s="332"/>
      <c r="U48" s="332"/>
      <c r="V48" s="332"/>
      <c r="W48" s="400"/>
      <c r="X48" s="402"/>
      <c r="Y48" s="332"/>
      <c r="Z48" s="332"/>
      <c r="AA48" s="332"/>
      <c r="AB48" s="400"/>
    </row>
    <row r="49" spans="1:28" ht="37.9" customHeight="1" x14ac:dyDescent="0.2">
      <c r="A49" s="395"/>
      <c r="B49" s="140" t="s">
        <v>687</v>
      </c>
      <c r="C49" s="384"/>
      <c r="D49" s="388"/>
      <c r="E49" s="332"/>
      <c r="F49" s="332"/>
      <c r="G49" s="332"/>
      <c r="H49" s="384"/>
      <c r="I49" s="388"/>
      <c r="J49" s="332"/>
      <c r="K49" s="332"/>
      <c r="L49" s="332"/>
      <c r="M49" s="384"/>
      <c r="N49" s="389"/>
      <c r="O49" s="338"/>
      <c r="P49" s="338"/>
      <c r="Q49" s="338"/>
      <c r="R49" s="384"/>
      <c r="S49" s="388"/>
      <c r="T49" s="332"/>
      <c r="U49" s="332"/>
      <c r="V49" s="332"/>
      <c r="W49" s="384"/>
      <c r="X49" s="388"/>
      <c r="Y49" s="332"/>
      <c r="Z49" s="332"/>
      <c r="AA49" s="332"/>
      <c r="AB49" s="384"/>
    </row>
    <row r="50" spans="1:28" ht="33" customHeight="1" x14ac:dyDescent="0.2">
      <c r="A50" s="391"/>
      <c r="B50" s="140" t="s">
        <v>688</v>
      </c>
      <c r="C50" s="385"/>
      <c r="D50" s="389"/>
      <c r="E50" s="332"/>
      <c r="F50" s="332"/>
      <c r="G50" s="332"/>
      <c r="H50" s="385"/>
      <c r="I50" s="389"/>
      <c r="J50" s="332"/>
      <c r="K50" s="332"/>
      <c r="L50" s="332"/>
      <c r="M50" s="385"/>
      <c r="N50" s="432"/>
      <c r="O50" s="338"/>
      <c r="P50" s="338"/>
      <c r="Q50" s="338"/>
      <c r="R50" s="382"/>
      <c r="S50" s="379"/>
      <c r="T50" s="338"/>
      <c r="U50" s="338"/>
      <c r="V50" s="338"/>
      <c r="W50" s="379"/>
      <c r="X50" s="379"/>
      <c r="Y50" s="338"/>
      <c r="Z50" s="338"/>
      <c r="AA50" s="338"/>
      <c r="AB50" s="382"/>
    </row>
    <row r="51" spans="1:28" ht="18" customHeight="1" x14ac:dyDescent="0.2">
      <c r="A51" s="391"/>
      <c r="B51" s="140" t="s">
        <v>689</v>
      </c>
      <c r="C51" s="385"/>
      <c r="D51" s="389"/>
      <c r="E51" s="328"/>
      <c r="F51" s="328"/>
      <c r="G51" s="328"/>
      <c r="H51" s="385"/>
      <c r="I51" s="389"/>
      <c r="J51" s="328"/>
      <c r="K51" s="328"/>
      <c r="L51" s="328"/>
      <c r="M51" s="385"/>
      <c r="N51" s="432"/>
      <c r="O51" s="143"/>
      <c r="P51" s="327"/>
      <c r="Q51" s="327"/>
      <c r="R51" s="382"/>
      <c r="S51" s="379"/>
      <c r="T51" s="327"/>
      <c r="U51" s="327"/>
      <c r="V51" s="327"/>
      <c r="W51" s="379"/>
      <c r="X51" s="379"/>
      <c r="Y51" s="327"/>
      <c r="Z51" s="327"/>
      <c r="AA51" s="327"/>
      <c r="AB51" s="382"/>
    </row>
    <row r="52" spans="1:28" ht="20.25" customHeight="1" x14ac:dyDescent="0.2">
      <c r="A52" s="391"/>
      <c r="B52" s="140" t="s">
        <v>690</v>
      </c>
      <c r="C52" s="385"/>
      <c r="D52" s="389"/>
      <c r="E52" s="332"/>
      <c r="F52" s="332"/>
      <c r="G52" s="332"/>
      <c r="H52" s="385"/>
      <c r="I52" s="389"/>
      <c r="J52" s="332"/>
      <c r="K52" s="332"/>
      <c r="L52" s="332"/>
      <c r="M52" s="385"/>
      <c r="N52" s="432"/>
      <c r="O52" s="144"/>
      <c r="P52" s="338"/>
      <c r="Q52" s="338"/>
      <c r="R52" s="382"/>
      <c r="S52" s="379"/>
      <c r="T52" s="338"/>
      <c r="U52" s="338"/>
      <c r="V52" s="338"/>
      <c r="W52" s="379"/>
      <c r="X52" s="379"/>
      <c r="Y52" s="338"/>
      <c r="Z52" s="338"/>
      <c r="AA52" s="338"/>
      <c r="AB52" s="382"/>
    </row>
    <row r="53" spans="1:28" ht="18.75" customHeight="1" x14ac:dyDescent="0.2">
      <c r="A53" s="391"/>
      <c r="B53" s="140" t="s">
        <v>691</v>
      </c>
      <c r="C53" s="385"/>
      <c r="D53" s="389"/>
      <c r="E53" s="328"/>
      <c r="F53" s="328"/>
      <c r="G53" s="328"/>
      <c r="H53" s="385"/>
      <c r="I53" s="389"/>
      <c r="J53" s="328"/>
      <c r="K53" s="328"/>
      <c r="L53" s="328"/>
      <c r="M53" s="385"/>
      <c r="N53" s="432"/>
      <c r="O53" s="143"/>
      <c r="P53" s="327"/>
      <c r="Q53" s="327"/>
      <c r="R53" s="382"/>
      <c r="S53" s="379"/>
      <c r="T53" s="327"/>
      <c r="U53" s="327"/>
      <c r="V53" s="327"/>
      <c r="W53" s="379"/>
      <c r="X53" s="379"/>
      <c r="Y53" s="327"/>
      <c r="Z53" s="327"/>
      <c r="AA53" s="327"/>
      <c r="AB53" s="382"/>
    </row>
    <row r="54" spans="1:28" ht="18" customHeight="1" x14ac:dyDescent="0.2">
      <c r="A54" s="391"/>
      <c r="B54" s="139" t="s">
        <v>147</v>
      </c>
      <c r="C54" s="385"/>
      <c r="D54" s="389"/>
      <c r="E54" s="332"/>
      <c r="F54" s="332"/>
      <c r="G54" s="332"/>
      <c r="H54" s="385"/>
      <c r="I54" s="389"/>
      <c r="J54" s="332"/>
      <c r="K54" s="332"/>
      <c r="L54" s="332"/>
      <c r="M54" s="385"/>
      <c r="N54" s="432"/>
      <c r="O54" s="144"/>
      <c r="P54" s="338"/>
      <c r="Q54" s="338"/>
      <c r="R54" s="382"/>
      <c r="S54" s="379"/>
      <c r="T54" s="338"/>
      <c r="U54" s="338"/>
      <c r="V54" s="338"/>
      <c r="W54" s="379"/>
      <c r="X54" s="379"/>
      <c r="Y54" s="338"/>
      <c r="Z54" s="338"/>
      <c r="AA54" s="338"/>
      <c r="AB54" s="382"/>
    </row>
    <row r="55" spans="1:28" ht="18" customHeight="1" x14ac:dyDescent="0.2">
      <c r="A55" s="391"/>
      <c r="B55" s="140" t="s">
        <v>692</v>
      </c>
      <c r="C55" s="385"/>
      <c r="D55" s="389"/>
      <c r="E55" s="332"/>
      <c r="F55" s="332"/>
      <c r="G55" s="332"/>
      <c r="H55" s="385"/>
      <c r="I55" s="389"/>
      <c r="J55" s="332"/>
      <c r="K55" s="332"/>
      <c r="L55" s="332"/>
      <c r="M55" s="385"/>
      <c r="N55" s="432"/>
      <c r="O55" s="144"/>
      <c r="P55" s="338"/>
      <c r="Q55" s="338"/>
      <c r="R55" s="382"/>
      <c r="S55" s="379"/>
      <c r="T55" s="338"/>
      <c r="U55" s="338"/>
      <c r="V55" s="338"/>
      <c r="W55" s="379"/>
      <c r="X55" s="379"/>
      <c r="Y55" s="338"/>
      <c r="Z55" s="338"/>
      <c r="AA55" s="338"/>
      <c r="AB55" s="382"/>
    </row>
    <row r="56" spans="1:28" ht="18" customHeight="1" x14ac:dyDescent="0.2">
      <c r="A56" s="391"/>
      <c r="B56" s="140" t="s">
        <v>693</v>
      </c>
      <c r="C56" s="385"/>
      <c r="D56" s="389"/>
      <c r="E56" s="332"/>
      <c r="F56" s="332"/>
      <c r="G56" s="332"/>
      <c r="H56" s="385"/>
      <c r="I56" s="389"/>
      <c r="J56" s="332"/>
      <c r="K56" s="332"/>
      <c r="L56" s="332"/>
      <c r="M56" s="385"/>
      <c r="N56" s="432"/>
      <c r="O56" s="144"/>
      <c r="P56" s="338"/>
      <c r="Q56" s="338"/>
      <c r="R56" s="382"/>
      <c r="S56" s="379"/>
      <c r="T56" s="338"/>
      <c r="U56" s="338"/>
      <c r="V56" s="338"/>
      <c r="W56" s="379"/>
      <c r="X56" s="379"/>
      <c r="Y56" s="338"/>
      <c r="Z56" s="338"/>
      <c r="AA56" s="338"/>
      <c r="AB56" s="382"/>
    </row>
    <row r="57" spans="1:28" ht="18" customHeight="1" x14ac:dyDescent="0.2">
      <c r="A57" s="391"/>
      <c r="B57" s="140" t="s">
        <v>694</v>
      </c>
      <c r="C57" s="385"/>
      <c r="D57" s="389"/>
      <c r="E57" s="332"/>
      <c r="F57" s="332"/>
      <c r="G57" s="332"/>
      <c r="H57" s="385"/>
      <c r="I57" s="389"/>
      <c r="J57" s="332"/>
      <c r="K57" s="332"/>
      <c r="L57" s="332"/>
      <c r="M57" s="385"/>
      <c r="N57" s="432"/>
      <c r="O57" s="144"/>
      <c r="P57" s="338"/>
      <c r="Q57" s="338"/>
      <c r="R57" s="382"/>
      <c r="S57" s="379"/>
      <c r="T57" s="338"/>
      <c r="U57" s="338"/>
      <c r="V57" s="338"/>
      <c r="W57" s="379"/>
      <c r="X57" s="379"/>
      <c r="Y57" s="338"/>
      <c r="Z57" s="338"/>
      <c r="AA57" s="338"/>
      <c r="AB57" s="382"/>
    </row>
    <row r="58" spans="1:28" ht="18" customHeight="1" x14ac:dyDescent="0.2">
      <c r="A58" s="391"/>
      <c r="B58" s="140" t="s">
        <v>695</v>
      </c>
      <c r="C58" s="385"/>
      <c r="D58" s="389"/>
      <c r="E58" s="332"/>
      <c r="F58" s="332"/>
      <c r="G58" s="332"/>
      <c r="H58" s="385"/>
      <c r="I58" s="389"/>
      <c r="J58" s="332"/>
      <c r="K58" s="332"/>
      <c r="L58" s="332"/>
      <c r="M58" s="385"/>
      <c r="N58" s="432"/>
      <c r="O58" s="144"/>
      <c r="P58" s="338"/>
      <c r="Q58" s="338"/>
      <c r="R58" s="382"/>
      <c r="S58" s="379"/>
      <c r="T58" s="338"/>
      <c r="U58" s="338"/>
      <c r="V58" s="338"/>
      <c r="W58" s="379"/>
      <c r="X58" s="379"/>
      <c r="Y58" s="338"/>
      <c r="Z58" s="338"/>
      <c r="AA58" s="338"/>
      <c r="AB58" s="382"/>
    </row>
    <row r="59" spans="1:28" ht="18" customHeight="1" x14ac:dyDescent="0.2">
      <c r="A59" s="391"/>
      <c r="B59" s="140" t="s">
        <v>696</v>
      </c>
      <c r="C59" s="385"/>
      <c r="D59" s="389"/>
      <c r="E59" s="332"/>
      <c r="F59" s="332"/>
      <c r="G59" s="332"/>
      <c r="H59" s="385"/>
      <c r="I59" s="389"/>
      <c r="J59" s="332"/>
      <c r="K59" s="332"/>
      <c r="L59" s="332"/>
      <c r="M59" s="385"/>
      <c r="N59" s="432"/>
      <c r="O59" s="144"/>
      <c r="P59" s="338"/>
      <c r="Q59" s="338"/>
      <c r="R59" s="382"/>
      <c r="S59" s="379"/>
      <c r="T59" s="338"/>
      <c r="U59" s="338"/>
      <c r="V59" s="338"/>
      <c r="W59" s="379"/>
      <c r="X59" s="379"/>
      <c r="Y59" s="338"/>
      <c r="Z59" s="338"/>
      <c r="AA59" s="338"/>
      <c r="AB59" s="382"/>
    </row>
    <row r="60" spans="1:28" ht="18" customHeight="1" x14ac:dyDescent="0.2">
      <c r="A60" s="391"/>
      <c r="B60" s="140" t="s">
        <v>697</v>
      </c>
      <c r="C60" s="385"/>
      <c r="D60" s="389"/>
      <c r="E60" s="332"/>
      <c r="F60" s="332"/>
      <c r="G60" s="332"/>
      <c r="H60" s="385"/>
      <c r="I60" s="389"/>
      <c r="J60" s="332"/>
      <c r="K60" s="332"/>
      <c r="L60" s="332"/>
      <c r="M60" s="385"/>
      <c r="N60" s="432"/>
      <c r="O60" s="144"/>
      <c r="P60" s="338"/>
      <c r="Q60" s="338"/>
      <c r="R60" s="382"/>
      <c r="S60" s="379"/>
      <c r="T60" s="338"/>
      <c r="U60" s="338"/>
      <c r="V60" s="338"/>
      <c r="W60" s="379"/>
      <c r="X60" s="379"/>
      <c r="Y60" s="338"/>
      <c r="Z60" s="338"/>
      <c r="AA60" s="338"/>
      <c r="AB60" s="382"/>
    </row>
    <row r="61" spans="1:28" ht="18" customHeight="1" x14ac:dyDescent="0.2">
      <c r="A61" s="391"/>
      <c r="B61" s="140" t="s">
        <v>698</v>
      </c>
      <c r="C61" s="385"/>
      <c r="D61" s="389"/>
      <c r="E61" s="332"/>
      <c r="F61" s="332"/>
      <c r="G61" s="332"/>
      <c r="H61" s="385"/>
      <c r="I61" s="389"/>
      <c r="J61" s="332"/>
      <c r="K61" s="332"/>
      <c r="L61" s="332"/>
      <c r="M61" s="385"/>
      <c r="N61" s="432"/>
      <c r="O61" s="144"/>
      <c r="P61" s="338"/>
      <c r="Q61" s="338"/>
      <c r="R61" s="382"/>
      <c r="S61" s="379"/>
      <c r="T61" s="338"/>
      <c r="U61" s="338"/>
      <c r="V61" s="338"/>
      <c r="W61" s="379"/>
      <c r="X61" s="379"/>
      <c r="Y61" s="338"/>
      <c r="Z61" s="338"/>
      <c r="AA61" s="338"/>
      <c r="AB61" s="382"/>
    </row>
    <row r="62" spans="1:28" ht="18" customHeight="1" x14ac:dyDescent="0.2">
      <c r="A62" s="391"/>
      <c r="B62" s="140" t="s">
        <v>699</v>
      </c>
      <c r="C62" s="385"/>
      <c r="D62" s="389"/>
      <c r="E62" s="332"/>
      <c r="F62" s="332"/>
      <c r="G62" s="332"/>
      <c r="H62" s="385"/>
      <c r="I62" s="389"/>
      <c r="J62" s="332"/>
      <c r="K62" s="332"/>
      <c r="L62" s="332"/>
      <c r="M62" s="385"/>
      <c r="N62" s="432"/>
      <c r="O62" s="144"/>
      <c r="P62" s="338"/>
      <c r="Q62" s="338"/>
      <c r="R62" s="382"/>
      <c r="S62" s="379"/>
      <c r="T62" s="338"/>
      <c r="U62" s="338"/>
      <c r="V62" s="338"/>
      <c r="W62" s="379"/>
      <c r="X62" s="379"/>
      <c r="Y62" s="338"/>
      <c r="Z62" s="338"/>
      <c r="AA62" s="338"/>
      <c r="AB62" s="382"/>
    </row>
    <row r="63" spans="1:28" ht="18" customHeight="1" x14ac:dyDescent="0.2">
      <c r="A63" s="391"/>
      <c r="B63" s="140" t="s">
        <v>700</v>
      </c>
      <c r="C63" s="385"/>
      <c r="D63" s="389"/>
      <c r="E63" s="332"/>
      <c r="F63" s="332"/>
      <c r="G63" s="332"/>
      <c r="H63" s="385"/>
      <c r="I63" s="389"/>
      <c r="J63" s="332"/>
      <c r="K63" s="332"/>
      <c r="L63" s="332"/>
      <c r="M63" s="385"/>
      <c r="N63" s="432"/>
      <c r="O63" s="144"/>
      <c r="P63" s="338"/>
      <c r="Q63" s="338"/>
      <c r="R63" s="382"/>
      <c r="S63" s="379"/>
      <c r="T63" s="338"/>
      <c r="U63" s="338"/>
      <c r="V63" s="338"/>
      <c r="W63" s="379"/>
      <c r="X63" s="379"/>
      <c r="Y63" s="338"/>
      <c r="Z63" s="338"/>
      <c r="AA63" s="338"/>
      <c r="AB63" s="382"/>
    </row>
    <row r="64" spans="1:28" ht="18" customHeight="1" x14ac:dyDescent="0.2">
      <c r="A64" s="391"/>
      <c r="B64" s="140" t="s">
        <v>701</v>
      </c>
      <c r="C64" s="385"/>
      <c r="D64" s="389"/>
      <c r="E64" s="332"/>
      <c r="F64" s="332"/>
      <c r="G64" s="332"/>
      <c r="H64" s="385"/>
      <c r="I64" s="389"/>
      <c r="J64" s="332"/>
      <c r="K64" s="332"/>
      <c r="L64" s="332"/>
      <c r="M64" s="385"/>
      <c r="N64" s="432"/>
      <c r="O64" s="144"/>
      <c r="P64" s="338"/>
      <c r="Q64" s="338"/>
      <c r="R64" s="382"/>
      <c r="S64" s="379"/>
      <c r="T64" s="338"/>
      <c r="U64" s="338"/>
      <c r="V64" s="338"/>
      <c r="W64" s="379"/>
      <c r="X64" s="379"/>
      <c r="Y64" s="338"/>
      <c r="Z64" s="338"/>
      <c r="AA64" s="338"/>
      <c r="AB64" s="382"/>
    </row>
    <row r="65" spans="1:28" ht="18" customHeight="1" x14ac:dyDescent="0.2">
      <c r="A65" s="391"/>
      <c r="B65" s="140" t="s">
        <v>702</v>
      </c>
      <c r="C65" s="385"/>
      <c r="D65" s="389"/>
      <c r="E65" s="332"/>
      <c r="F65" s="332"/>
      <c r="G65" s="332"/>
      <c r="H65" s="385"/>
      <c r="I65" s="389"/>
      <c r="J65" s="332"/>
      <c r="K65" s="332"/>
      <c r="L65" s="332"/>
      <c r="M65" s="385"/>
      <c r="N65" s="432"/>
      <c r="O65" s="144"/>
      <c r="P65" s="338"/>
      <c r="Q65" s="338"/>
      <c r="R65" s="382"/>
      <c r="S65" s="379"/>
      <c r="T65" s="338"/>
      <c r="U65" s="338"/>
      <c r="V65" s="338"/>
      <c r="W65" s="379"/>
      <c r="X65" s="379"/>
      <c r="Y65" s="338"/>
      <c r="Z65" s="338"/>
      <c r="AA65" s="338"/>
      <c r="AB65" s="382"/>
    </row>
    <row r="66" spans="1:28" ht="18" customHeight="1" x14ac:dyDescent="0.2">
      <c r="A66" s="391"/>
      <c r="B66" s="139" t="s">
        <v>322</v>
      </c>
      <c r="C66" s="385"/>
      <c r="D66" s="389"/>
      <c r="E66" s="332"/>
      <c r="F66" s="332"/>
      <c r="G66" s="332"/>
      <c r="H66" s="385"/>
      <c r="I66" s="389"/>
      <c r="J66" s="332"/>
      <c r="K66" s="332"/>
      <c r="L66" s="332"/>
      <c r="M66" s="385"/>
      <c r="N66" s="432"/>
      <c r="O66" s="144"/>
      <c r="P66" s="338"/>
      <c r="Q66" s="338"/>
      <c r="R66" s="382"/>
      <c r="S66" s="379"/>
      <c r="T66" s="338"/>
      <c r="U66" s="338"/>
      <c r="V66" s="338"/>
      <c r="W66" s="379"/>
      <c r="X66" s="379"/>
      <c r="Y66" s="338"/>
      <c r="Z66" s="338"/>
      <c r="AA66" s="338"/>
      <c r="AB66" s="382"/>
    </row>
    <row r="67" spans="1:28" ht="18" customHeight="1" x14ac:dyDescent="0.2">
      <c r="A67" s="391"/>
      <c r="B67" s="141" t="s">
        <v>703</v>
      </c>
      <c r="C67" s="385"/>
      <c r="D67" s="389"/>
      <c r="E67" s="332"/>
      <c r="F67" s="332"/>
      <c r="G67" s="332"/>
      <c r="H67" s="385"/>
      <c r="I67" s="389"/>
      <c r="J67" s="332"/>
      <c r="K67" s="332"/>
      <c r="L67" s="332"/>
      <c r="M67" s="385"/>
      <c r="N67" s="432"/>
      <c r="O67" s="144"/>
      <c r="P67" s="338"/>
      <c r="Q67" s="338"/>
      <c r="R67" s="382"/>
      <c r="S67" s="379"/>
      <c r="T67" s="338"/>
      <c r="U67" s="338"/>
      <c r="V67" s="338"/>
      <c r="W67" s="379"/>
      <c r="X67" s="379"/>
      <c r="Y67" s="338"/>
      <c r="Z67" s="338"/>
      <c r="AA67" s="338"/>
      <c r="AB67" s="382"/>
    </row>
    <row r="68" spans="1:28" ht="18" customHeight="1" x14ac:dyDescent="0.2">
      <c r="A68" s="391"/>
      <c r="B68" s="141" t="s">
        <v>704</v>
      </c>
      <c r="C68" s="385"/>
      <c r="D68" s="389"/>
      <c r="E68" s="332"/>
      <c r="F68" s="332"/>
      <c r="G68" s="332"/>
      <c r="H68" s="385"/>
      <c r="I68" s="389"/>
      <c r="J68" s="332"/>
      <c r="K68" s="332"/>
      <c r="L68" s="332"/>
      <c r="M68" s="385"/>
      <c r="N68" s="432"/>
      <c r="O68" s="144"/>
      <c r="P68" s="338"/>
      <c r="Q68" s="338"/>
      <c r="R68" s="382"/>
      <c r="S68" s="379"/>
      <c r="T68" s="338"/>
      <c r="U68" s="338"/>
      <c r="V68" s="338"/>
      <c r="W68" s="379"/>
      <c r="X68" s="379"/>
      <c r="Y68" s="338"/>
      <c r="Z68" s="338"/>
      <c r="AA68" s="338"/>
      <c r="AB68" s="382"/>
    </row>
    <row r="69" spans="1:28" ht="18" customHeight="1" x14ac:dyDescent="0.2">
      <c r="A69" s="391"/>
      <c r="B69" s="141" t="s">
        <v>705</v>
      </c>
      <c r="C69" s="385"/>
      <c r="D69" s="389"/>
      <c r="E69" s="332"/>
      <c r="F69" s="332"/>
      <c r="G69" s="332"/>
      <c r="H69" s="385"/>
      <c r="I69" s="389"/>
      <c r="J69" s="332"/>
      <c r="K69" s="332"/>
      <c r="L69" s="332"/>
      <c r="M69" s="385"/>
      <c r="N69" s="432"/>
      <c r="O69" s="144"/>
      <c r="P69" s="338"/>
      <c r="Q69" s="338"/>
      <c r="R69" s="382"/>
      <c r="S69" s="379"/>
      <c r="T69" s="338"/>
      <c r="U69" s="338"/>
      <c r="V69" s="338"/>
      <c r="W69" s="379"/>
      <c r="X69" s="379"/>
      <c r="Y69" s="338"/>
      <c r="Z69" s="338"/>
      <c r="AA69" s="338"/>
      <c r="AB69" s="382"/>
    </row>
    <row r="70" spans="1:28" ht="31.5" customHeight="1" x14ac:dyDescent="0.2">
      <c r="A70" s="391"/>
      <c r="B70" s="141" t="s">
        <v>706</v>
      </c>
      <c r="C70" s="385"/>
      <c r="D70" s="389"/>
      <c r="E70" s="332"/>
      <c r="F70" s="332"/>
      <c r="G70" s="332"/>
      <c r="H70" s="385"/>
      <c r="I70" s="389"/>
      <c r="J70" s="332"/>
      <c r="K70" s="332"/>
      <c r="L70" s="332"/>
      <c r="M70" s="385"/>
      <c r="N70" s="432"/>
      <c r="O70" s="144"/>
      <c r="P70" s="338"/>
      <c r="Q70" s="338"/>
      <c r="R70" s="382"/>
      <c r="S70" s="379"/>
      <c r="T70" s="338"/>
      <c r="U70" s="338"/>
      <c r="V70" s="338"/>
      <c r="W70" s="379"/>
      <c r="X70" s="379"/>
      <c r="Y70" s="338"/>
      <c r="Z70" s="338"/>
      <c r="AA70" s="338"/>
      <c r="AB70" s="382"/>
    </row>
    <row r="71" spans="1:28" ht="18" customHeight="1" x14ac:dyDescent="0.2">
      <c r="A71" s="391"/>
      <c r="B71" s="141" t="s">
        <v>707</v>
      </c>
      <c r="C71" s="385"/>
      <c r="D71" s="389"/>
      <c r="E71" s="332"/>
      <c r="F71" s="332"/>
      <c r="G71" s="332"/>
      <c r="H71" s="385"/>
      <c r="I71" s="389"/>
      <c r="J71" s="332"/>
      <c r="K71" s="332"/>
      <c r="L71" s="332"/>
      <c r="M71" s="385"/>
      <c r="N71" s="432"/>
      <c r="O71" s="144"/>
      <c r="P71" s="338"/>
      <c r="Q71" s="338"/>
      <c r="R71" s="382"/>
      <c r="S71" s="379"/>
      <c r="T71" s="338"/>
      <c r="U71" s="338"/>
      <c r="V71" s="338"/>
      <c r="W71" s="379"/>
      <c r="X71" s="379"/>
      <c r="Y71" s="338"/>
      <c r="Z71" s="338"/>
      <c r="AA71" s="338"/>
      <c r="AB71" s="382"/>
    </row>
    <row r="72" spans="1:28" ht="32.25" customHeight="1" x14ac:dyDescent="0.2">
      <c r="A72" s="391"/>
      <c r="B72" s="141" t="s">
        <v>708</v>
      </c>
      <c r="C72" s="385"/>
      <c r="D72" s="389"/>
      <c r="E72" s="332"/>
      <c r="F72" s="332"/>
      <c r="G72" s="332"/>
      <c r="H72" s="385"/>
      <c r="I72" s="389"/>
      <c r="J72" s="332"/>
      <c r="K72" s="332"/>
      <c r="L72" s="332"/>
      <c r="M72" s="385"/>
      <c r="N72" s="432"/>
      <c r="O72" s="144"/>
      <c r="P72" s="338"/>
      <c r="Q72" s="338"/>
      <c r="R72" s="382"/>
      <c r="S72" s="379"/>
      <c r="T72" s="338"/>
      <c r="U72" s="338"/>
      <c r="V72" s="338"/>
      <c r="W72" s="379"/>
      <c r="X72" s="379"/>
      <c r="Y72" s="338"/>
      <c r="Z72" s="338"/>
      <c r="AA72" s="338"/>
      <c r="AB72" s="382"/>
    </row>
    <row r="73" spans="1:28" ht="18" customHeight="1" x14ac:dyDescent="0.2">
      <c r="A73" s="391"/>
      <c r="B73" s="141" t="s">
        <v>709</v>
      </c>
      <c r="C73" s="385"/>
      <c r="D73" s="389"/>
      <c r="E73" s="332"/>
      <c r="F73" s="332"/>
      <c r="G73" s="332"/>
      <c r="H73" s="385"/>
      <c r="I73" s="389"/>
      <c r="J73" s="332"/>
      <c r="K73" s="332"/>
      <c r="L73" s="332"/>
      <c r="M73" s="385"/>
      <c r="N73" s="432"/>
      <c r="O73" s="144"/>
      <c r="P73" s="338"/>
      <c r="Q73" s="338"/>
      <c r="R73" s="382"/>
      <c r="S73" s="379"/>
      <c r="T73" s="338"/>
      <c r="U73" s="338"/>
      <c r="V73" s="338"/>
      <c r="W73" s="379"/>
      <c r="X73" s="379"/>
      <c r="Y73" s="338"/>
      <c r="Z73" s="338"/>
      <c r="AA73" s="338"/>
      <c r="AB73" s="382"/>
    </row>
    <row r="74" spans="1:28" ht="18" customHeight="1" x14ac:dyDescent="0.2">
      <c r="A74" s="391"/>
      <c r="B74" s="141" t="s">
        <v>710</v>
      </c>
      <c r="C74" s="385"/>
      <c r="D74" s="389"/>
      <c r="E74" s="332"/>
      <c r="F74" s="332"/>
      <c r="G74" s="332"/>
      <c r="H74" s="385"/>
      <c r="I74" s="389"/>
      <c r="J74" s="332"/>
      <c r="K74" s="332"/>
      <c r="L74" s="332"/>
      <c r="M74" s="385"/>
      <c r="N74" s="432"/>
      <c r="O74" s="144"/>
      <c r="P74" s="338"/>
      <c r="Q74" s="338"/>
      <c r="R74" s="382"/>
      <c r="S74" s="379"/>
      <c r="T74" s="338"/>
      <c r="U74" s="338"/>
      <c r="V74" s="338"/>
      <c r="W74" s="379"/>
      <c r="X74" s="379"/>
      <c r="Y74" s="338"/>
      <c r="Z74" s="338"/>
      <c r="AA74" s="338"/>
      <c r="AB74" s="382"/>
    </row>
    <row r="75" spans="1:28" ht="18" customHeight="1" x14ac:dyDescent="0.2">
      <c r="A75" s="391"/>
      <c r="B75" s="141" t="s">
        <v>711</v>
      </c>
      <c r="C75" s="385"/>
      <c r="D75" s="389"/>
      <c r="E75" s="332"/>
      <c r="F75" s="332"/>
      <c r="G75" s="332"/>
      <c r="H75" s="385"/>
      <c r="I75" s="389"/>
      <c r="J75" s="332"/>
      <c r="K75" s="332"/>
      <c r="L75" s="332"/>
      <c r="M75" s="385"/>
      <c r="N75" s="432"/>
      <c r="O75" s="144"/>
      <c r="P75" s="338"/>
      <c r="Q75" s="338"/>
      <c r="R75" s="382"/>
      <c r="S75" s="379"/>
      <c r="T75" s="338"/>
      <c r="U75" s="338"/>
      <c r="V75" s="338"/>
      <c r="W75" s="379"/>
      <c r="X75" s="379"/>
      <c r="Y75" s="338"/>
      <c r="Z75" s="338"/>
      <c r="AA75" s="338"/>
      <c r="AB75" s="382"/>
    </row>
    <row r="76" spans="1:28" ht="18" customHeight="1" x14ac:dyDescent="0.2">
      <c r="A76" s="391"/>
      <c r="B76" s="141" t="s">
        <v>712</v>
      </c>
      <c r="C76" s="385"/>
      <c r="D76" s="389"/>
      <c r="E76" s="332"/>
      <c r="F76" s="332"/>
      <c r="G76" s="332"/>
      <c r="H76" s="385"/>
      <c r="I76" s="389"/>
      <c r="J76" s="332"/>
      <c r="K76" s="332"/>
      <c r="L76" s="332"/>
      <c r="M76" s="385"/>
      <c r="N76" s="432"/>
      <c r="O76" s="144"/>
      <c r="P76" s="338"/>
      <c r="Q76" s="338"/>
      <c r="R76" s="382"/>
      <c r="S76" s="379"/>
      <c r="T76" s="338"/>
      <c r="U76" s="338"/>
      <c r="V76" s="338"/>
      <c r="W76" s="379"/>
      <c r="X76" s="379"/>
      <c r="Y76" s="338"/>
      <c r="Z76" s="338"/>
      <c r="AA76" s="338"/>
      <c r="AB76" s="382"/>
    </row>
    <row r="77" spans="1:28" ht="18" customHeight="1" x14ac:dyDescent="0.2">
      <c r="A77" s="391"/>
      <c r="B77" s="141" t="s">
        <v>713</v>
      </c>
      <c r="C77" s="385"/>
      <c r="D77" s="389"/>
      <c r="E77" s="332"/>
      <c r="F77" s="332"/>
      <c r="G77" s="332"/>
      <c r="H77" s="385"/>
      <c r="I77" s="389"/>
      <c r="J77" s="332"/>
      <c r="K77" s="332"/>
      <c r="L77" s="332"/>
      <c r="M77" s="385"/>
      <c r="N77" s="432"/>
      <c r="O77" s="144"/>
      <c r="P77" s="338"/>
      <c r="Q77" s="338"/>
      <c r="R77" s="382"/>
      <c r="S77" s="379"/>
      <c r="T77" s="338"/>
      <c r="U77" s="338"/>
      <c r="V77" s="338"/>
      <c r="W77" s="379"/>
      <c r="X77" s="379"/>
      <c r="Y77" s="338"/>
      <c r="Z77" s="338"/>
      <c r="AA77" s="338"/>
      <c r="AB77" s="382"/>
    </row>
    <row r="78" spans="1:28" ht="18" customHeight="1" x14ac:dyDescent="0.2">
      <c r="A78" s="391"/>
      <c r="B78" s="141" t="s">
        <v>714</v>
      </c>
      <c r="C78" s="385"/>
      <c r="D78" s="389"/>
      <c r="E78" s="332"/>
      <c r="F78" s="332"/>
      <c r="G78" s="332"/>
      <c r="H78" s="385"/>
      <c r="I78" s="389"/>
      <c r="J78" s="332"/>
      <c r="K78" s="332"/>
      <c r="L78" s="332"/>
      <c r="M78" s="385"/>
      <c r="N78" s="432"/>
      <c r="O78" s="144"/>
      <c r="P78" s="338"/>
      <c r="Q78" s="338"/>
      <c r="R78" s="382"/>
      <c r="S78" s="379"/>
      <c r="T78" s="338"/>
      <c r="U78" s="338"/>
      <c r="V78" s="338"/>
      <c r="W78" s="379"/>
      <c r="X78" s="379"/>
      <c r="Y78" s="338"/>
      <c r="Z78" s="338"/>
      <c r="AA78" s="338"/>
      <c r="AB78" s="382"/>
    </row>
    <row r="79" spans="1:28" ht="18" customHeight="1" x14ac:dyDescent="0.2">
      <c r="A79" s="391"/>
      <c r="B79" s="141" t="s">
        <v>715</v>
      </c>
      <c r="C79" s="385"/>
      <c r="D79" s="389"/>
      <c r="E79" s="332"/>
      <c r="F79" s="332"/>
      <c r="G79" s="332"/>
      <c r="H79" s="385"/>
      <c r="I79" s="389"/>
      <c r="J79" s="332"/>
      <c r="K79" s="332"/>
      <c r="L79" s="332"/>
      <c r="M79" s="385"/>
      <c r="N79" s="432"/>
      <c r="O79" s="144"/>
      <c r="P79" s="338"/>
      <c r="Q79" s="338"/>
      <c r="R79" s="382"/>
      <c r="S79" s="379"/>
      <c r="T79" s="338"/>
      <c r="U79" s="338"/>
      <c r="V79" s="338"/>
      <c r="W79" s="379"/>
      <c r="X79" s="379"/>
      <c r="Y79" s="338"/>
      <c r="Z79" s="338"/>
      <c r="AA79" s="338"/>
      <c r="AB79" s="382"/>
    </row>
    <row r="80" spans="1:28" ht="20.25" customHeight="1" x14ac:dyDescent="0.2">
      <c r="A80" s="391"/>
      <c r="B80" s="141" t="s">
        <v>716</v>
      </c>
      <c r="C80" s="385"/>
      <c r="D80" s="389"/>
      <c r="E80" s="332"/>
      <c r="F80" s="332"/>
      <c r="G80" s="332"/>
      <c r="H80" s="385"/>
      <c r="I80" s="389"/>
      <c r="J80" s="332"/>
      <c r="K80" s="332"/>
      <c r="L80" s="332"/>
      <c r="M80" s="385"/>
      <c r="N80" s="432"/>
      <c r="O80" s="144"/>
      <c r="P80" s="338"/>
      <c r="Q80" s="338"/>
      <c r="R80" s="382"/>
      <c r="S80" s="379"/>
      <c r="T80" s="338"/>
      <c r="U80" s="338"/>
      <c r="V80" s="338"/>
      <c r="W80" s="379"/>
      <c r="X80" s="379"/>
      <c r="Y80" s="338"/>
      <c r="Z80" s="338"/>
      <c r="AA80" s="338"/>
      <c r="AB80" s="382"/>
    </row>
    <row r="81" spans="1:28" ht="18" customHeight="1" x14ac:dyDescent="0.25">
      <c r="A81" s="391"/>
      <c r="B81" s="145" t="s">
        <v>717</v>
      </c>
      <c r="C81" s="385"/>
      <c r="D81" s="389"/>
      <c r="E81" s="332"/>
      <c r="F81" s="332"/>
      <c r="G81" s="332"/>
      <c r="H81" s="385"/>
      <c r="I81" s="389"/>
      <c r="J81" s="332"/>
      <c r="K81" s="332"/>
      <c r="L81" s="332"/>
      <c r="M81" s="385"/>
      <c r="N81" s="432"/>
      <c r="O81" s="144"/>
      <c r="P81" s="338"/>
      <c r="Q81" s="338"/>
      <c r="R81" s="382"/>
      <c r="S81" s="379"/>
      <c r="T81" s="338"/>
      <c r="U81" s="338"/>
      <c r="V81" s="338"/>
      <c r="W81" s="379"/>
      <c r="X81" s="379"/>
      <c r="Y81" s="338"/>
      <c r="Z81" s="338"/>
      <c r="AA81" s="338"/>
      <c r="AB81" s="382"/>
    </row>
    <row r="82" spans="1:28" ht="18" customHeight="1" x14ac:dyDescent="0.2">
      <c r="A82" s="391"/>
      <c r="B82" s="141" t="s">
        <v>718</v>
      </c>
      <c r="C82" s="385"/>
      <c r="D82" s="389"/>
      <c r="E82" s="332"/>
      <c r="F82" s="332"/>
      <c r="G82" s="332"/>
      <c r="H82" s="385"/>
      <c r="I82" s="389"/>
      <c r="J82" s="332"/>
      <c r="K82" s="332"/>
      <c r="L82" s="332"/>
      <c r="M82" s="385"/>
      <c r="N82" s="432"/>
      <c r="O82" s="144"/>
      <c r="P82" s="338"/>
      <c r="Q82" s="338"/>
      <c r="R82" s="382"/>
      <c r="S82" s="379"/>
      <c r="T82" s="338"/>
      <c r="U82" s="338"/>
      <c r="V82" s="338"/>
      <c r="W82" s="379"/>
      <c r="X82" s="379"/>
      <c r="Y82" s="338"/>
      <c r="Z82" s="338"/>
      <c r="AA82" s="338"/>
      <c r="AB82" s="382"/>
    </row>
    <row r="83" spans="1:28" ht="20.25" customHeight="1" x14ac:dyDescent="0.2">
      <c r="A83" s="391"/>
      <c r="B83" s="141" t="s">
        <v>719</v>
      </c>
      <c r="C83" s="385"/>
      <c r="D83" s="389"/>
      <c r="E83" s="332"/>
      <c r="F83" s="332"/>
      <c r="G83" s="332"/>
      <c r="H83" s="385"/>
      <c r="I83" s="389"/>
      <c r="J83" s="332"/>
      <c r="K83" s="332"/>
      <c r="L83" s="332"/>
      <c r="M83" s="385"/>
      <c r="N83" s="432"/>
      <c r="O83" s="144"/>
      <c r="P83" s="338"/>
      <c r="Q83" s="338"/>
      <c r="R83" s="382"/>
      <c r="S83" s="379"/>
      <c r="T83" s="338"/>
      <c r="U83" s="338"/>
      <c r="V83" s="338"/>
      <c r="W83" s="379"/>
      <c r="X83" s="379"/>
      <c r="Y83" s="338"/>
      <c r="Z83" s="338"/>
      <c r="AA83" s="338"/>
      <c r="AB83" s="382"/>
    </row>
    <row r="84" spans="1:28" ht="18" customHeight="1" x14ac:dyDescent="0.2">
      <c r="A84" s="391"/>
      <c r="B84" s="139" t="s">
        <v>373</v>
      </c>
      <c r="C84" s="385"/>
      <c r="D84" s="389"/>
      <c r="E84" s="332"/>
      <c r="F84" s="332"/>
      <c r="G84" s="332"/>
      <c r="H84" s="385"/>
      <c r="I84" s="389"/>
      <c r="J84" s="332"/>
      <c r="K84" s="332"/>
      <c r="L84" s="332"/>
      <c r="M84" s="385"/>
      <c r="N84" s="432"/>
      <c r="O84" s="144"/>
      <c r="P84" s="338"/>
      <c r="Q84" s="338"/>
      <c r="R84" s="382"/>
      <c r="S84" s="379"/>
      <c r="T84" s="338"/>
      <c r="U84" s="338"/>
      <c r="V84" s="338"/>
      <c r="W84" s="379"/>
      <c r="X84" s="379"/>
      <c r="Y84" s="338"/>
      <c r="Z84" s="338"/>
      <c r="AA84" s="338"/>
      <c r="AB84" s="382"/>
    </row>
    <row r="85" spans="1:28" ht="25.5" customHeight="1" x14ac:dyDescent="0.2">
      <c r="A85" s="391"/>
      <c r="B85" s="140" t="s">
        <v>720</v>
      </c>
      <c r="C85" s="385"/>
      <c r="D85" s="389"/>
      <c r="E85" s="332"/>
      <c r="F85" s="332"/>
      <c r="G85" s="332"/>
      <c r="H85" s="385"/>
      <c r="I85" s="389"/>
      <c r="J85" s="332"/>
      <c r="K85" s="332"/>
      <c r="L85" s="332"/>
      <c r="M85" s="385"/>
      <c r="N85" s="432"/>
      <c r="O85" s="144"/>
      <c r="P85" s="338"/>
      <c r="Q85" s="338"/>
      <c r="R85" s="382"/>
      <c r="S85" s="379"/>
      <c r="T85" s="338"/>
      <c r="U85" s="338"/>
      <c r="V85" s="338"/>
      <c r="W85" s="379"/>
      <c r="X85" s="379"/>
      <c r="Y85" s="338"/>
      <c r="Z85" s="338"/>
      <c r="AA85" s="338"/>
      <c r="AB85" s="382"/>
    </row>
    <row r="86" spans="1:28" ht="18" customHeight="1" x14ac:dyDescent="0.2">
      <c r="A86" s="391"/>
      <c r="B86" s="140" t="s">
        <v>721</v>
      </c>
      <c r="C86" s="385"/>
      <c r="D86" s="389"/>
      <c r="E86" s="332"/>
      <c r="F86" s="332"/>
      <c r="G86" s="332"/>
      <c r="H86" s="385"/>
      <c r="I86" s="389"/>
      <c r="J86" s="332"/>
      <c r="K86" s="332"/>
      <c r="L86" s="332"/>
      <c r="M86" s="385"/>
      <c r="N86" s="432"/>
      <c r="O86" s="144"/>
      <c r="P86" s="338"/>
      <c r="Q86" s="338"/>
      <c r="R86" s="382"/>
      <c r="S86" s="379"/>
      <c r="T86" s="338"/>
      <c r="U86" s="338"/>
      <c r="V86" s="338"/>
      <c r="W86" s="379"/>
      <c r="X86" s="379"/>
      <c r="Y86" s="338"/>
      <c r="Z86" s="338"/>
      <c r="AA86" s="338"/>
      <c r="AB86" s="382"/>
    </row>
    <row r="87" spans="1:28" ht="33.75" customHeight="1" x14ac:dyDescent="0.2">
      <c r="A87" s="391"/>
      <c r="B87" s="140" t="s">
        <v>722</v>
      </c>
      <c r="C87" s="385"/>
      <c r="D87" s="389"/>
      <c r="E87" s="332"/>
      <c r="F87" s="332"/>
      <c r="G87" s="332"/>
      <c r="H87" s="385"/>
      <c r="I87" s="389"/>
      <c r="J87" s="332"/>
      <c r="K87" s="332"/>
      <c r="L87" s="332"/>
      <c r="M87" s="385"/>
      <c r="N87" s="432"/>
      <c r="O87" s="144"/>
      <c r="P87" s="338"/>
      <c r="Q87" s="338"/>
      <c r="R87" s="382"/>
      <c r="S87" s="379"/>
      <c r="T87" s="338"/>
      <c r="U87" s="338"/>
      <c r="V87" s="338"/>
      <c r="W87" s="379"/>
      <c r="X87" s="379"/>
      <c r="Y87" s="338"/>
      <c r="Z87" s="338"/>
      <c r="AA87" s="338"/>
      <c r="AB87" s="382"/>
    </row>
    <row r="88" spans="1:28" ht="19.5" customHeight="1" x14ac:dyDescent="0.2">
      <c r="A88" s="391"/>
      <c r="B88" s="140" t="s">
        <v>723</v>
      </c>
      <c r="C88" s="385"/>
      <c r="D88" s="389"/>
      <c r="E88" s="332"/>
      <c r="F88" s="332"/>
      <c r="G88" s="332"/>
      <c r="H88" s="385"/>
      <c r="I88" s="389"/>
      <c r="J88" s="332"/>
      <c r="K88" s="332"/>
      <c r="L88" s="332"/>
      <c r="M88" s="385"/>
      <c r="N88" s="432"/>
      <c r="O88" s="144"/>
      <c r="P88" s="338"/>
      <c r="Q88" s="338"/>
      <c r="R88" s="382"/>
      <c r="S88" s="379"/>
      <c r="T88" s="338"/>
      <c r="U88" s="338"/>
      <c r="V88" s="338"/>
      <c r="W88" s="379"/>
      <c r="X88" s="379"/>
      <c r="Y88" s="338"/>
      <c r="Z88" s="338"/>
      <c r="AA88" s="338"/>
      <c r="AB88" s="382"/>
    </row>
    <row r="89" spans="1:28" ht="19.5" customHeight="1" x14ac:dyDescent="0.2">
      <c r="A89" s="391"/>
      <c r="B89" s="140" t="s">
        <v>724</v>
      </c>
      <c r="C89" s="385"/>
      <c r="D89" s="389"/>
      <c r="E89" s="332"/>
      <c r="F89" s="332"/>
      <c r="G89" s="332"/>
      <c r="H89" s="385"/>
      <c r="I89" s="389"/>
      <c r="J89" s="332"/>
      <c r="K89" s="332"/>
      <c r="L89" s="332"/>
      <c r="M89" s="385"/>
      <c r="N89" s="432"/>
      <c r="O89" s="144"/>
      <c r="P89" s="338"/>
      <c r="Q89" s="338"/>
      <c r="R89" s="382"/>
      <c r="S89" s="379"/>
      <c r="T89" s="338"/>
      <c r="U89" s="338"/>
      <c r="V89" s="338"/>
      <c r="W89" s="379"/>
      <c r="X89" s="379"/>
      <c r="Y89" s="338"/>
      <c r="Z89" s="338"/>
      <c r="AA89" s="338"/>
      <c r="AB89" s="382"/>
    </row>
    <row r="90" spans="1:28" ht="20.25" customHeight="1" x14ac:dyDescent="0.2">
      <c r="A90" s="391"/>
      <c r="B90" s="140" t="s">
        <v>780</v>
      </c>
      <c r="C90" s="385"/>
      <c r="D90" s="389"/>
      <c r="E90" s="332"/>
      <c r="F90" s="332"/>
      <c r="G90" s="332"/>
      <c r="H90" s="385"/>
      <c r="I90" s="389"/>
      <c r="J90" s="332"/>
      <c r="K90" s="332"/>
      <c r="L90" s="332"/>
      <c r="M90" s="385"/>
      <c r="N90" s="432"/>
      <c r="O90" s="144"/>
      <c r="P90" s="338"/>
      <c r="Q90" s="338"/>
      <c r="R90" s="382"/>
      <c r="S90" s="379"/>
      <c r="T90" s="338"/>
      <c r="U90" s="338"/>
      <c r="V90" s="338"/>
      <c r="W90" s="379"/>
      <c r="X90" s="379"/>
      <c r="Y90" s="338"/>
      <c r="Z90" s="338"/>
      <c r="AA90" s="338"/>
      <c r="AB90" s="382"/>
    </row>
    <row r="91" spans="1:28" ht="19.5" customHeight="1" x14ac:dyDescent="0.2">
      <c r="A91" s="391"/>
      <c r="B91" s="141" t="s">
        <v>725</v>
      </c>
      <c r="C91" s="385"/>
      <c r="D91" s="389"/>
      <c r="E91" s="332"/>
      <c r="F91" s="332"/>
      <c r="G91" s="332"/>
      <c r="H91" s="385"/>
      <c r="I91" s="389"/>
      <c r="J91" s="332"/>
      <c r="K91" s="332"/>
      <c r="L91" s="332"/>
      <c r="M91" s="385"/>
      <c r="N91" s="432"/>
      <c r="O91" s="144"/>
      <c r="P91" s="338"/>
      <c r="Q91" s="338"/>
      <c r="R91" s="382"/>
      <c r="S91" s="379"/>
      <c r="T91" s="338"/>
      <c r="U91" s="338"/>
      <c r="V91" s="338"/>
      <c r="W91" s="379"/>
      <c r="X91" s="379"/>
      <c r="Y91" s="338"/>
      <c r="Z91" s="338"/>
      <c r="AA91" s="338"/>
      <c r="AB91" s="382"/>
    </row>
    <row r="92" spans="1:28" ht="19.5" customHeight="1" x14ac:dyDescent="0.2">
      <c r="A92" s="391"/>
      <c r="B92" s="141" t="s">
        <v>726</v>
      </c>
      <c r="C92" s="385"/>
      <c r="D92" s="389"/>
      <c r="E92" s="332"/>
      <c r="F92" s="332"/>
      <c r="G92" s="332"/>
      <c r="H92" s="385"/>
      <c r="I92" s="389"/>
      <c r="J92" s="332"/>
      <c r="K92" s="332"/>
      <c r="L92" s="332"/>
      <c r="M92" s="385"/>
      <c r="N92" s="432"/>
      <c r="O92" s="144"/>
      <c r="P92" s="338"/>
      <c r="Q92" s="338"/>
      <c r="R92" s="382"/>
      <c r="S92" s="379"/>
      <c r="T92" s="338"/>
      <c r="U92" s="338"/>
      <c r="V92" s="338"/>
      <c r="W92" s="379"/>
      <c r="X92" s="379"/>
      <c r="Y92" s="338"/>
      <c r="Z92" s="338"/>
      <c r="AA92" s="338"/>
      <c r="AB92" s="382"/>
    </row>
    <row r="93" spans="1:28" ht="19.5" customHeight="1" x14ac:dyDescent="0.2">
      <c r="A93" s="391"/>
      <c r="B93" s="141" t="s">
        <v>727</v>
      </c>
      <c r="C93" s="385"/>
      <c r="D93" s="389"/>
      <c r="E93" s="332"/>
      <c r="F93" s="332"/>
      <c r="G93" s="332"/>
      <c r="H93" s="385"/>
      <c r="I93" s="389"/>
      <c r="J93" s="332"/>
      <c r="K93" s="332"/>
      <c r="L93" s="332"/>
      <c r="M93" s="385"/>
      <c r="N93" s="432"/>
      <c r="O93" s="144"/>
      <c r="P93" s="338"/>
      <c r="Q93" s="338"/>
      <c r="R93" s="382"/>
      <c r="S93" s="379"/>
      <c r="T93" s="338"/>
      <c r="U93" s="338"/>
      <c r="V93" s="338"/>
      <c r="W93" s="379"/>
      <c r="X93" s="379"/>
      <c r="Y93" s="338"/>
      <c r="Z93" s="338"/>
      <c r="AA93" s="338"/>
      <c r="AB93" s="382"/>
    </row>
    <row r="94" spans="1:28" ht="15" customHeight="1" x14ac:dyDescent="0.2">
      <c r="A94" s="391"/>
      <c r="B94" s="141" t="s">
        <v>728</v>
      </c>
      <c r="C94" s="385"/>
      <c r="D94" s="389"/>
      <c r="E94" s="332"/>
      <c r="F94" s="332"/>
      <c r="G94" s="332"/>
      <c r="H94" s="385"/>
      <c r="I94" s="389"/>
      <c r="J94" s="332"/>
      <c r="K94" s="332"/>
      <c r="L94" s="332"/>
      <c r="M94" s="385"/>
      <c r="N94" s="432"/>
      <c r="O94" s="144"/>
      <c r="P94" s="338"/>
      <c r="Q94" s="338"/>
      <c r="R94" s="382"/>
      <c r="S94" s="379"/>
      <c r="T94" s="338"/>
      <c r="U94" s="338"/>
      <c r="V94" s="338"/>
      <c r="W94" s="379"/>
      <c r="X94" s="379"/>
      <c r="Y94" s="338"/>
      <c r="Z94" s="338"/>
      <c r="AA94" s="338"/>
      <c r="AB94" s="382"/>
    </row>
    <row r="95" spans="1:28" ht="15.75" customHeight="1" x14ac:dyDescent="0.2">
      <c r="A95" s="391"/>
      <c r="B95" s="141" t="s">
        <v>729</v>
      </c>
      <c r="C95" s="385"/>
      <c r="D95" s="389"/>
      <c r="E95" s="332"/>
      <c r="F95" s="332"/>
      <c r="G95" s="332"/>
      <c r="H95" s="385"/>
      <c r="I95" s="389"/>
      <c r="J95" s="332"/>
      <c r="K95" s="332"/>
      <c r="L95" s="332"/>
      <c r="M95" s="385"/>
      <c r="N95" s="432"/>
      <c r="O95" s="144"/>
      <c r="P95" s="338"/>
      <c r="Q95" s="338"/>
      <c r="R95" s="382"/>
      <c r="S95" s="379"/>
      <c r="T95" s="338"/>
      <c r="U95" s="338"/>
      <c r="V95" s="338"/>
      <c r="W95" s="379"/>
      <c r="X95" s="379"/>
      <c r="Y95" s="338"/>
      <c r="Z95" s="338"/>
      <c r="AA95" s="338"/>
      <c r="AB95" s="382"/>
    </row>
    <row r="96" spans="1:28" ht="15.75" customHeight="1" x14ac:dyDescent="0.2">
      <c r="A96" s="391"/>
      <c r="B96" s="141" t="s">
        <v>781</v>
      </c>
      <c r="C96" s="385"/>
      <c r="D96" s="389"/>
      <c r="E96" s="332"/>
      <c r="F96" s="332"/>
      <c r="G96" s="332"/>
      <c r="H96" s="385"/>
      <c r="I96" s="389"/>
      <c r="J96" s="332"/>
      <c r="K96" s="332"/>
      <c r="L96" s="332"/>
      <c r="M96" s="385"/>
      <c r="N96" s="432"/>
      <c r="O96" s="144"/>
      <c r="P96" s="338"/>
      <c r="Q96" s="338"/>
      <c r="R96" s="382"/>
      <c r="S96" s="379"/>
      <c r="T96" s="338"/>
      <c r="U96" s="338"/>
      <c r="V96" s="338"/>
      <c r="W96" s="379"/>
      <c r="X96" s="379"/>
      <c r="Y96" s="338"/>
      <c r="Z96" s="338"/>
      <c r="AA96" s="338"/>
      <c r="AB96" s="382"/>
    </row>
    <row r="97" spans="1:28" ht="19.5" customHeight="1" x14ac:dyDescent="0.2">
      <c r="A97" s="391"/>
      <c r="B97" s="141" t="s">
        <v>782</v>
      </c>
      <c r="C97" s="385"/>
      <c r="D97" s="389"/>
      <c r="E97" s="332"/>
      <c r="F97" s="332"/>
      <c r="G97" s="332"/>
      <c r="H97" s="385"/>
      <c r="I97" s="389"/>
      <c r="J97" s="332"/>
      <c r="K97" s="332"/>
      <c r="L97" s="332"/>
      <c r="M97" s="385"/>
      <c r="N97" s="432"/>
      <c r="O97" s="144"/>
      <c r="P97" s="338"/>
      <c r="Q97" s="338"/>
      <c r="R97" s="382"/>
      <c r="S97" s="379"/>
      <c r="T97" s="338"/>
      <c r="U97" s="338"/>
      <c r="V97" s="338"/>
      <c r="W97" s="379"/>
      <c r="X97" s="379"/>
      <c r="Y97" s="338"/>
      <c r="Z97" s="338"/>
      <c r="AA97" s="338"/>
      <c r="AB97" s="382"/>
    </row>
    <row r="98" spans="1:28" ht="19.5" customHeight="1" x14ac:dyDescent="0.2">
      <c r="A98" s="391"/>
      <c r="B98" s="141" t="s">
        <v>730</v>
      </c>
      <c r="C98" s="385"/>
      <c r="D98" s="389"/>
      <c r="E98" s="332"/>
      <c r="F98" s="332"/>
      <c r="G98" s="332"/>
      <c r="H98" s="385"/>
      <c r="I98" s="389"/>
      <c r="J98" s="332"/>
      <c r="K98" s="332"/>
      <c r="L98" s="332"/>
      <c r="M98" s="385"/>
      <c r="N98" s="432"/>
      <c r="O98" s="144"/>
      <c r="P98" s="338"/>
      <c r="Q98" s="338"/>
      <c r="R98" s="382"/>
      <c r="S98" s="379"/>
      <c r="T98" s="338"/>
      <c r="U98" s="338"/>
      <c r="V98" s="338"/>
      <c r="W98" s="379"/>
      <c r="X98" s="379"/>
      <c r="Y98" s="338"/>
      <c r="Z98" s="338"/>
      <c r="AA98" s="338"/>
      <c r="AB98" s="382"/>
    </row>
    <row r="99" spans="1:28" ht="21.75" customHeight="1" x14ac:dyDescent="0.2">
      <c r="A99" s="391"/>
      <c r="B99" s="141" t="s">
        <v>731</v>
      </c>
      <c r="C99" s="385"/>
      <c r="D99" s="389"/>
      <c r="E99" s="332"/>
      <c r="F99" s="332"/>
      <c r="G99" s="332"/>
      <c r="H99" s="385"/>
      <c r="I99" s="389"/>
      <c r="J99" s="332"/>
      <c r="K99" s="332"/>
      <c r="L99" s="332"/>
      <c r="M99" s="385"/>
      <c r="N99" s="432"/>
      <c r="O99" s="144"/>
      <c r="P99" s="338"/>
      <c r="Q99" s="338"/>
      <c r="R99" s="382"/>
      <c r="S99" s="379"/>
      <c r="T99" s="338"/>
      <c r="U99" s="338"/>
      <c r="V99" s="338"/>
      <c r="W99" s="379"/>
      <c r="X99" s="379"/>
      <c r="Y99" s="338"/>
      <c r="Z99" s="338"/>
      <c r="AA99" s="338"/>
      <c r="AB99" s="382"/>
    </row>
    <row r="100" spans="1:28" ht="21.75" customHeight="1" x14ac:dyDescent="0.2">
      <c r="A100" s="391"/>
      <c r="B100" s="141" t="s">
        <v>732</v>
      </c>
      <c r="C100" s="385"/>
      <c r="D100" s="389"/>
      <c r="E100" s="332"/>
      <c r="F100" s="332"/>
      <c r="G100" s="332"/>
      <c r="H100" s="385"/>
      <c r="I100" s="389"/>
      <c r="J100" s="332"/>
      <c r="K100" s="332"/>
      <c r="L100" s="332"/>
      <c r="M100" s="385"/>
      <c r="N100" s="432"/>
      <c r="O100" s="144"/>
      <c r="P100" s="338"/>
      <c r="Q100" s="338"/>
      <c r="R100" s="382"/>
      <c r="S100" s="379"/>
      <c r="T100" s="338"/>
      <c r="U100" s="338"/>
      <c r="V100" s="338"/>
      <c r="W100" s="379"/>
      <c r="X100" s="379"/>
      <c r="Y100" s="338"/>
      <c r="Z100" s="338"/>
      <c r="AA100" s="338"/>
      <c r="AB100" s="382"/>
    </row>
    <row r="101" spans="1:28" ht="21.75" customHeight="1" x14ac:dyDescent="0.2">
      <c r="A101" s="391"/>
      <c r="B101" s="141" t="s">
        <v>733</v>
      </c>
      <c r="C101" s="385"/>
      <c r="D101" s="389"/>
      <c r="E101" s="332"/>
      <c r="F101" s="332"/>
      <c r="G101" s="332"/>
      <c r="H101" s="385"/>
      <c r="I101" s="389"/>
      <c r="J101" s="332"/>
      <c r="K101" s="332"/>
      <c r="L101" s="332"/>
      <c r="M101" s="385"/>
      <c r="N101" s="432"/>
      <c r="O101" s="144"/>
      <c r="P101" s="338"/>
      <c r="Q101" s="338"/>
      <c r="R101" s="382"/>
      <c r="S101" s="379"/>
      <c r="T101" s="338"/>
      <c r="U101" s="338"/>
      <c r="V101" s="338"/>
      <c r="W101" s="379"/>
      <c r="X101" s="379"/>
      <c r="Y101" s="338"/>
      <c r="Z101" s="338"/>
      <c r="AA101" s="338"/>
      <c r="AB101" s="382"/>
    </row>
    <row r="102" spans="1:28" ht="17.25" customHeight="1" x14ac:dyDescent="0.2">
      <c r="A102" s="391"/>
      <c r="B102" s="141" t="s">
        <v>734</v>
      </c>
      <c r="C102" s="385"/>
      <c r="D102" s="389"/>
      <c r="E102" s="332"/>
      <c r="F102" s="332"/>
      <c r="G102" s="332"/>
      <c r="H102" s="385"/>
      <c r="I102" s="389"/>
      <c r="J102" s="332"/>
      <c r="K102" s="332"/>
      <c r="L102" s="332"/>
      <c r="M102" s="385"/>
      <c r="N102" s="432"/>
      <c r="O102" s="144"/>
      <c r="P102" s="338"/>
      <c r="Q102" s="338"/>
      <c r="R102" s="382"/>
      <c r="S102" s="379"/>
      <c r="T102" s="338"/>
      <c r="U102" s="338"/>
      <c r="V102" s="338"/>
      <c r="W102" s="379"/>
      <c r="X102" s="379"/>
      <c r="Y102" s="338"/>
      <c r="Z102" s="338"/>
      <c r="AA102" s="338"/>
      <c r="AB102" s="382"/>
    </row>
    <row r="103" spans="1:28" ht="18" customHeight="1" x14ac:dyDescent="0.2">
      <c r="A103" s="391"/>
      <c r="B103" s="141" t="s">
        <v>735</v>
      </c>
      <c r="C103" s="385"/>
      <c r="D103" s="389"/>
      <c r="E103" s="332"/>
      <c r="F103" s="332"/>
      <c r="G103" s="332"/>
      <c r="H103" s="385"/>
      <c r="I103" s="389"/>
      <c r="J103" s="332"/>
      <c r="K103" s="332"/>
      <c r="L103" s="332"/>
      <c r="M103" s="385"/>
      <c r="N103" s="432"/>
      <c r="O103" s="144"/>
      <c r="P103" s="338"/>
      <c r="Q103" s="338"/>
      <c r="R103" s="382"/>
      <c r="S103" s="379"/>
      <c r="T103" s="338"/>
      <c r="U103" s="338"/>
      <c r="V103" s="338"/>
      <c r="W103" s="379"/>
      <c r="X103" s="379"/>
      <c r="Y103" s="338"/>
      <c r="Z103" s="338"/>
      <c r="AA103" s="338"/>
      <c r="AB103" s="382"/>
    </row>
    <row r="104" spans="1:28" ht="18" customHeight="1" x14ac:dyDescent="0.2">
      <c r="A104" s="391"/>
      <c r="B104" s="141" t="s">
        <v>736</v>
      </c>
      <c r="C104" s="385"/>
      <c r="D104" s="389"/>
      <c r="E104" s="332"/>
      <c r="F104" s="332"/>
      <c r="G104" s="332"/>
      <c r="H104" s="385"/>
      <c r="I104" s="389"/>
      <c r="J104" s="332"/>
      <c r="K104" s="332"/>
      <c r="L104" s="332"/>
      <c r="M104" s="385"/>
      <c r="N104" s="432"/>
      <c r="O104" s="144"/>
      <c r="P104" s="338"/>
      <c r="Q104" s="338"/>
      <c r="R104" s="382"/>
      <c r="S104" s="379"/>
      <c r="T104" s="338"/>
      <c r="U104" s="338"/>
      <c r="V104" s="338"/>
      <c r="W104" s="379"/>
      <c r="X104" s="379"/>
      <c r="Y104" s="338"/>
      <c r="Z104" s="338"/>
      <c r="AA104" s="338"/>
      <c r="AB104" s="382"/>
    </row>
    <row r="105" spans="1:28" ht="16.5" customHeight="1" x14ac:dyDescent="0.2">
      <c r="A105" s="391"/>
      <c r="B105" s="141" t="s">
        <v>737</v>
      </c>
      <c r="C105" s="385"/>
      <c r="D105" s="389"/>
      <c r="E105" s="332"/>
      <c r="F105" s="332"/>
      <c r="G105" s="332"/>
      <c r="H105" s="385"/>
      <c r="I105" s="389"/>
      <c r="J105" s="332"/>
      <c r="K105" s="332"/>
      <c r="L105" s="332"/>
      <c r="M105" s="385"/>
      <c r="N105" s="432"/>
      <c r="O105" s="144"/>
      <c r="P105" s="338"/>
      <c r="Q105" s="338"/>
      <c r="R105" s="382"/>
      <c r="S105" s="379"/>
      <c r="T105" s="338"/>
      <c r="U105" s="338"/>
      <c r="V105" s="338"/>
      <c r="W105" s="379"/>
      <c r="X105" s="379"/>
      <c r="Y105" s="338"/>
      <c r="Z105" s="338"/>
      <c r="AA105" s="338"/>
      <c r="AB105" s="382"/>
    </row>
    <row r="106" spans="1:28" ht="16.5" customHeight="1" x14ac:dyDescent="0.2">
      <c r="A106" s="391"/>
      <c r="B106" s="141" t="s">
        <v>738</v>
      </c>
      <c r="C106" s="385"/>
      <c r="D106" s="389"/>
      <c r="E106" s="332"/>
      <c r="F106" s="332"/>
      <c r="G106" s="332"/>
      <c r="H106" s="385"/>
      <c r="I106" s="389"/>
      <c r="J106" s="332"/>
      <c r="K106" s="332"/>
      <c r="L106" s="332"/>
      <c r="M106" s="385"/>
      <c r="N106" s="432"/>
      <c r="O106" s="144"/>
      <c r="P106" s="338"/>
      <c r="Q106" s="338"/>
      <c r="R106" s="382"/>
      <c r="S106" s="379"/>
      <c r="T106" s="338"/>
      <c r="U106" s="338"/>
      <c r="V106" s="338"/>
      <c r="W106" s="379"/>
      <c r="X106" s="379"/>
      <c r="Y106" s="338"/>
      <c r="Z106" s="338"/>
      <c r="AA106" s="338"/>
      <c r="AB106" s="382"/>
    </row>
    <row r="107" spans="1:28" ht="18.75" customHeight="1" x14ac:dyDescent="0.2">
      <c r="A107" s="391"/>
      <c r="B107" s="141" t="s">
        <v>739</v>
      </c>
      <c r="C107" s="385"/>
      <c r="D107" s="389"/>
      <c r="E107" s="332"/>
      <c r="F107" s="332"/>
      <c r="G107" s="332"/>
      <c r="H107" s="385"/>
      <c r="I107" s="389"/>
      <c r="J107" s="332"/>
      <c r="K107" s="332"/>
      <c r="L107" s="332"/>
      <c r="M107" s="385"/>
      <c r="N107" s="432"/>
      <c r="O107" s="144"/>
      <c r="P107" s="338"/>
      <c r="Q107" s="338"/>
      <c r="R107" s="382"/>
      <c r="S107" s="379"/>
      <c r="T107" s="338"/>
      <c r="U107" s="338"/>
      <c r="V107" s="338"/>
      <c r="W107" s="379"/>
      <c r="X107" s="379"/>
      <c r="Y107" s="338"/>
      <c r="Z107" s="338"/>
      <c r="AA107" s="338"/>
      <c r="AB107" s="382"/>
    </row>
    <row r="108" spans="1:28" ht="18.75" customHeight="1" x14ac:dyDescent="0.2">
      <c r="A108" s="391"/>
      <c r="B108" s="141" t="s">
        <v>740</v>
      </c>
      <c r="C108" s="385"/>
      <c r="D108" s="389"/>
      <c r="E108" s="332"/>
      <c r="F108" s="332"/>
      <c r="G108" s="332"/>
      <c r="H108" s="385"/>
      <c r="I108" s="389"/>
      <c r="J108" s="332"/>
      <c r="K108" s="332"/>
      <c r="L108" s="332"/>
      <c r="M108" s="385"/>
      <c r="N108" s="432"/>
      <c r="O108" s="144"/>
      <c r="P108" s="338"/>
      <c r="Q108" s="338"/>
      <c r="R108" s="382"/>
      <c r="S108" s="379"/>
      <c r="T108" s="338"/>
      <c r="U108" s="338"/>
      <c r="V108" s="338"/>
      <c r="W108" s="379"/>
      <c r="X108" s="379"/>
      <c r="Y108" s="338"/>
      <c r="Z108" s="338"/>
      <c r="AA108" s="338"/>
      <c r="AB108" s="382"/>
    </row>
    <row r="109" spans="1:28" ht="20.25" customHeight="1" x14ac:dyDescent="0.2">
      <c r="A109" s="391"/>
      <c r="B109" s="141" t="s">
        <v>741</v>
      </c>
      <c r="C109" s="385"/>
      <c r="D109" s="389"/>
      <c r="E109" s="332"/>
      <c r="F109" s="332"/>
      <c r="G109" s="332"/>
      <c r="H109" s="385"/>
      <c r="I109" s="389"/>
      <c r="J109" s="332"/>
      <c r="K109" s="332"/>
      <c r="L109" s="332"/>
      <c r="M109" s="385"/>
      <c r="N109" s="432"/>
      <c r="O109" s="144"/>
      <c r="P109" s="338"/>
      <c r="Q109" s="338"/>
      <c r="R109" s="382"/>
      <c r="S109" s="379"/>
      <c r="T109" s="338"/>
      <c r="U109" s="338"/>
      <c r="V109" s="338"/>
      <c r="W109" s="379"/>
      <c r="X109" s="379"/>
      <c r="Y109" s="338"/>
      <c r="Z109" s="338"/>
      <c r="AA109" s="338"/>
      <c r="AB109" s="382"/>
    </row>
    <row r="110" spans="1:28" ht="18" customHeight="1" x14ac:dyDescent="0.2">
      <c r="A110" s="391"/>
      <c r="B110" s="139" t="s">
        <v>411</v>
      </c>
      <c r="C110" s="385"/>
      <c r="D110" s="389"/>
      <c r="E110" s="332"/>
      <c r="F110" s="332"/>
      <c r="G110" s="332"/>
      <c r="H110" s="385"/>
      <c r="I110" s="389"/>
      <c r="J110" s="332"/>
      <c r="K110" s="332"/>
      <c r="L110" s="332"/>
      <c r="M110" s="385"/>
      <c r="N110" s="389"/>
      <c r="O110" s="144"/>
      <c r="P110" s="338"/>
      <c r="Q110" s="338"/>
      <c r="R110" s="382"/>
      <c r="S110" s="379"/>
      <c r="T110" s="338"/>
      <c r="U110" s="338"/>
      <c r="V110" s="338"/>
      <c r="W110" s="379"/>
      <c r="X110" s="379"/>
      <c r="Y110" s="338"/>
      <c r="Z110" s="338"/>
      <c r="AA110" s="338"/>
      <c r="AB110" s="382"/>
    </row>
    <row r="111" spans="1:28" ht="18" customHeight="1" x14ac:dyDescent="0.2">
      <c r="A111" s="391"/>
      <c r="B111" s="140" t="s">
        <v>742</v>
      </c>
      <c r="C111" s="385"/>
      <c r="D111" s="389"/>
      <c r="E111" s="332"/>
      <c r="F111" s="332"/>
      <c r="G111" s="332"/>
      <c r="H111" s="385"/>
      <c r="I111" s="389"/>
      <c r="J111" s="332"/>
      <c r="K111" s="332"/>
      <c r="L111" s="332"/>
      <c r="M111" s="385"/>
      <c r="N111" s="389"/>
      <c r="O111" s="144"/>
      <c r="P111" s="338"/>
      <c r="Q111" s="338"/>
      <c r="R111" s="382"/>
      <c r="S111" s="379"/>
      <c r="T111" s="338"/>
      <c r="U111" s="338"/>
      <c r="V111" s="338"/>
      <c r="W111" s="379"/>
      <c r="X111" s="379"/>
      <c r="Y111" s="338"/>
      <c r="Z111" s="338"/>
      <c r="AA111" s="338"/>
      <c r="AB111" s="382"/>
    </row>
    <row r="112" spans="1:28" ht="18" customHeight="1" x14ac:dyDescent="0.2">
      <c r="A112" s="391"/>
      <c r="B112" s="140" t="s">
        <v>743</v>
      </c>
      <c r="C112" s="385"/>
      <c r="D112" s="389"/>
      <c r="E112" s="332"/>
      <c r="F112" s="332"/>
      <c r="G112" s="332"/>
      <c r="H112" s="385"/>
      <c r="I112" s="389"/>
      <c r="J112" s="332"/>
      <c r="K112" s="332"/>
      <c r="L112" s="332"/>
      <c r="M112" s="385"/>
      <c r="N112" s="389"/>
      <c r="O112" s="144"/>
      <c r="P112" s="338"/>
      <c r="Q112" s="338"/>
      <c r="R112" s="382"/>
      <c r="S112" s="379"/>
      <c r="T112" s="338"/>
      <c r="U112" s="338"/>
      <c r="V112" s="338"/>
      <c r="W112" s="379"/>
      <c r="X112" s="379"/>
      <c r="Y112" s="338"/>
      <c r="Z112" s="338"/>
      <c r="AA112" s="338"/>
      <c r="AB112" s="382"/>
    </row>
    <row r="113" spans="1:28" ht="18" customHeight="1" x14ac:dyDescent="0.2">
      <c r="A113" s="406"/>
      <c r="B113" s="140" t="s">
        <v>784</v>
      </c>
      <c r="C113" s="386"/>
      <c r="D113" s="390"/>
      <c r="E113" s="332"/>
      <c r="F113" s="332"/>
      <c r="G113" s="332"/>
      <c r="H113" s="386"/>
      <c r="I113" s="390"/>
      <c r="J113" s="332"/>
      <c r="K113" s="332"/>
      <c r="L113" s="332"/>
      <c r="M113" s="386"/>
      <c r="N113" s="390"/>
      <c r="O113" s="144"/>
      <c r="P113" s="338"/>
      <c r="Q113" s="338"/>
      <c r="R113" s="383"/>
      <c r="S113" s="380"/>
      <c r="T113" s="338"/>
      <c r="U113" s="338"/>
      <c r="V113" s="338"/>
      <c r="W113" s="380"/>
      <c r="X113" s="380"/>
      <c r="Y113" s="338"/>
      <c r="Z113" s="338"/>
      <c r="AA113" s="338"/>
      <c r="AB113" s="383"/>
    </row>
    <row r="114" spans="1:28" ht="15" customHeight="1" x14ac:dyDescent="0.2">
      <c r="A114" s="395" t="s">
        <v>456</v>
      </c>
      <c r="B114" s="138" t="s">
        <v>406</v>
      </c>
      <c r="C114" s="384">
        <f>D114+E114+F114+G114</f>
        <v>1020</v>
      </c>
      <c r="D114" s="388">
        <v>1020</v>
      </c>
      <c r="E114" s="332">
        <v>0</v>
      </c>
      <c r="F114" s="332">
        <v>0</v>
      </c>
      <c r="G114" s="332">
        <v>0</v>
      </c>
      <c r="H114" s="384">
        <f>I114</f>
        <v>1570</v>
      </c>
      <c r="I114" s="388">
        <f>1286+283+1</f>
        <v>1570</v>
      </c>
      <c r="J114" s="332">
        <v>0</v>
      </c>
      <c r="K114" s="332">
        <v>0</v>
      </c>
      <c r="L114" s="332">
        <v>0</v>
      </c>
      <c r="M114" s="384">
        <f>N114</f>
        <v>838</v>
      </c>
      <c r="N114" s="388">
        <f>94+838-94</f>
        <v>838</v>
      </c>
      <c r="O114" s="338">
        <v>0</v>
      </c>
      <c r="P114" s="338">
        <v>0</v>
      </c>
      <c r="Q114" s="338">
        <v>0</v>
      </c>
      <c r="R114" s="384">
        <f>S114</f>
        <v>6082</v>
      </c>
      <c r="S114" s="388">
        <f>14338+ 5164-14339+283+1848-289-180-606-137</f>
        <v>6082</v>
      </c>
      <c r="T114" s="332">
        <v>0</v>
      </c>
      <c r="U114" s="332">
        <v>0</v>
      </c>
      <c r="V114" s="332">
        <v>0</v>
      </c>
      <c r="W114" s="384">
        <f>X114</f>
        <v>5117</v>
      </c>
      <c r="X114" s="388">
        <f>632+230+3086+1169</f>
        <v>5117</v>
      </c>
      <c r="Y114" s="332">
        <v>0</v>
      </c>
      <c r="Z114" s="332">
        <v>0</v>
      </c>
      <c r="AA114" s="332">
        <v>0</v>
      </c>
      <c r="AB114" s="384">
        <f>C114+H114+M114+R114+W114</f>
        <v>14627</v>
      </c>
    </row>
    <row r="115" spans="1:28" ht="21" customHeight="1" x14ac:dyDescent="0.2">
      <c r="A115" s="396"/>
      <c r="B115" s="142" t="s">
        <v>401</v>
      </c>
      <c r="C115" s="385"/>
      <c r="D115" s="389"/>
      <c r="E115" s="332"/>
      <c r="F115" s="332"/>
      <c r="G115" s="332"/>
      <c r="H115" s="385"/>
      <c r="I115" s="389"/>
      <c r="J115" s="332"/>
      <c r="K115" s="332"/>
      <c r="L115" s="332"/>
      <c r="M115" s="385"/>
      <c r="N115" s="389"/>
      <c r="O115" s="338"/>
      <c r="P115" s="338"/>
      <c r="Q115" s="338"/>
      <c r="R115" s="385"/>
      <c r="S115" s="389"/>
      <c r="T115" s="332"/>
      <c r="U115" s="332"/>
      <c r="V115" s="332"/>
      <c r="W115" s="385"/>
      <c r="X115" s="389"/>
      <c r="Y115" s="332"/>
      <c r="Z115" s="332"/>
      <c r="AA115" s="332"/>
      <c r="AB115" s="385"/>
    </row>
    <row r="116" spans="1:28" ht="16.5" customHeight="1" x14ac:dyDescent="0.2">
      <c r="A116" s="396"/>
      <c r="B116" s="141" t="s">
        <v>744</v>
      </c>
      <c r="C116" s="385"/>
      <c r="D116" s="389"/>
      <c r="E116" s="332"/>
      <c r="F116" s="332"/>
      <c r="G116" s="332"/>
      <c r="H116" s="385"/>
      <c r="I116" s="389"/>
      <c r="J116" s="332"/>
      <c r="K116" s="332"/>
      <c r="L116" s="332"/>
      <c r="M116" s="385"/>
      <c r="N116" s="389"/>
      <c r="O116" s="338"/>
      <c r="P116" s="338"/>
      <c r="Q116" s="338"/>
      <c r="R116" s="385"/>
      <c r="S116" s="389"/>
      <c r="T116" s="332"/>
      <c r="U116" s="332"/>
      <c r="V116" s="332"/>
      <c r="W116" s="385"/>
      <c r="X116" s="389"/>
      <c r="Y116" s="332"/>
      <c r="Z116" s="332"/>
      <c r="AA116" s="332"/>
      <c r="AB116" s="385"/>
    </row>
    <row r="117" spans="1:28" ht="16.5" customHeight="1" x14ac:dyDescent="0.2">
      <c r="A117" s="396"/>
      <c r="B117" s="140" t="s">
        <v>745</v>
      </c>
      <c r="C117" s="385"/>
      <c r="D117" s="389"/>
      <c r="E117" s="332"/>
      <c r="F117" s="332"/>
      <c r="G117" s="332"/>
      <c r="H117" s="385"/>
      <c r="I117" s="389"/>
      <c r="J117" s="332"/>
      <c r="K117" s="332"/>
      <c r="L117" s="332"/>
      <c r="M117" s="385"/>
      <c r="N117" s="389"/>
      <c r="O117" s="338"/>
      <c r="P117" s="338"/>
      <c r="Q117" s="338"/>
      <c r="R117" s="385"/>
      <c r="S117" s="389"/>
      <c r="T117" s="332"/>
      <c r="U117" s="332"/>
      <c r="V117" s="332"/>
      <c r="W117" s="385"/>
      <c r="X117" s="389"/>
      <c r="Y117" s="332"/>
      <c r="Z117" s="332"/>
      <c r="AA117" s="332"/>
      <c r="AB117" s="385"/>
    </row>
    <row r="118" spans="1:28" ht="18" customHeight="1" x14ac:dyDescent="0.2">
      <c r="A118" s="396"/>
      <c r="B118" s="141" t="s">
        <v>679</v>
      </c>
      <c r="C118" s="385"/>
      <c r="D118" s="389"/>
      <c r="E118" s="328"/>
      <c r="F118" s="328"/>
      <c r="G118" s="328"/>
      <c r="H118" s="385"/>
      <c r="I118" s="389"/>
      <c r="J118" s="328"/>
      <c r="K118" s="328"/>
      <c r="L118" s="328"/>
      <c r="M118" s="385"/>
      <c r="N118" s="389"/>
      <c r="O118" s="327"/>
      <c r="P118" s="327"/>
      <c r="Q118" s="327"/>
      <c r="R118" s="385"/>
      <c r="S118" s="389"/>
      <c r="T118" s="328"/>
      <c r="U118" s="328"/>
      <c r="V118" s="328"/>
      <c r="W118" s="385"/>
      <c r="X118" s="389"/>
      <c r="Y118" s="328"/>
      <c r="Z118" s="328"/>
      <c r="AA118" s="328"/>
      <c r="AB118" s="385"/>
    </row>
    <row r="119" spans="1:28" ht="18" customHeight="1" x14ac:dyDescent="0.2">
      <c r="A119" s="396"/>
      <c r="B119" s="142" t="s">
        <v>322</v>
      </c>
      <c r="C119" s="385"/>
      <c r="D119" s="389"/>
      <c r="E119" s="332"/>
      <c r="F119" s="332"/>
      <c r="G119" s="332"/>
      <c r="H119" s="385"/>
      <c r="I119" s="389"/>
      <c r="J119" s="332"/>
      <c r="K119" s="332"/>
      <c r="L119" s="332"/>
      <c r="M119" s="385"/>
      <c r="N119" s="389"/>
      <c r="O119" s="338"/>
      <c r="P119" s="338"/>
      <c r="Q119" s="338"/>
      <c r="R119" s="385"/>
      <c r="S119" s="389"/>
      <c r="T119" s="332"/>
      <c r="U119" s="332"/>
      <c r="V119" s="332"/>
      <c r="W119" s="385"/>
      <c r="X119" s="389"/>
      <c r="Y119" s="332"/>
      <c r="Z119" s="332"/>
      <c r="AA119" s="332"/>
      <c r="AB119" s="385"/>
    </row>
    <row r="120" spans="1:28" ht="18" customHeight="1" x14ac:dyDescent="0.2">
      <c r="A120" s="396"/>
      <c r="B120" s="141" t="s">
        <v>745</v>
      </c>
      <c r="C120" s="385"/>
      <c r="D120" s="389"/>
      <c r="E120" s="332"/>
      <c r="F120" s="332"/>
      <c r="G120" s="332"/>
      <c r="H120" s="385"/>
      <c r="I120" s="389"/>
      <c r="J120" s="332"/>
      <c r="K120" s="332"/>
      <c r="L120" s="332"/>
      <c r="M120" s="385"/>
      <c r="N120" s="389"/>
      <c r="O120" s="338"/>
      <c r="P120" s="338"/>
      <c r="Q120" s="338"/>
      <c r="R120" s="385"/>
      <c r="S120" s="389"/>
      <c r="T120" s="332"/>
      <c r="U120" s="332"/>
      <c r="V120" s="332"/>
      <c r="W120" s="385"/>
      <c r="X120" s="389"/>
      <c r="Y120" s="332"/>
      <c r="Z120" s="332"/>
      <c r="AA120" s="332"/>
      <c r="AB120" s="385"/>
    </row>
    <row r="121" spans="1:28" ht="18" customHeight="1" x14ac:dyDescent="0.2">
      <c r="A121" s="396"/>
      <c r="B121" s="141" t="s">
        <v>679</v>
      </c>
      <c r="C121" s="385"/>
      <c r="D121" s="389"/>
      <c r="E121" s="332"/>
      <c r="F121" s="332"/>
      <c r="G121" s="332"/>
      <c r="H121" s="385"/>
      <c r="I121" s="389"/>
      <c r="J121" s="332"/>
      <c r="K121" s="332"/>
      <c r="L121" s="332"/>
      <c r="M121" s="385"/>
      <c r="N121" s="389"/>
      <c r="O121" s="338"/>
      <c r="P121" s="338"/>
      <c r="Q121" s="338"/>
      <c r="R121" s="385"/>
      <c r="S121" s="389"/>
      <c r="T121" s="332"/>
      <c r="U121" s="332"/>
      <c r="V121" s="332"/>
      <c r="W121" s="385"/>
      <c r="X121" s="389"/>
      <c r="Y121" s="332"/>
      <c r="Z121" s="332"/>
      <c r="AA121" s="332"/>
      <c r="AB121" s="385"/>
    </row>
    <row r="122" spans="1:28" ht="18" customHeight="1" x14ac:dyDescent="0.2">
      <c r="A122" s="396"/>
      <c r="B122" s="142" t="s">
        <v>373</v>
      </c>
      <c r="C122" s="385"/>
      <c r="D122" s="389"/>
      <c r="E122" s="332"/>
      <c r="F122" s="332"/>
      <c r="G122" s="332"/>
      <c r="H122" s="385"/>
      <c r="I122" s="389"/>
      <c r="J122" s="332"/>
      <c r="K122" s="332"/>
      <c r="L122" s="332"/>
      <c r="M122" s="385"/>
      <c r="N122" s="389"/>
      <c r="O122" s="338"/>
      <c r="P122" s="338"/>
      <c r="Q122" s="338"/>
      <c r="R122" s="385"/>
      <c r="S122" s="389"/>
      <c r="T122" s="332"/>
      <c r="U122" s="332"/>
      <c r="V122" s="332"/>
      <c r="W122" s="385"/>
      <c r="X122" s="389"/>
      <c r="Y122" s="332"/>
      <c r="Z122" s="332"/>
      <c r="AA122" s="332"/>
      <c r="AB122" s="385"/>
    </row>
    <row r="123" spans="1:28" ht="18" customHeight="1" x14ac:dyDescent="0.2">
      <c r="A123" s="397"/>
      <c r="B123" s="146" t="s">
        <v>745</v>
      </c>
      <c r="C123" s="433"/>
      <c r="D123" s="389"/>
      <c r="E123" s="332"/>
      <c r="F123" s="332"/>
      <c r="G123" s="332"/>
      <c r="H123" s="385"/>
      <c r="I123" s="389"/>
      <c r="J123" s="332"/>
      <c r="K123" s="332"/>
      <c r="L123" s="332"/>
      <c r="M123" s="385"/>
      <c r="N123" s="389"/>
      <c r="O123" s="338"/>
      <c r="P123" s="338"/>
      <c r="Q123" s="338"/>
      <c r="R123" s="385"/>
      <c r="S123" s="389"/>
      <c r="T123" s="332"/>
      <c r="U123" s="332"/>
      <c r="V123" s="332"/>
      <c r="W123" s="385"/>
      <c r="X123" s="389"/>
      <c r="Y123" s="332"/>
      <c r="Z123" s="332"/>
      <c r="AA123" s="332"/>
      <c r="AB123" s="385"/>
    </row>
    <row r="124" spans="1:28" ht="18" customHeight="1" x14ac:dyDescent="0.2">
      <c r="A124" s="397"/>
      <c r="B124" s="140" t="s">
        <v>746</v>
      </c>
      <c r="C124" s="433"/>
      <c r="D124" s="389"/>
      <c r="E124" s="332"/>
      <c r="F124" s="332"/>
      <c r="G124" s="332"/>
      <c r="H124" s="385"/>
      <c r="I124" s="389"/>
      <c r="J124" s="332"/>
      <c r="K124" s="332"/>
      <c r="L124" s="332"/>
      <c r="M124" s="385"/>
      <c r="N124" s="389"/>
      <c r="O124" s="338"/>
      <c r="P124" s="338"/>
      <c r="Q124" s="338"/>
      <c r="R124" s="385"/>
      <c r="S124" s="389"/>
      <c r="T124" s="332"/>
      <c r="U124" s="332"/>
      <c r="V124" s="332"/>
      <c r="W124" s="385"/>
      <c r="X124" s="389"/>
      <c r="Y124" s="332"/>
      <c r="Z124" s="332"/>
      <c r="AA124" s="332"/>
      <c r="AB124" s="385"/>
    </row>
    <row r="125" spans="1:28" ht="18" customHeight="1" x14ac:dyDescent="0.2">
      <c r="A125" s="397"/>
      <c r="B125" s="140" t="s">
        <v>747</v>
      </c>
      <c r="C125" s="385"/>
      <c r="D125" s="389"/>
      <c r="E125" s="332"/>
      <c r="F125" s="332"/>
      <c r="G125" s="332"/>
      <c r="H125" s="385"/>
      <c r="I125" s="389"/>
      <c r="J125" s="332"/>
      <c r="K125" s="332"/>
      <c r="L125" s="332"/>
      <c r="M125" s="385"/>
      <c r="N125" s="389"/>
      <c r="O125" s="338"/>
      <c r="P125" s="338"/>
      <c r="Q125" s="338"/>
      <c r="R125" s="385"/>
      <c r="S125" s="389"/>
      <c r="T125" s="332"/>
      <c r="U125" s="332"/>
      <c r="V125" s="332"/>
      <c r="W125" s="385"/>
      <c r="X125" s="389"/>
      <c r="Y125" s="332"/>
      <c r="Z125" s="332"/>
      <c r="AA125" s="332"/>
      <c r="AB125" s="385"/>
    </row>
    <row r="126" spans="1:28" ht="18" customHeight="1" x14ac:dyDescent="0.2">
      <c r="A126" s="396"/>
      <c r="B126" s="142" t="s">
        <v>411</v>
      </c>
      <c r="C126" s="385"/>
      <c r="D126" s="389"/>
      <c r="E126" s="332"/>
      <c r="F126" s="332"/>
      <c r="G126" s="332"/>
      <c r="H126" s="385"/>
      <c r="I126" s="389"/>
      <c r="J126" s="332"/>
      <c r="K126" s="332"/>
      <c r="L126" s="332"/>
      <c r="M126" s="385"/>
      <c r="N126" s="389"/>
      <c r="O126" s="338"/>
      <c r="P126" s="338"/>
      <c r="Q126" s="338"/>
      <c r="R126" s="385"/>
      <c r="S126" s="389"/>
      <c r="T126" s="332"/>
      <c r="U126" s="332"/>
      <c r="V126" s="332"/>
      <c r="W126" s="385"/>
      <c r="X126" s="389"/>
      <c r="Y126" s="332"/>
      <c r="Z126" s="332"/>
      <c r="AA126" s="332"/>
      <c r="AB126" s="385"/>
    </row>
    <row r="127" spans="1:28" ht="18" customHeight="1" x14ac:dyDescent="0.2">
      <c r="A127" s="396"/>
      <c r="B127" s="141" t="s">
        <v>1360</v>
      </c>
      <c r="C127" s="385"/>
      <c r="D127" s="389"/>
      <c r="E127" s="332"/>
      <c r="F127" s="332"/>
      <c r="G127" s="332"/>
      <c r="H127" s="385"/>
      <c r="I127" s="389"/>
      <c r="J127" s="332"/>
      <c r="K127" s="332"/>
      <c r="L127" s="332"/>
      <c r="M127" s="385"/>
      <c r="N127" s="389"/>
      <c r="O127" s="338"/>
      <c r="P127" s="338"/>
      <c r="Q127" s="338"/>
      <c r="R127" s="385"/>
      <c r="S127" s="389"/>
      <c r="T127" s="332"/>
      <c r="U127" s="332"/>
      <c r="V127" s="332"/>
      <c r="W127" s="385"/>
      <c r="X127" s="389"/>
      <c r="Y127" s="332"/>
      <c r="Z127" s="332"/>
      <c r="AA127" s="332"/>
      <c r="AB127" s="385"/>
    </row>
    <row r="128" spans="1:28" ht="18" customHeight="1" x14ac:dyDescent="0.2">
      <c r="A128" s="396"/>
      <c r="B128" s="141" t="s">
        <v>748</v>
      </c>
      <c r="C128" s="385"/>
      <c r="D128" s="389"/>
      <c r="E128" s="332"/>
      <c r="F128" s="332"/>
      <c r="G128" s="332"/>
      <c r="H128" s="385"/>
      <c r="I128" s="389"/>
      <c r="J128" s="332"/>
      <c r="K128" s="332"/>
      <c r="L128" s="332"/>
      <c r="M128" s="385"/>
      <c r="N128" s="389"/>
      <c r="O128" s="338"/>
      <c r="P128" s="338"/>
      <c r="Q128" s="338"/>
      <c r="R128" s="385"/>
      <c r="S128" s="389"/>
      <c r="T128" s="332"/>
      <c r="U128" s="332"/>
      <c r="V128" s="332"/>
      <c r="W128" s="385"/>
      <c r="X128" s="389"/>
      <c r="Y128" s="332"/>
      <c r="Z128" s="332"/>
      <c r="AA128" s="332"/>
      <c r="AB128" s="385"/>
    </row>
    <row r="129" spans="1:28" ht="18" customHeight="1" x14ac:dyDescent="0.2">
      <c r="A129" s="396"/>
      <c r="B129" s="141" t="s">
        <v>606</v>
      </c>
      <c r="C129" s="385"/>
      <c r="D129" s="389"/>
      <c r="E129" s="332"/>
      <c r="F129" s="332"/>
      <c r="G129" s="332"/>
      <c r="H129" s="385"/>
      <c r="I129" s="389"/>
      <c r="J129" s="332"/>
      <c r="K129" s="332"/>
      <c r="L129" s="332"/>
      <c r="M129" s="385"/>
      <c r="N129" s="389"/>
      <c r="O129" s="338"/>
      <c r="P129" s="338"/>
      <c r="Q129" s="338"/>
      <c r="R129" s="385"/>
      <c r="S129" s="389"/>
      <c r="T129" s="332"/>
      <c r="U129" s="332"/>
      <c r="V129" s="332"/>
      <c r="W129" s="385"/>
      <c r="X129" s="389"/>
      <c r="Y129" s="332"/>
      <c r="Z129" s="332"/>
      <c r="AA129" s="332"/>
      <c r="AB129" s="385"/>
    </row>
    <row r="130" spans="1:28" ht="15" customHeight="1" x14ac:dyDescent="0.2">
      <c r="A130" s="395" t="s">
        <v>457</v>
      </c>
      <c r="B130" s="138" t="s">
        <v>152</v>
      </c>
      <c r="C130" s="384">
        <f>D130+E130+F130+G130</f>
        <v>8411</v>
      </c>
      <c r="D130" s="388">
        <v>8411</v>
      </c>
      <c r="E130" s="332">
        <v>0</v>
      </c>
      <c r="F130" s="332">
        <v>0</v>
      </c>
      <c r="G130" s="332">
        <v>0</v>
      </c>
      <c r="H130" s="384">
        <f>I130+J130+K130+L130</f>
        <v>3081</v>
      </c>
      <c r="I130" s="388">
        <f>7310-5219+841+153-4</f>
        <v>3081</v>
      </c>
      <c r="J130" s="332">
        <v>0</v>
      </c>
      <c r="K130" s="332">
        <v>0</v>
      </c>
      <c r="L130" s="332">
        <v>0</v>
      </c>
      <c r="M130" s="384">
        <f>N130</f>
        <v>4934</v>
      </c>
      <c r="N130" s="388">
        <f>8219-6307+105+772-157-71+3259-1234+348</f>
        <v>4934</v>
      </c>
      <c r="O130" s="338">
        <v>0</v>
      </c>
      <c r="P130" s="338">
        <v>0</v>
      </c>
      <c r="Q130" s="338">
        <v>0</v>
      </c>
      <c r="R130" s="384">
        <f>S130</f>
        <v>10726</v>
      </c>
      <c r="S130" s="388">
        <f>4085+4159+70+1617+1168-373</f>
        <v>10726</v>
      </c>
      <c r="T130" s="332">
        <v>0</v>
      </c>
      <c r="U130" s="332">
        <v>0</v>
      </c>
      <c r="V130" s="332">
        <v>0</v>
      </c>
      <c r="W130" s="388">
        <f>X130</f>
        <v>24305</v>
      </c>
      <c r="X130" s="388">
        <f>9782+15692-1169</f>
        <v>24305</v>
      </c>
      <c r="Y130" s="332">
        <v>0</v>
      </c>
      <c r="Z130" s="332">
        <v>0</v>
      </c>
      <c r="AA130" s="332">
        <v>0</v>
      </c>
      <c r="AB130" s="384">
        <f>C130+H130+M130+R130+W130</f>
        <v>51457</v>
      </c>
    </row>
    <row r="131" spans="1:28" ht="15" customHeight="1" x14ac:dyDescent="0.2">
      <c r="A131" s="396"/>
      <c r="B131" s="147" t="s">
        <v>146</v>
      </c>
      <c r="C131" s="385"/>
      <c r="D131" s="389"/>
      <c r="E131" s="332"/>
      <c r="F131" s="332"/>
      <c r="G131" s="332"/>
      <c r="H131" s="385"/>
      <c r="I131" s="389"/>
      <c r="J131" s="332"/>
      <c r="K131" s="332"/>
      <c r="L131" s="332"/>
      <c r="M131" s="385"/>
      <c r="N131" s="389"/>
      <c r="O131" s="338"/>
      <c r="P131" s="338"/>
      <c r="Q131" s="338"/>
      <c r="R131" s="385"/>
      <c r="S131" s="389"/>
      <c r="T131" s="332"/>
      <c r="U131" s="332"/>
      <c r="V131" s="332"/>
      <c r="W131" s="389"/>
      <c r="X131" s="389"/>
      <c r="Y131" s="332"/>
      <c r="Z131" s="332"/>
      <c r="AA131" s="332"/>
      <c r="AB131" s="385"/>
    </row>
    <row r="132" spans="1:28" ht="15" customHeight="1" x14ac:dyDescent="0.2">
      <c r="A132" s="396"/>
      <c r="B132" s="146" t="s">
        <v>749</v>
      </c>
      <c r="C132" s="385"/>
      <c r="D132" s="389"/>
      <c r="E132" s="332"/>
      <c r="F132" s="332"/>
      <c r="G132" s="332"/>
      <c r="H132" s="385"/>
      <c r="I132" s="389"/>
      <c r="J132" s="332"/>
      <c r="K132" s="332"/>
      <c r="L132" s="332"/>
      <c r="M132" s="385"/>
      <c r="N132" s="389"/>
      <c r="O132" s="338"/>
      <c r="P132" s="338"/>
      <c r="Q132" s="338"/>
      <c r="R132" s="385"/>
      <c r="S132" s="389"/>
      <c r="T132" s="332"/>
      <c r="U132" s="332"/>
      <c r="V132" s="332"/>
      <c r="W132" s="389"/>
      <c r="X132" s="389"/>
      <c r="Y132" s="332"/>
      <c r="Z132" s="332"/>
      <c r="AA132" s="332"/>
      <c r="AB132" s="385"/>
    </row>
    <row r="133" spans="1:28" ht="15" customHeight="1" x14ac:dyDescent="0.2">
      <c r="A133" s="396"/>
      <c r="B133" s="146" t="s">
        <v>159</v>
      </c>
      <c r="C133" s="385"/>
      <c r="D133" s="389"/>
      <c r="E133" s="332"/>
      <c r="F133" s="332"/>
      <c r="G133" s="332"/>
      <c r="H133" s="385"/>
      <c r="I133" s="389"/>
      <c r="J133" s="332"/>
      <c r="K133" s="332"/>
      <c r="L133" s="332"/>
      <c r="M133" s="385"/>
      <c r="N133" s="389"/>
      <c r="O133" s="338"/>
      <c r="P133" s="338"/>
      <c r="Q133" s="338"/>
      <c r="R133" s="385"/>
      <c r="S133" s="389"/>
      <c r="T133" s="332"/>
      <c r="U133" s="332"/>
      <c r="V133" s="332"/>
      <c r="W133" s="389"/>
      <c r="X133" s="389"/>
      <c r="Y133" s="332"/>
      <c r="Z133" s="332"/>
      <c r="AA133" s="332"/>
      <c r="AB133" s="385"/>
    </row>
    <row r="134" spans="1:28" ht="15" customHeight="1" x14ac:dyDescent="0.2">
      <c r="A134" s="396"/>
      <c r="B134" s="146" t="s">
        <v>750</v>
      </c>
      <c r="C134" s="385"/>
      <c r="D134" s="389"/>
      <c r="E134" s="332"/>
      <c r="F134" s="332"/>
      <c r="G134" s="332"/>
      <c r="H134" s="385"/>
      <c r="I134" s="389"/>
      <c r="J134" s="332"/>
      <c r="K134" s="332"/>
      <c r="L134" s="332"/>
      <c r="M134" s="385"/>
      <c r="N134" s="389"/>
      <c r="O134" s="338"/>
      <c r="P134" s="338"/>
      <c r="Q134" s="338"/>
      <c r="R134" s="385"/>
      <c r="S134" s="389"/>
      <c r="T134" s="332"/>
      <c r="U134" s="332"/>
      <c r="V134" s="332"/>
      <c r="W134" s="389"/>
      <c r="X134" s="389"/>
      <c r="Y134" s="332"/>
      <c r="Z134" s="332"/>
      <c r="AA134" s="332"/>
      <c r="AB134" s="385"/>
    </row>
    <row r="135" spans="1:28" ht="15" customHeight="1" x14ac:dyDescent="0.2">
      <c r="A135" s="396"/>
      <c r="B135" s="146" t="s">
        <v>751</v>
      </c>
      <c r="C135" s="385"/>
      <c r="D135" s="389"/>
      <c r="E135" s="332"/>
      <c r="F135" s="332"/>
      <c r="G135" s="332"/>
      <c r="H135" s="385"/>
      <c r="I135" s="389"/>
      <c r="J135" s="332"/>
      <c r="K135" s="332"/>
      <c r="L135" s="332"/>
      <c r="M135" s="385"/>
      <c r="N135" s="389"/>
      <c r="O135" s="338"/>
      <c r="P135" s="338"/>
      <c r="Q135" s="338"/>
      <c r="R135" s="385"/>
      <c r="S135" s="389"/>
      <c r="T135" s="332"/>
      <c r="U135" s="332"/>
      <c r="V135" s="332"/>
      <c r="W135" s="389"/>
      <c r="X135" s="389"/>
      <c r="Y135" s="332"/>
      <c r="Z135" s="332"/>
      <c r="AA135" s="332"/>
      <c r="AB135" s="385"/>
    </row>
    <row r="136" spans="1:28" ht="15" customHeight="1" x14ac:dyDescent="0.2">
      <c r="A136" s="396"/>
      <c r="B136" s="146" t="s">
        <v>161</v>
      </c>
      <c r="C136" s="385"/>
      <c r="D136" s="389"/>
      <c r="E136" s="332"/>
      <c r="F136" s="332"/>
      <c r="G136" s="332"/>
      <c r="H136" s="385"/>
      <c r="I136" s="389"/>
      <c r="J136" s="332"/>
      <c r="K136" s="332"/>
      <c r="L136" s="332"/>
      <c r="M136" s="385"/>
      <c r="N136" s="389"/>
      <c r="O136" s="338"/>
      <c r="P136" s="338"/>
      <c r="Q136" s="338"/>
      <c r="R136" s="385"/>
      <c r="S136" s="389"/>
      <c r="T136" s="332"/>
      <c r="U136" s="332"/>
      <c r="V136" s="332"/>
      <c r="W136" s="389"/>
      <c r="X136" s="389"/>
      <c r="Y136" s="332"/>
      <c r="Z136" s="332"/>
      <c r="AA136" s="332"/>
      <c r="AB136" s="385"/>
    </row>
    <row r="137" spans="1:28" ht="15" customHeight="1" x14ac:dyDescent="0.2">
      <c r="A137" s="396"/>
      <c r="B137" s="146" t="s">
        <v>160</v>
      </c>
      <c r="C137" s="385"/>
      <c r="D137" s="389"/>
      <c r="E137" s="332"/>
      <c r="F137" s="332"/>
      <c r="G137" s="332"/>
      <c r="H137" s="385"/>
      <c r="I137" s="389"/>
      <c r="J137" s="332"/>
      <c r="K137" s="332"/>
      <c r="L137" s="332"/>
      <c r="M137" s="385"/>
      <c r="N137" s="389"/>
      <c r="O137" s="338"/>
      <c r="P137" s="338"/>
      <c r="Q137" s="338"/>
      <c r="R137" s="385"/>
      <c r="S137" s="389"/>
      <c r="T137" s="332"/>
      <c r="U137" s="332"/>
      <c r="V137" s="332"/>
      <c r="W137" s="389"/>
      <c r="X137" s="389"/>
      <c r="Y137" s="332"/>
      <c r="Z137" s="332"/>
      <c r="AA137" s="332"/>
      <c r="AB137" s="385"/>
    </row>
    <row r="138" spans="1:28" ht="15" customHeight="1" x14ac:dyDescent="0.2">
      <c r="A138" s="396"/>
      <c r="B138" s="146" t="s">
        <v>162</v>
      </c>
      <c r="C138" s="385"/>
      <c r="D138" s="389"/>
      <c r="E138" s="332"/>
      <c r="F138" s="332"/>
      <c r="G138" s="332"/>
      <c r="H138" s="385"/>
      <c r="I138" s="389"/>
      <c r="J138" s="332"/>
      <c r="K138" s="332"/>
      <c r="L138" s="332"/>
      <c r="M138" s="385"/>
      <c r="N138" s="389"/>
      <c r="O138" s="338"/>
      <c r="P138" s="338"/>
      <c r="Q138" s="338"/>
      <c r="R138" s="385"/>
      <c r="S138" s="389"/>
      <c r="T138" s="324"/>
      <c r="U138" s="324"/>
      <c r="V138" s="324"/>
      <c r="W138" s="389"/>
      <c r="X138" s="389"/>
      <c r="Y138" s="324"/>
      <c r="Z138" s="324"/>
      <c r="AA138" s="324"/>
      <c r="AB138" s="385"/>
    </row>
    <row r="139" spans="1:28" ht="15" customHeight="1" x14ac:dyDescent="0.2">
      <c r="A139" s="391"/>
      <c r="B139" s="146" t="s">
        <v>153</v>
      </c>
      <c r="C139" s="385"/>
      <c r="D139" s="389"/>
      <c r="E139" s="332"/>
      <c r="F139" s="332"/>
      <c r="G139" s="332"/>
      <c r="H139" s="385"/>
      <c r="I139" s="389"/>
      <c r="J139" s="332"/>
      <c r="K139" s="332"/>
      <c r="L139" s="332"/>
      <c r="M139" s="385"/>
      <c r="N139" s="389"/>
      <c r="O139" s="338"/>
      <c r="P139" s="338"/>
      <c r="Q139" s="338"/>
      <c r="R139" s="382"/>
      <c r="S139" s="379"/>
      <c r="T139" s="339"/>
      <c r="U139" s="339"/>
      <c r="V139" s="339"/>
      <c r="W139" s="379"/>
      <c r="X139" s="379"/>
      <c r="Y139" s="322"/>
      <c r="Z139" s="322"/>
      <c r="AA139" s="322"/>
      <c r="AB139" s="382"/>
    </row>
    <row r="140" spans="1:28" ht="15" customHeight="1" x14ac:dyDescent="0.2">
      <c r="A140" s="391"/>
      <c r="B140" s="146" t="s">
        <v>752</v>
      </c>
      <c r="C140" s="385"/>
      <c r="D140" s="389"/>
      <c r="E140" s="332"/>
      <c r="F140" s="332"/>
      <c r="G140" s="332"/>
      <c r="H140" s="385"/>
      <c r="I140" s="389"/>
      <c r="J140" s="332"/>
      <c r="K140" s="332"/>
      <c r="L140" s="332"/>
      <c r="M140" s="385"/>
      <c r="N140" s="389"/>
      <c r="O140" s="338"/>
      <c r="P140" s="338"/>
      <c r="Q140" s="338"/>
      <c r="R140" s="382"/>
      <c r="S140" s="379"/>
      <c r="T140" s="322"/>
      <c r="U140" s="322"/>
      <c r="V140" s="322"/>
      <c r="W140" s="379"/>
      <c r="X140" s="379"/>
      <c r="Y140" s="322"/>
      <c r="Z140" s="322"/>
      <c r="AA140" s="322"/>
      <c r="AB140" s="382"/>
    </row>
    <row r="141" spans="1:28" ht="15" customHeight="1" x14ac:dyDescent="0.2">
      <c r="A141" s="391"/>
      <c r="B141" s="146" t="s">
        <v>753</v>
      </c>
      <c r="C141" s="385"/>
      <c r="D141" s="389"/>
      <c r="E141" s="332"/>
      <c r="F141" s="332"/>
      <c r="G141" s="332"/>
      <c r="H141" s="385"/>
      <c r="I141" s="389"/>
      <c r="J141" s="332"/>
      <c r="K141" s="332"/>
      <c r="L141" s="332"/>
      <c r="M141" s="385"/>
      <c r="N141" s="389"/>
      <c r="O141" s="338"/>
      <c r="P141" s="338"/>
      <c r="Q141" s="338"/>
      <c r="R141" s="382"/>
      <c r="S141" s="379"/>
      <c r="T141" s="322"/>
      <c r="U141" s="322"/>
      <c r="V141" s="322"/>
      <c r="W141" s="379"/>
      <c r="X141" s="379"/>
      <c r="Y141" s="322"/>
      <c r="Z141" s="322"/>
      <c r="AA141" s="322"/>
      <c r="AB141" s="382"/>
    </row>
    <row r="142" spans="1:28" ht="15" customHeight="1" x14ac:dyDescent="0.2">
      <c r="A142" s="391"/>
      <c r="B142" s="146" t="s">
        <v>754</v>
      </c>
      <c r="C142" s="385"/>
      <c r="D142" s="389"/>
      <c r="E142" s="332"/>
      <c r="F142" s="332"/>
      <c r="G142" s="332"/>
      <c r="H142" s="385"/>
      <c r="I142" s="389"/>
      <c r="J142" s="332"/>
      <c r="K142" s="332"/>
      <c r="L142" s="332"/>
      <c r="M142" s="385"/>
      <c r="N142" s="389"/>
      <c r="O142" s="338"/>
      <c r="P142" s="338"/>
      <c r="Q142" s="338"/>
      <c r="R142" s="382"/>
      <c r="S142" s="379"/>
      <c r="T142" s="322"/>
      <c r="U142" s="322"/>
      <c r="V142" s="322"/>
      <c r="W142" s="379"/>
      <c r="X142" s="379"/>
      <c r="Y142" s="322"/>
      <c r="Z142" s="322"/>
      <c r="AA142" s="322"/>
      <c r="AB142" s="382"/>
    </row>
    <row r="143" spans="1:28" ht="31.5" x14ac:dyDescent="0.2">
      <c r="A143" s="391"/>
      <c r="B143" s="146" t="s">
        <v>755</v>
      </c>
      <c r="C143" s="385"/>
      <c r="D143" s="389"/>
      <c r="E143" s="332"/>
      <c r="F143" s="332"/>
      <c r="G143" s="332"/>
      <c r="H143" s="385"/>
      <c r="I143" s="389"/>
      <c r="J143" s="332"/>
      <c r="K143" s="332"/>
      <c r="L143" s="332"/>
      <c r="M143" s="385"/>
      <c r="N143" s="389"/>
      <c r="O143" s="338"/>
      <c r="P143" s="338"/>
      <c r="Q143" s="338"/>
      <c r="R143" s="382"/>
      <c r="S143" s="379"/>
      <c r="T143" s="322"/>
      <c r="U143" s="322"/>
      <c r="V143" s="322"/>
      <c r="W143" s="379"/>
      <c r="X143" s="379"/>
      <c r="Y143" s="322"/>
      <c r="Z143" s="322"/>
      <c r="AA143" s="322"/>
      <c r="AB143" s="382"/>
    </row>
    <row r="144" spans="1:28" ht="15" customHeight="1" x14ac:dyDescent="0.2">
      <c r="A144" s="391"/>
      <c r="B144" s="147" t="s">
        <v>147</v>
      </c>
      <c r="C144" s="385"/>
      <c r="D144" s="389"/>
      <c r="E144" s="332"/>
      <c r="F144" s="332"/>
      <c r="G144" s="332"/>
      <c r="H144" s="385"/>
      <c r="I144" s="389"/>
      <c r="J144" s="332"/>
      <c r="K144" s="332"/>
      <c r="L144" s="332"/>
      <c r="M144" s="385"/>
      <c r="N144" s="389"/>
      <c r="O144" s="338"/>
      <c r="P144" s="338"/>
      <c r="Q144" s="338"/>
      <c r="R144" s="382"/>
      <c r="S144" s="379"/>
      <c r="T144" s="322"/>
      <c r="U144" s="322"/>
      <c r="V144" s="322"/>
      <c r="W144" s="379"/>
      <c r="X144" s="379"/>
      <c r="Y144" s="322"/>
      <c r="Z144" s="322"/>
      <c r="AA144" s="322"/>
      <c r="AB144" s="382"/>
    </row>
    <row r="145" spans="1:28" ht="15" customHeight="1" x14ac:dyDescent="0.2">
      <c r="A145" s="391"/>
      <c r="B145" s="146" t="s">
        <v>756</v>
      </c>
      <c r="C145" s="385"/>
      <c r="D145" s="389"/>
      <c r="E145" s="332"/>
      <c r="F145" s="332"/>
      <c r="G145" s="332"/>
      <c r="H145" s="385"/>
      <c r="I145" s="389"/>
      <c r="J145" s="332"/>
      <c r="K145" s="332"/>
      <c r="L145" s="332"/>
      <c r="M145" s="385"/>
      <c r="N145" s="389"/>
      <c r="O145" s="338"/>
      <c r="P145" s="338"/>
      <c r="Q145" s="338"/>
      <c r="R145" s="382"/>
      <c r="S145" s="379"/>
      <c r="T145" s="322"/>
      <c r="U145" s="322"/>
      <c r="V145" s="322"/>
      <c r="W145" s="379"/>
      <c r="X145" s="379"/>
      <c r="Y145" s="322"/>
      <c r="Z145" s="322"/>
      <c r="AA145" s="322"/>
      <c r="AB145" s="382"/>
    </row>
    <row r="146" spans="1:28" ht="15" customHeight="1" x14ac:dyDescent="0.2">
      <c r="A146" s="391"/>
      <c r="B146" s="146" t="s">
        <v>757</v>
      </c>
      <c r="C146" s="385"/>
      <c r="D146" s="389"/>
      <c r="E146" s="332"/>
      <c r="F146" s="332"/>
      <c r="G146" s="332"/>
      <c r="H146" s="385"/>
      <c r="I146" s="389"/>
      <c r="J146" s="332"/>
      <c r="K146" s="332"/>
      <c r="L146" s="332"/>
      <c r="M146" s="385"/>
      <c r="N146" s="389"/>
      <c r="O146" s="338"/>
      <c r="P146" s="338"/>
      <c r="Q146" s="338"/>
      <c r="R146" s="382"/>
      <c r="S146" s="379"/>
      <c r="T146" s="322"/>
      <c r="U146" s="322"/>
      <c r="V146" s="322"/>
      <c r="W146" s="379"/>
      <c r="X146" s="379"/>
      <c r="Y146" s="322"/>
      <c r="Z146" s="322"/>
      <c r="AA146" s="322"/>
      <c r="AB146" s="382"/>
    </row>
    <row r="147" spans="1:28" ht="18" customHeight="1" x14ac:dyDescent="0.2">
      <c r="A147" s="391"/>
      <c r="B147" s="147" t="s">
        <v>322</v>
      </c>
      <c r="C147" s="385"/>
      <c r="D147" s="389"/>
      <c r="E147" s="332"/>
      <c r="F147" s="332"/>
      <c r="G147" s="332"/>
      <c r="H147" s="385"/>
      <c r="I147" s="389"/>
      <c r="J147" s="332"/>
      <c r="K147" s="332"/>
      <c r="L147" s="332"/>
      <c r="M147" s="385"/>
      <c r="N147" s="389"/>
      <c r="O147" s="338"/>
      <c r="P147" s="338"/>
      <c r="Q147" s="338"/>
      <c r="R147" s="382"/>
      <c r="S147" s="379"/>
      <c r="T147" s="322"/>
      <c r="U147" s="322"/>
      <c r="V147" s="322"/>
      <c r="W147" s="379"/>
      <c r="X147" s="379"/>
      <c r="Y147" s="322"/>
      <c r="Z147" s="322"/>
      <c r="AA147" s="322"/>
      <c r="AB147" s="382"/>
    </row>
    <row r="148" spans="1:28" ht="18" customHeight="1" x14ac:dyDescent="0.2">
      <c r="A148" s="391"/>
      <c r="B148" s="146" t="s">
        <v>744</v>
      </c>
      <c r="C148" s="385"/>
      <c r="D148" s="389"/>
      <c r="E148" s="332"/>
      <c r="F148" s="332"/>
      <c r="G148" s="332"/>
      <c r="H148" s="385"/>
      <c r="I148" s="389"/>
      <c r="J148" s="332"/>
      <c r="K148" s="332"/>
      <c r="L148" s="332"/>
      <c r="M148" s="385"/>
      <c r="N148" s="389"/>
      <c r="O148" s="338"/>
      <c r="P148" s="338"/>
      <c r="Q148" s="338"/>
      <c r="R148" s="382"/>
      <c r="S148" s="379"/>
      <c r="T148" s="322"/>
      <c r="U148" s="322"/>
      <c r="V148" s="322"/>
      <c r="W148" s="379"/>
      <c r="X148" s="379"/>
      <c r="Y148" s="322"/>
      <c r="Z148" s="322"/>
      <c r="AA148" s="322"/>
      <c r="AB148" s="382"/>
    </row>
    <row r="149" spans="1:28" ht="18" customHeight="1" x14ac:dyDescent="0.2">
      <c r="A149" s="391"/>
      <c r="B149" s="146" t="s">
        <v>758</v>
      </c>
      <c r="C149" s="385"/>
      <c r="D149" s="389"/>
      <c r="E149" s="324"/>
      <c r="F149" s="324"/>
      <c r="G149" s="324"/>
      <c r="H149" s="385"/>
      <c r="I149" s="389"/>
      <c r="J149" s="324"/>
      <c r="K149" s="324"/>
      <c r="L149" s="324"/>
      <c r="M149" s="385"/>
      <c r="N149" s="389"/>
      <c r="O149" s="339"/>
      <c r="P149" s="339"/>
      <c r="Q149" s="339"/>
      <c r="R149" s="382"/>
      <c r="S149" s="379"/>
      <c r="T149" s="322"/>
      <c r="U149" s="322"/>
      <c r="V149" s="322"/>
      <c r="W149" s="379"/>
      <c r="X149" s="379"/>
      <c r="Y149" s="322"/>
      <c r="Z149" s="322"/>
      <c r="AA149" s="322"/>
      <c r="AB149" s="382"/>
    </row>
    <row r="150" spans="1:28" ht="20.25" customHeight="1" x14ac:dyDescent="0.2">
      <c r="A150" s="391"/>
      <c r="B150" s="146" t="s">
        <v>759</v>
      </c>
      <c r="C150" s="385"/>
      <c r="D150" s="389"/>
      <c r="E150" s="324"/>
      <c r="F150" s="324"/>
      <c r="G150" s="324"/>
      <c r="H150" s="385"/>
      <c r="I150" s="389"/>
      <c r="J150" s="324"/>
      <c r="K150" s="324"/>
      <c r="L150" s="324"/>
      <c r="M150" s="385"/>
      <c r="N150" s="389"/>
      <c r="O150" s="339"/>
      <c r="P150" s="339"/>
      <c r="Q150" s="339"/>
      <c r="R150" s="382"/>
      <c r="S150" s="379"/>
      <c r="T150" s="322"/>
      <c r="U150" s="322"/>
      <c r="V150" s="322"/>
      <c r="W150" s="379"/>
      <c r="X150" s="379"/>
      <c r="Y150" s="322"/>
      <c r="Z150" s="322"/>
      <c r="AA150" s="322"/>
      <c r="AB150" s="382"/>
    </row>
    <row r="151" spans="1:28" ht="33.75" customHeight="1" x14ac:dyDescent="0.2">
      <c r="A151" s="391"/>
      <c r="B151" s="146" t="s">
        <v>760</v>
      </c>
      <c r="C151" s="385"/>
      <c r="D151" s="389"/>
      <c r="E151" s="324"/>
      <c r="F151" s="324"/>
      <c r="G151" s="324"/>
      <c r="H151" s="385"/>
      <c r="I151" s="389"/>
      <c r="J151" s="324"/>
      <c r="K151" s="324"/>
      <c r="L151" s="324"/>
      <c r="M151" s="385"/>
      <c r="N151" s="389"/>
      <c r="O151" s="339"/>
      <c r="P151" s="339"/>
      <c r="Q151" s="339"/>
      <c r="R151" s="382"/>
      <c r="S151" s="379"/>
      <c r="T151" s="322"/>
      <c r="U151" s="322"/>
      <c r="V151" s="322"/>
      <c r="W151" s="379"/>
      <c r="X151" s="379"/>
      <c r="Y151" s="322"/>
      <c r="Z151" s="322"/>
      <c r="AA151" s="322"/>
      <c r="AB151" s="382"/>
    </row>
    <row r="152" spans="1:28" ht="33" customHeight="1" x14ac:dyDescent="0.2">
      <c r="A152" s="391"/>
      <c r="B152" s="146" t="s">
        <v>761</v>
      </c>
      <c r="C152" s="385"/>
      <c r="D152" s="389"/>
      <c r="E152" s="324"/>
      <c r="F152" s="324"/>
      <c r="G152" s="324"/>
      <c r="H152" s="385"/>
      <c r="I152" s="389"/>
      <c r="J152" s="324"/>
      <c r="K152" s="324"/>
      <c r="L152" s="324"/>
      <c r="M152" s="385"/>
      <c r="N152" s="389"/>
      <c r="O152" s="339"/>
      <c r="P152" s="339"/>
      <c r="Q152" s="339"/>
      <c r="R152" s="382"/>
      <c r="S152" s="379"/>
      <c r="T152" s="322"/>
      <c r="U152" s="322"/>
      <c r="V152" s="322"/>
      <c r="W152" s="379"/>
      <c r="X152" s="379"/>
      <c r="Y152" s="322"/>
      <c r="Z152" s="322"/>
      <c r="AA152" s="322"/>
      <c r="AB152" s="382"/>
    </row>
    <row r="153" spans="1:28" ht="18.75" customHeight="1" x14ac:dyDescent="0.2">
      <c r="A153" s="391"/>
      <c r="B153" s="146" t="s">
        <v>762</v>
      </c>
      <c r="C153" s="385"/>
      <c r="D153" s="389"/>
      <c r="E153" s="324"/>
      <c r="F153" s="324"/>
      <c r="G153" s="324"/>
      <c r="H153" s="385"/>
      <c r="I153" s="389"/>
      <c r="J153" s="324"/>
      <c r="K153" s="324"/>
      <c r="L153" s="324"/>
      <c r="M153" s="385"/>
      <c r="N153" s="389"/>
      <c r="O153" s="339"/>
      <c r="P153" s="339"/>
      <c r="Q153" s="339"/>
      <c r="R153" s="382"/>
      <c r="S153" s="379"/>
      <c r="T153" s="322"/>
      <c r="U153" s="322"/>
      <c r="V153" s="322"/>
      <c r="W153" s="379"/>
      <c r="X153" s="379"/>
      <c r="Y153" s="322"/>
      <c r="Z153" s="322"/>
      <c r="AA153" s="322"/>
      <c r="AB153" s="382"/>
    </row>
    <row r="154" spans="1:28" ht="18.75" customHeight="1" x14ac:dyDescent="0.2">
      <c r="A154" s="148"/>
      <c r="B154" s="147" t="s">
        <v>373</v>
      </c>
      <c r="C154" s="326"/>
      <c r="D154" s="325"/>
      <c r="E154" s="325"/>
      <c r="F154" s="325"/>
      <c r="G154" s="325"/>
      <c r="H154" s="326"/>
      <c r="I154" s="325"/>
      <c r="J154" s="325"/>
      <c r="K154" s="325"/>
      <c r="L154" s="325"/>
      <c r="M154" s="326"/>
      <c r="N154" s="325"/>
      <c r="O154" s="339"/>
      <c r="P154" s="339"/>
      <c r="Q154" s="339"/>
      <c r="R154" s="323"/>
      <c r="S154" s="322"/>
      <c r="T154" s="322"/>
      <c r="U154" s="322"/>
      <c r="V154" s="322"/>
      <c r="W154" s="322"/>
      <c r="X154" s="322"/>
      <c r="Y154" s="322"/>
      <c r="Z154" s="322"/>
      <c r="AA154" s="322"/>
      <c r="AB154" s="323"/>
    </row>
    <row r="155" spans="1:28" ht="18.75" customHeight="1" x14ac:dyDescent="0.2">
      <c r="A155" s="333"/>
      <c r="B155" s="146" t="s">
        <v>763</v>
      </c>
      <c r="C155" s="326"/>
      <c r="D155" s="325"/>
      <c r="E155" s="324"/>
      <c r="F155" s="324"/>
      <c r="G155" s="324"/>
      <c r="H155" s="326"/>
      <c r="I155" s="325"/>
      <c r="J155" s="324"/>
      <c r="K155" s="324"/>
      <c r="L155" s="324"/>
      <c r="M155" s="326"/>
      <c r="N155" s="325"/>
      <c r="O155" s="339"/>
      <c r="P155" s="339"/>
      <c r="Q155" s="339"/>
      <c r="R155" s="323"/>
      <c r="S155" s="322"/>
      <c r="T155" s="339"/>
      <c r="U155" s="339"/>
      <c r="V155" s="339"/>
      <c r="W155" s="322"/>
      <c r="X155" s="322"/>
      <c r="Y155" s="339"/>
      <c r="Z155" s="339"/>
      <c r="AA155" s="339"/>
      <c r="AB155" s="323"/>
    </row>
    <row r="156" spans="1:28" ht="18.75" customHeight="1" x14ac:dyDescent="0.2">
      <c r="A156" s="333"/>
      <c r="B156" s="146" t="s">
        <v>764</v>
      </c>
      <c r="C156" s="326"/>
      <c r="D156" s="325"/>
      <c r="E156" s="324"/>
      <c r="F156" s="324"/>
      <c r="G156" s="324"/>
      <c r="H156" s="326"/>
      <c r="I156" s="325"/>
      <c r="J156" s="324"/>
      <c r="K156" s="324"/>
      <c r="L156" s="324"/>
      <c r="M156" s="326"/>
      <c r="N156" s="325"/>
      <c r="O156" s="339"/>
      <c r="P156" s="339"/>
      <c r="Q156" s="339"/>
      <c r="R156" s="323"/>
      <c r="S156" s="322"/>
      <c r="T156" s="339"/>
      <c r="U156" s="339"/>
      <c r="V156" s="339"/>
      <c r="W156" s="322"/>
      <c r="X156" s="322"/>
      <c r="Y156" s="339"/>
      <c r="Z156" s="339"/>
      <c r="AA156" s="339"/>
      <c r="AB156" s="323"/>
    </row>
    <row r="157" spans="1:28" ht="18.75" customHeight="1" x14ac:dyDescent="0.2">
      <c r="A157" s="333"/>
      <c r="B157" s="140" t="s">
        <v>724</v>
      </c>
      <c r="C157" s="326"/>
      <c r="D157" s="325"/>
      <c r="E157" s="324"/>
      <c r="F157" s="324"/>
      <c r="G157" s="324"/>
      <c r="H157" s="326"/>
      <c r="I157" s="325"/>
      <c r="J157" s="324"/>
      <c r="K157" s="324"/>
      <c r="L157" s="324"/>
      <c r="M157" s="326"/>
      <c r="N157" s="325"/>
      <c r="O157" s="339"/>
      <c r="P157" s="339"/>
      <c r="Q157" s="339"/>
      <c r="R157" s="323"/>
      <c r="S157" s="322"/>
      <c r="T157" s="339"/>
      <c r="U157" s="339"/>
      <c r="V157" s="339"/>
      <c r="W157" s="322"/>
      <c r="X157" s="322"/>
      <c r="Y157" s="339"/>
      <c r="Z157" s="339"/>
      <c r="AA157" s="339"/>
      <c r="AB157" s="323"/>
    </row>
    <row r="158" spans="1:28" ht="18.75" customHeight="1" x14ac:dyDescent="0.2">
      <c r="A158" s="333"/>
      <c r="B158" s="140" t="s">
        <v>780</v>
      </c>
      <c r="C158" s="326"/>
      <c r="D158" s="325"/>
      <c r="E158" s="324"/>
      <c r="F158" s="324"/>
      <c r="G158" s="324"/>
      <c r="H158" s="326"/>
      <c r="I158" s="325"/>
      <c r="J158" s="324"/>
      <c r="K158" s="324"/>
      <c r="L158" s="324"/>
      <c r="M158" s="326"/>
      <c r="N158" s="325"/>
      <c r="O158" s="339"/>
      <c r="P158" s="339"/>
      <c r="Q158" s="339"/>
      <c r="R158" s="323"/>
      <c r="S158" s="322"/>
      <c r="T158" s="339"/>
      <c r="U158" s="339"/>
      <c r="V158" s="339"/>
      <c r="W158" s="322"/>
      <c r="X158" s="322"/>
      <c r="Y158" s="339"/>
      <c r="Z158" s="339"/>
      <c r="AA158" s="339"/>
      <c r="AB158" s="323"/>
    </row>
    <row r="159" spans="1:28" ht="18.75" customHeight="1" x14ac:dyDescent="0.2">
      <c r="A159" s="333"/>
      <c r="B159" s="141" t="s">
        <v>765</v>
      </c>
      <c r="C159" s="326"/>
      <c r="D159" s="325"/>
      <c r="E159" s="324"/>
      <c r="F159" s="324"/>
      <c r="G159" s="324"/>
      <c r="H159" s="326"/>
      <c r="I159" s="325"/>
      <c r="J159" s="324"/>
      <c r="K159" s="324"/>
      <c r="L159" s="324"/>
      <c r="M159" s="326"/>
      <c r="N159" s="325"/>
      <c r="O159" s="339"/>
      <c r="P159" s="339"/>
      <c r="Q159" s="339"/>
      <c r="R159" s="323"/>
      <c r="S159" s="322"/>
      <c r="T159" s="339"/>
      <c r="U159" s="339"/>
      <c r="V159" s="339"/>
      <c r="W159" s="322"/>
      <c r="X159" s="322"/>
      <c r="Y159" s="339"/>
      <c r="Z159" s="339"/>
      <c r="AA159" s="339"/>
      <c r="AB159" s="323"/>
    </row>
    <row r="160" spans="1:28" ht="18.75" customHeight="1" x14ac:dyDescent="0.2">
      <c r="A160" s="333"/>
      <c r="B160" s="141" t="s">
        <v>766</v>
      </c>
      <c r="C160" s="326"/>
      <c r="D160" s="325"/>
      <c r="E160" s="324"/>
      <c r="F160" s="324"/>
      <c r="G160" s="324"/>
      <c r="H160" s="326"/>
      <c r="I160" s="325"/>
      <c r="J160" s="324"/>
      <c r="K160" s="324"/>
      <c r="L160" s="324"/>
      <c r="M160" s="326"/>
      <c r="N160" s="325"/>
      <c r="O160" s="339"/>
      <c r="P160" s="339"/>
      <c r="Q160" s="339"/>
      <c r="R160" s="323"/>
      <c r="S160" s="322"/>
      <c r="T160" s="339"/>
      <c r="U160" s="339"/>
      <c r="V160" s="339"/>
      <c r="W160" s="322"/>
      <c r="X160" s="322"/>
      <c r="Y160" s="339"/>
      <c r="Z160" s="339"/>
      <c r="AA160" s="339"/>
      <c r="AB160" s="323"/>
    </row>
    <row r="161" spans="1:28" ht="18.75" customHeight="1" x14ac:dyDescent="0.2">
      <c r="A161" s="333"/>
      <c r="B161" s="141" t="s">
        <v>767</v>
      </c>
      <c r="C161" s="326"/>
      <c r="D161" s="325"/>
      <c r="E161" s="324"/>
      <c r="F161" s="324"/>
      <c r="G161" s="324"/>
      <c r="H161" s="326"/>
      <c r="I161" s="325"/>
      <c r="J161" s="324"/>
      <c r="K161" s="324"/>
      <c r="L161" s="324"/>
      <c r="M161" s="326"/>
      <c r="N161" s="325"/>
      <c r="O161" s="339"/>
      <c r="P161" s="339"/>
      <c r="Q161" s="339"/>
      <c r="R161" s="323"/>
      <c r="S161" s="322"/>
      <c r="T161" s="339"/>
      <c r="U161" s="339"/>
      <c r="V161" s="339"/>
      <c r="W161" s="322"/>
      <c r="X161" s="322"/>
      <c r="Y161" s="339"/>
      <c r="Z161" s="339"/>
      <c r="AA161" s="339"/>
      <c r="AB161" s="323"/>
    </row>
    <row r="162" spans="1:28" ht="18.75" customHeight="1" x14ac:dyDescent="0.2">
      <c r="A162" s="333"/>
      <c r="B162" s="141" t="s">
        <v>1374</v>
      </c>
      <c r="C162" s="326"/>
      <c r="D162" s="325"/>
      <c r="E162" s="324"/>
      <c r="F162" s="324"/>
      <c r="G162" s="324"/>
      <c r="H162" s="326"/>
      <c r="I162" s="325"/>
      <c r="J162" s="324"/>
      <c r="K162" s="324"/>
      <c r="L162" s="324"/>
      <c r="M162" s="326"/>
      <c r="N162" s="325"/>
      <c r="O162" s="339"/>
      <c r="P162" s="339"/>
      <c r="Q162" s="339"/>
      <c r="R162" s="323"/>
      <c r="S162" s="322"/>
      <c r="T162" s="339"/>
      <c r="U162" s="339"/>
      <c r="V162" s="339"/>
      <c r="W162" s="322"/>
      <c r="X162" s="322"/>
      <c r="Y162" s="339"/>
      <c r="Z162" s="339"/>
      <c r="AA162" s="339"/>
      <c r="AB162" s="323"/>
    </row>
    <row r="163" spans="1:28" ht="18.75" customHeight="1" x14ac:dyDescent="0.2">
      <c r="A163" s="333"/>
      <c r="B163" s="141" t="s">
        <v>1375</v>
      </c>
      <c r="C163" s="326"/>
      <c r="D163" s="325"/>
      <c r="E163" s="324"/>
      <c r="F163" s="324"/>
      <c r="G163" s="324"/>
      <c r="H163" s="326"/>
      <c r="I163" s="325"/>
      <c r="J163" s="324"/>
      <c r="K163" s="324"/>
      <c r="L163" s="324"/>
      <c r="M163" s="326"/>
      <c r="N163" s="325"/>
      <c r="O163" s="339"/>
      <c r="P163" s="339"/>
      <c r="Q163" s="339"/>
      <c r="R163" s="323"/>
      <c r="S163" s="322"/>
      <c r="T163" s="339"/>
      <c r="U163" s="339"/>
      <c r="V163" s="339"/>
      <c r="W163" s="322"/>
      <c r="X163" s="322"/>
      <c r="Y163" s="339"/>
      <c r="Z163" s="339"/>
      <c r="AA163" s="339"/>
      <c r="AB163" s="323"/>
    </row>
    <row r="164" spans="1:28" ht="18.75" customHeight="1" x14ac:dyDescent="0.2">
      <c r="A164" s="333"/>
      <c r="B164" s="141" t="s">
        <v>1376</v>
      </c>
      <c r="C164" s="326"/>
      <c r="D164" s="325"/>
      <c r="E164" s="324"/>
      <c r="F164" s="324"/>
      <c r="G164" s="324"/>
      <c r="H164" s="326"/>
      <c r="I164" s="325"/>
      <c r="J164" s="324"/>
      <c r="K164" s="324"/>
      <c r="L164" s="324"/>
      <c r="M164" s="326"/>
      <c r="N164" s="325"/>
      <c r="O164" s="339"/>
      <c r="P164" s="339"/>
      <c r="Q164" s="339"/>
      <c r="R164" s="323"/>
      <c r="S164" s="322"/>
      <c r="T164" s="339"/>
      <c r="U164" s="339"/>
      <c r="V164" s="339"/>
      <c r="W164" s="322"/>
      <c r="X164" s="322"/>
      <c r="Y164" s="339"/>
      <c r="Z164" s="339"/>
      <c r="AA164" s="339"/>
      <c r="AB164" s="323"/>
    </row>
    <row r="165" spans="1:28" ht="18.75" customHeight="1" x14ac:dyDescent="0.2">
      <c r="A165" s="333"/>
      <c r="B165" s="149" t="s">
        <v>1377</v>
      </c>
      <c r="C165" s="326"/>
      <c r="D165" s="325"/>
      <c r="E165" s="324"/>
      <c r="F165" s="324"/>
      <c r="G165" s="324"/>
      <c r="H165" s="326"/>
      <c r="I165" s="325"/>
      <c r="J165" s="324"/>
      <c r="K165" s="324"/>
      <c r="L165" s="324"/>
      <c r="M165" s="326"/>
      <c r="N165" s="325"/>
      <c r="O165" s="339"/>
      <c r="P165" s="339"/>
      <c r="Q165" s="339"/>
      <c r="R165" s="323"/>
      <c r="S165" s="322"/>
      <c r="T165" s="339"/>
      <c r="U165" s="339"/>
      <c r="V165" s="339"/>
      <c r="W165" s="322"/>
      <c r="X165" s="322"/>
      <c r="Y165" s="339"/>
      <c r="Z165" s="339"/>
      <c r="AA165" s="339"/>
      <c r="AB165" s="323"/>
    </row>
    <row r="166" spans="1:28" ht="18.75" customHeight="1" x14ac:dyDescent="0.2">
      <c r="A166" s="333"/>
      <c r="B166" s="147" t="s">
        <v>607</v>
      </c>
      <c r="C166" s="326"/>
      <c r="D166" s="325"/>
      <c r="E166" s="324"/>
      <c r="F166" s="324"/>
      <c r="G166" s="324"/>
      <c r="H166" s="326"/>
      <c r="I166" s="325"/>
      <c r="J166" s="324"/>
      <c r="K166" s="324"/>
      <c r="L166" s="324"/>
      <c r="M166" s="326"/>
      <c r="N166" s="325"/>
      <c r="O166" s="339"/>
      <c r="P166" s="339"/>
      <c r="Q166" s="339"/>
      <c r="R166" s="323"/>
      <c r="S166" s="322"/>
      <c r="T166" s="339"/>
      <c r="U166" s="339"/>
      <c r="V166" s="339"/>
      <c r="W166" s="322"/>
      <c r="X166" s="322"/>
      <c r="Y166" s="339"/>
      <c r="Z166" s="339"/>
      <c r="AA166" s="339"/>
      <c r="AB166" s="323"/>
    </row>
    <row r="167" spans="1:28" ht="18.75" customHeight="1" x14ac:dyDescent="0.2">
      <c r="A167" s="333"/>
      <c r="B167" s="146" t="s">
        <v>768</v>
      </c>
      <c r="C167" s="326"/>
      <c r="D167" s="325"/>
      <c r="E167" s="324"/>
      <c r="F167" s="324"/>
      <c r="G167" s="324"/>
      <c r="H167" s="326"/>
      <c r="I167" s="325"/>
      <c r="J167" s="324"/>
      <c r="K167" s="324"/>
      <c r="L167" s="324"/>
      <c r="M167" s="326"/>
      <c r="N167" s="325"/>
      <c r="O167" s="339"/>
      <c r="P167" s="339"/>
      <c r="Q167" s="339"/>
      <c r="R167" s="323"/>
      <c r="S167" s="322"/>
      <c r="T167" s="339"/>
      <c r="U167" s="339"/>
      <c r="V167" s="339"/>
      <c r="W167" s="322"/>
      <c r="X167" s="322"/>
      <c r="Y167" s="339"/>
      <c r="Z167" s="339"/>
      <c r="AA167" s="339"/>
      <c r="AB167" s="323"/>
    </row>
    <row r="168" spans="1:28" ht="18.75" customHeight="1" x14ac:dyDescent="0.2">
      <c r="A168" s="333"/>
      <c r="B168" s="146" t="s">
        <v>769</v>
      </c>
      <c r="C168" s="326"/>
      <c r="D168" s="325"/>
      <c r="E168" s="324"/>
      <c r="F168" s="324"/>
      <c r="G168" s="324"/>
      <c r="H168" s="326"/>
      <c r="I168" s="325"/>
      <c r="J168" s="324"/>
      <c r="K168" s="324"/>
      <c r="L168" s="324"/>
      <c r="M168" s="326"/>
      <c r="N168" s="325"/>
      <c r="O168" s="339"/>
      <c r="P168" s="339"/>
      <c r="Q168" s="339"/>
      <c r="R168" s="323"/>
      <c r="S168" s="322"/>
      <c r="T168" s="339"/>
      <c r="U168" s="339"/>
      <c r="V168" s="339"/>
      <c r="W168" s="322"/>
      <c r="X168" s="322"/>
      <c r="Y168" s="339"/>
      <c r="Z168" s="339"/>
      <c r="AA168" s="339"/>
      <c r="AB168" s="323"/>
    </row>
    <row r="169" spans="1:28" ht="18.75" customHeight="1" x14ac:dyDescent="0.2">
      <c r="A169" s="333"/>
      <c r="B169" s="146" t="s">
        <v>770</v>
      </c>
      <c r="C169" s="326"/>
      <c r="D169" s="325"/>
      <c r="E169" s="324"/>
      <c r="F169" s="324"/>
      <c r="G169" s="324"/>
      <c r="H169" s="326"/>
      <c r="I169" s="325"/>
      <c r="J169" s="324"/>
      <c r="K169" s="324"/>
      <c r="L169" s="324"/>
      <c r="M169" s="326"/>
      <c r="N169" s="325"/>
      <c r="O169" s="339"/>
      <c r="P169" s="339"/>
      <c r="Q169" s="339"/>
      <c r="R169" s="323"/>
      <c r="S169" s="322"/>
      <c r="T169" s="339"/>
      <c r="U169" s="339"/>
      <c r="V169" s="339"/>
      <c r="W169" s="322"/>
      <c r="X169" s="322"/>
      <c r="Y169" s="339"/>
      <c r="Z169" s="339"/>
      <c r="AA169" s="339"/>
      <c r="AB169" s="323"/>
    </row>
    <row r="170" spans="1:28" ht="39.75" customHeight="1" x14ac:dyDescent="0.2">
      <c r="A170" s="333"/>
      <c r="B170" s="146" t="s">
        <v>771</v>
      </c>
      <c r="C170" s="326"/>
      <c r="D170" s="325"/>
      <c r="E170" s="324"/>
      <c r="F170" s="324"/>
      <c r="G170" s="324"/>
      <c r="H170" s="326"/>
      <c r="I170" s="325"/>
      <c r="J170" s="324"/>
      <c r="K170" s="324"/>
      <c r="L170" s="324"/>
      <c r="M170" s="326"/>
      <c r="N170" s="325"/>
      <c r="O170" s="339"/>
      <c r="P170" s="339"/>
      <c r="Q170" s="339"/>
      <c r="R170" s="323"/>
      <c r="S170" s="322"/>
      <c r="T170" s="339"/>
      <c r="U170" s="339"/>
      <c r="V170" s="339"/>
      <c r="W170" s="322"/>
      <c r="X170" s="322"/>
      <c r="Y170" s="339"/>
      <c r="Z170" s="339"/>
      <c r="AA170" s="339"/>
      <c r="AB170" s="323"/>
    </row>
    <row r="171" spans="1:28" ht="15.75" customHeight="1" x14ac:dyDescent="0.2">
      <c r="A171" s="333"/>
      <c r="B171" s="140" t="s">
        <v>783</v>
      </c>
      <c r="C171" s="326"/>
      <c r="D171" s="325"/>
      <c r="E171" s="324"/>
      <c r="F171" s="324"/>
      <c r="G171" s="324"/>
      <c r="H171" s="326"/>
      <c r="I171" s="325"/>
      <c r="J171" s="324"/>
      <c r="K171" s="324"/>
      <c r="L171" s="324"/>
      <c r="M171" s="326"/>
      <c r="N171" s="325"/>
      <c r="O171" s="339"/>
      <c r="P171" s="339"/>
      <c r="Q171" s="339"/>
      <c r="R171" s="323"/>
      <c r="S171" s="322"/>
      <c r="T171" s="339"/>
      <c r="U171" s="339"/>
      <c r="V171" s="339"/>
      <c r="W171" s="322"/>
      <c r="X171" s="322"/>
      <c r="Y171" s="339"/>
      <c r="Z171" s="339"/>
      <c r="AA171" s="339"/>
      <c r="AB171" s="323"/>
    </row>
    <row r="172" spans="1:28" ht="18.75" customHeight="1" x14ac:dyDescent="0.2">
      <c r="A172" s="321"/>
      <c r="B172" s="150" t="s">
        <v>576</v>
      </c>
      <c r="C172" s="337" t="s">
        <v>103</v>
      </c>
      <c r="D172" s="338" t="s">
        <v>103</v>
      </c>
      <c r="E172" s="338"/>
      <c r="F172" s="338"/>
      <c r="G172" s="338"/>
      <c r="H172" s="337" t="s">
        <v>103</v>
      </c>
      <c r="I172" s="338" t="s">
        <v>103</v>
      </c>
      <c r="J172" s="338"/>
      <c r="K172" s="338"/>
      <c r="L172" s="338"/>
      <c r="M172" s="337">
        <f>N172</f>
        <v>3417</v>
      </c>
      <c r="N172" s="338">
        <v>3417</v>
      </c>
      <c r="O172" s="338"/>
      <c r="P172" s="338"/>
      <c r="Q172" s="338"/>
      <c r="R172" s="337">
        <v>0</v>
      </c>
      <c r="S172" s="338">
        <v>0</v>
      </c>
      <c r="T172" s="338"/>
      <c r="U172" s="338"/>
      <c r="V172" s="338"/>
      <c r="W172" s="337">
        <v>0</v>
      </c>
      <c r="X172" s="338">
        <v>0</v>
      </c>
      <c r="Y172" s="338"/>
      <c r="Z172" s="338"/>
      <c r="AA172" s="338"/>
      <c r="AB172" s="337">
        <v>3417</v>
      </c>
    </row>
    <row r="173" spans="1:28" ht="20.25" customHeight="1" x14ac:dyDescent="0.2">
      <c r="A173" s="395" t="s">
        <v>458</v>
      </c>
      <c r="B173" s="138" t="s">
        <v>405</v>
      </c>
      <c r="C173" s="384">
        <f>D173</f>
        <v>817</v>
      </c>
      <c r="D173" s="388">
        <v>817</v>
      </c>
      <c r="E173" s="151"/>
      <c r="F173" s="151"/>
      <c r="G173" s="151"/>
      <c r="H173" s="384">
        <f>I173</f>
        <v>2512</v>
      </c>
      <c r="I173" s="388">
        <f>1695+817</f>
        <v>2512</v>
      </c>
      <c r="J173" s="151"/>
      <c r="K173" s="151"/>
      <c r="L173" s="151"/>
      <c r="M173" s="384">
        <f>N173</f>
        <v>4617</v>
      </c>
      <c r="N173" s="388">
        <f>615+578+1853+2512-486-423-32</f>
        <v>4617</v>
      </c>
      <c r="O173" s="152"/>
      <c r="P173" s="152"/>
      <c r="Q173" s="152"/>
      <c r="R173" s="384">
        <f>S173</f>
        <v>8504</v>
      </c>
      <c r="S173" s="388">
        <f>3573+4915+817-119-71-20-355-79-104-53</f>
        <v>8504</v>
      </c>
      <c r="T173" s="151"/>
      <c r="U173" s="151"/>
      <c r="V173" s="151"/>
      <c r="W173" s="384">
        <f>X173</f>
        <v>0</v>
      </c>
      <c r="X173" s="388">
        <f>3719-3719</f>
        <v>0</v>
      </c>
      <c r="Y173" s="151"/>
      <c r="Z173" s="151"/>
      <c r="AA173" s="151"/>
      <c r="AB173" s="384">
        <f>C173+H173+M173+R173+W173</f>
        <v>16450</v>
      </c>
    </row>
    <row r="174" spans="1:28" ht="15" customHeight="1" x14ac:dyDescent="0.2">
      <c r="A174" s="396"/>
      <c r="B174" s="139" t="s">
        <v>401</v>
      </c>
      <c r="C174" s="385"/>
      <c r="D174" s="389"/>
      <c r="E174" s="153"/>
      <c r="F174" s="153"/>
      <c r="G174" s="153"/>
      <c r="H174" s="385"/>
      <c r="I174" s="389"/>
      <c r="J174" s="153"/>
      <c r="K174" s="153"/>
      <c r="L174" s="153"/>
      <c r="M174" s="385"/>
      <c r="N174" s="389"/>
      <c r="O174" s="154"/>
      <c r="P174" s="154"/>
      <c r="Q174" s="154"/>
      <c r="R174" s="385"/>
      <c r="S174" s="389"/>
      <c r="T174" s="153"/>
      <c r="U174" s="153"/>
      <c r="V174" s="153"/>
      <c r="W174" s="385"/>
      <c r="X174" s="389"/>
      <c r="Y174" s="153"/>
      <c r="Z174" s="153"/>
      <c r="AA174" s="153"/>
      <c r="AB174" s="385"/>
    </row>
    <row r="175" spans="1:28" ht="15" customHeight="1" x14ac:dyDescent="0.2">
      <c r="A175" s="396"/>
      <c r="B175" s="140" t="s">
        <v>772</v>
      </c>
      <c r="C175" s="385"/>
      <c r="D175" s="389"/>
      <c r="E175" s="155"/>
      <c r="F175" s="155"/>
      <c r="G175" s="155"/>
      <c r="H175" s="385"/>
      <c r="I175" s="389"/>
      <c r="J175" s="155"/>
      <c r="K175" s="155"/>
      <c r="L175" s="155"/>
      <c r="M175" s="385"/>
      <c r="N175" s="389"/>
      <c r="O175" s="156"/>
      <c r="P175" s="156"/>
      <c r="Q175" s="156"/>
      <c r="R175" s="385"/>
      <c r="S175" s="389"/>
      <c r="T175" s="155"/>
      <c r="U175" s="155"/>
      <c r="V175" s="155"/>
      <c r="W175" s="385"/>
      <c r="X175" s="389"/>
      <c r="Y175" s="155"/>
      <c r="Z175" s="155"/>
      <c r="AA175" s="155"/>
      <c r="AB175" s="385"/>
    </row>
    <row r="176" spans="1:28" ht="15" customHeight="1" x14ac:dyDescent="0.2">
      <c r="A176" s="396"/>
      <c r="B176" s="140" t="s">
        <v>679</v>
      </c>
      <c r="C176" s="385"/>
      <c r="D176" s="389"/>
      <c r="E176" s="157"/>
      <c r="F176" s="157"/>
      <c r="G176" s="157"/>
      <c r="H176" s="385"/>
      <c r="I176" s="389"/>
      <c r="J176" s="157"/>
      <c r="K176" s="157"/>
      <c r="L176" s="157"/>
      <c r="M176" s="385"/>
      <c r="N176" s="389"/>
      <c r="O176" s="158"/>
      <c r="P176" s="158"/>
      <c r="Q176" s="158"/>
      <c r="R176" s="385"/>
      <c r="S176" s="389"/>
      <c r="T176" s="157"/>
      <c r="U176" s="157"/>
      <c r="V176" s="157"/>
      <c r="W176" s="385"/>
      <c r="X176" s="389"/>
      <c r="Y176" s="157"/>
      <c r="Z176" s="157"/>
      <c r="AA176" s="157"/>
      <c r="AB176" s="385"/>
    </row>
    <row r="177" spans="1:28" ht="18.75" customHeight="1" x14ac:dyDescent="0.2">
      <c r="A177" s="396"/>
      <c r="B177" s="139" t="s">
        <v>322</v>
      </c>
      <c r="C177" s="385"/>
      <c r="D177" s="389"/>
      <c r="E177" s="157"/>
      <c r="F177" s="157"/>
      <c r="G177" s="157"/>
      <c r="H177" s="385"/>
      <c r="I177" s="389"/>
      <c r="J177" s="157"/>
      <c r="K177" s="157"/>
      <c r="L177" s="157"/>
      <c r="M177" s="385"/>
      <c r="N177" s="389"/>
      <c r="O177" s="158"/>
      <c r="P177" s="158"/>
      <c r="Q177" s="158"/>
      <c r="R177" s="385"/>
      <c r="S177" s="389"/>
      <c r="T177" s="157"/>
      <c r="U177" s="157"/>
      <c r="V177" s="157"/>
      <c r="W177" s="385"/>
      <c r="X177" s="389"/>
      <c r="Y177" s="157"/>
      <c r="Z177" s="157"/>
      <c r="AA177" s="157"/>
      <c r="AB177" s="385"/>
    </row>
    <row r="178" spans="1:28" ht="18.75" customHeight="1" x14ac:dyDescent="0.2">
      <c r="A178" s="396"/>
      <c r="B178" s="140" t="s">
        <v>773</v>
      </c>
      <c r="C178" s="385"/>
      <c r="D178" s="389"/>
      <c r="E178" s="157"/>
      <c r="F178" s="157"/>
      <c r="G178" s="157"/>
      <c r="H178" s="385"/>
      <c r="I178" s="389"/>
      <c r="J178" s="157"/>
      <c r="K178" s="157"/>
      <c r="L178" s="157"/>
      <c r="M178" s="385"/>
      <c r="N178" s="389"/>
      <c r="O178" s="158"/>
      <c r="P178" s="158"/>
      <c r="Q178" s="158"/>
      <c r="R178" s="385"/>
      <c r="S178" s="389"/>
      <c r="T178" s="157"/>
      <c r="U178" s="157"/>
      <c r="V178" s="157"/>
      <c r="W178" s="385"/>
      <c r="X178" s="389"/>
      <c r="Y178" s="157"/>
      <c r="Z178" s="157"/>
      <c r="AA178" s="157"/>
      <c r="AB178" s="385"/>
    </row>
    <row r="179" spans="1:28" ht="18.75" customHeight="1" x14ac:dyDescent="0.2">
      <c r="A179" s="396"/>
      <c r="B179" s="140" t="s">
        <v>774</v>
      </c>
      <c r="C179" s="385"/>
      <c r="D179" s="389"/>
      <c r="E179" s="157"/>
      <c r="F179" s="157"/>
      <c r="G179" s="157"/>
      <c r="H179" s="385"/>
      <c r="I179" s="389"/>
      <c r="J179" s="157"/>
      <c r="K179" s="157"/>
      <c r="L179" s="157"/>
      <c r="M179" s="385"/>
      <c r="N179" s="389"/>
      <c r="O179" s="158"/>
      <c r="P179" s="158"/>
      <c r="Q179" s="158"/>
      <c r="R179" s="385"/>
      <c r="S179" s="389"/>
      <c r="T179" s="157"/>
      <c r="U179" s="157"/>
      <c r="V179" s="157"/>
      <c r="W179" s="385"/>
      <c r="X179" s="389"/>
      <c r="Y179" s="157"/>
      <c r="Z179" s="157"/>
      <c r="AA179" s="157"/>
      <c r="AB179" s="385"/>
    </row>
    <row r="180" spans="1:28" ht="17.25" customHeight="1" x14ac:dyDescent="0.2">
      <c r="A180" s="396"/>
      <c r="B180" s="140" t="s">
        <v>775</v>
      </c>
      <c r="C180" s="385"/>
      <c r="D180" s="389"/>
      <c r="E180" s="157"/>
      <c r="F180" s="157"/>
      <c r="G180" s="157"/>
      <c r="H180" s="385"/>
      <c r="I180" s="389"/>
      <c r="J180" s="157"/>
      <c r="K180" s="157"/>
      <c r="L180" s="157"/>
      <c r="M180" s="385"/>
      <c r="N180" s="389"/>
      <c r="O180" s="158"/>
      <c r="P180" s="158"/>
      <c r="Q180" s="158"/>
      <c r="R180" s="385"/>
      <c r="S180" s="389"/>
      <c r="T180" s="157"/>
      <c r="U180" s="157"/>
      <c r="V180" s="157"/>
      <c r="W180" s="385"/>
      <c r="X180" s="389"/>
      <c r="Y180" s="157"/>
      <c r="Z180" s="157"/>
      <c r="AA180" s="157"/>
      <c r="AB180" s="385"/>
    </row>
    <row r="181" spans="1:28" ht="18.75" customHeight="1" x14ac:dyDescent="0.2">
      <c r="A181" s="396"/>
      <c r="B181" s="140" t="s">
        <v>776</v>
      </c>
      <c r="C181" s="385"/>
      <c r="D181" s="389"/>
      <c r="E181" s="157"/>
      <c r="F181" s="157"/>
      <c r="G181" s="157"/>
      <c r="H181" s="385"/>
      <c r="I181" s="389"/>
      <c r="J181" s="157"/>
      <c r="K181" s="157"/>
      <c r="L181" s="157"/>
      <c r="M181" s="385"/>
      <c r="N181" s="389"/>
      <c r="O181" s="158"/>
      <c r="P181" s="158"/>
      <c r="Q181" s="158"/>
      <c r="R181" s="385"/>
      <c r="S181" s="389"/>
      <c r="T181" s="157"/>
      <c r="U181" s="157"/>
      <c r="V181" s="157"/>
      <c r="W181" s="385"/>
      <c r="X181" s="389"/>
      <c r="Y181" s="157"/>
      <c r="Z181" s="157"/>
      <c r="AA181" s="157"/>
      <c r="AB181" s="385"/>
    </row>
    <row r="182" spans="1:28" ht="18.75" customHeight="1" x14ac:dyDescent="0.2">
      <c r="A182" s="396"/>
      <c r="B182" s="140" t="s">
        <v>772</v>
      </c>
      <c r="C182" s="385"/>
      <c r="D182" s="389"/>
      <c r="E182" s="157"/>
      <c r="F182" s="157"/>
      <c r="G182" s="157"/>
      <c r="H182" s="385"/>
      <c r="I182" s="389"/>
      <c r="J182" s="157"/>
      <c r="K182" s="157"/>
      <c r="L182" s="157"/>
      <c r="M182" s="385"/>
      <c r="N182" s="389"/>
      <c r="O182" s="158"/>
      <c r="P182" s="158"/>
      <c r="Q182" s="158"/>
      <c r="R182" s="385"/>
      <c r="S182" s="389"/>
      <c r="T182" s="157"/>
      <c r="U182" s="157"/>
      <c r="V182" s="157"/>
      <c r="W182" s="385"/>
      <c r="X182" s="389"/>
      <c r="Y182" s="157"/>
      <c r="Z182" s="157"/>
      <c r="AA182" s="157"/>
      <c r="AB182" s="385"/>
    </row>
    <row r="183" spans="1:28" ht="18.75" customHeight="1" x14ac:dyDescent="0.2">
      <c r="A183" s="396"/>
      <c r="B183" s="140" t="s">
        <v>679</v>
      </c>
      <c r="C183" s="385"/>
      <c r="D183" s="389"/>
      <c r="E183" s="157"/>
      <c r="F183" s="157"/>
      <c r="G183" s="157"/>
      <c r="H183" s="385"/>
      <c r="I183" s="389"/>
      <c r="J183" s="157"/>
      <c r="K183" s="157"/>
      <c r="L183" s="157"/>
      <c r="M183" s="385"/>
      <c r="N183" s="389"/>
      <c r="O183" s="158"/>
      <c r="P183" s="158"/>
      <c r="Q183" s="158"/>
      <c r="R183" s="385"/>
      <c r="S183" s="389"/>
      <c r="T183" s="157"/>
      <c r="U183" s="157"/>
      <c r="V183" s="157"/>
      <c r="W183" s="385"/>
      <c r="X183" s="389"/>
      <c r="Y183" s="157"/>
      <c r="Z183" s="157"/>
      <c r="AA183" s="157"/>
      <c r="AB183" s="385"/>
    </row>
    <row r="184" spans="1:28" ht="15.75" x14ac:dyDescent="0.2">
      <c r="A184" s="396"/>
      <c r="B184" s="139" t="s">
        <v>373</v>
      </c>
      <c r="C184" s="385"/>
      <c r="D184" s="389"/>
      <c r="E184" s="157"/>
      <c r="F184" s="157"/>
      <c r="G184" s="157"/>
      <c r="H184" s="385"/>
      <c r="I184" s="389"/>
      <c r="J184" s="157"/>
      <c r="K184" s="157"/>
      <c r="L184" s="157"/>
      <c r="M184" s="385"/>
      <c r="N184" s="389"/>
      <c r="O184" s="158"/>
      <c r="P184" s="158"/>
      <c r="Q184" s="158"/>
      <c r="R184" s="385"/>
      <c r="S184" s="389"/>
      <c r="T184" s="157"/>
      <c r="U184" s="157"/>
      <c r="V184" s="157"/>
      <c r="W184" s="385"/>
      <c r="X184" s="389"/>
      <c r="Y184" s="157"/>
      <c r="Z184" s="157"/>
      <c r="AA184" s="157"/>
      <c r="AB184" s="385"/>
    </row>
    <row r="185" spans="1:28" ht="15.75" x14ac:dyDescent="0.2">
      <c r="A185" s="396"/>
      <c r="B185" s="140" t="s">
        <v>772</v>
      </c>
      <c r="C185" s="385"/>
      <c r="D185" s="389"/>
      <c r="E185" s="157"/>
      <c r="F185" s="157"/>
      <c r="G185" s="157"/>
      <c r="H185" s="385"/>
      <c r="I185" s="389"/>
      <c r="J185" s="157"/>
      <c r="K185" s="157"/>
      <c r="L185" s="157"/>
      <c r="M185" s="385"/>
      <c r="N185" s="389"/>
      <c r="O185" s="158"/>
      <c r="P185" s="158"/>
      <c r="Q185" s="158"/>
      <c r="R185" s="385"/>
      <c r="S185" s="389"/>
      <c r="T185" s="157"/>
      <c r="U185" s="157"/>
      <c r="V185" s="157"/>
      <c r="W185" s="385"/>
      <c r="X185" s="389"/>
      <c r="Y185" s="157"/>
      <c r="Z185" s="157"/>
      <c r="AA185" s="157"/>
      <c r="AB185" s="385"/>
    </row>
    <row r="186" spans="1:28" ht="15.75" x14ac:dyDescent="0.2">
      <c r="A186" s="396"/>
      <c r="B186" s="140" t="s">
        <v>777</v>
      </c>
      <c r="C186" s="385"/>
      <c r="D186" s="389"/>
      <c r="E186" s="157"/>
      <c r="F186" s="157"/>
      <c r="G186" s="157"/>
      <c r="H186" s="385"/>
      <c r="I186" s="389"/>
      <c r="J186" s="157"/>
      <c r="K186" s="157"/>
      <c r="L186" s="157"/>
      <c r="M186" s="385"/>
      <c r="N186" s="389"/>
      <c r="O186" s="158"/>
      <c r="P186" s="158"/>
      <c r="Q186" s="158"/>
      <c r="R186" s="385"/>
      <c r="S186" s="389"/>
      <c r="T186" s="157"/>
      <c r="U186" s="157"/>
      <c r="V186" s="157"/>
      <c r="W186" s="385"/>
      <c r="X186" s="389"/>
      <c r="Y186" s="157"/>
      <c r="Z186" s="157"/>
      <c r="AA186" s="157"/>
      <c r="AB186" s="385"/>
    </row>
    <row r="187" spans="1:28" ht="15.75" x14ac:dyDescent="0.2">
      <c r="A187" s="396"/>
      <c r="B187" s="140" t="s">
        <v>778</v>
      </c>
      <c r="C187" s="385"/>
      <c r="D187" s="389"/>
      <c r="E187" s="157"/>
      <c r="F187" s="157"/>
      <c r="G187" s="157"/>
      <c r="H187" s="385"/>
      <c r="I187" s="389"/>
      <c r="J187" s="157"/>
      <c r="K187" s="157"/>
      <c r="L187" s="157"/>
      <c r="M187" s="385"/>
      <c r="N187" s="389"/>
      <c r="O187" s="158"/>
      <c r="P187" s="158"/>
      <c r="Q187" s="158"/>
      <c r="R187" s="385"/>
      <c r="S187" s="389"/>
      <c r="T187" s="157"/>
      <c r="U187" s="157"/>
      <c r="V187" s="157"/>
      <c r="W187" s="385"/>
      <c r="X187" s="389"/>
      <c r="Y187" s="157"/>
      <c r="Z187" s="157"/>
      <c r="AA187" s="157"/>
      <c r="AB187" s="385"/>
    </row>
    <row r="188" spans="1:28" ht="31.5" x14ac:dyDescent="0.2">
      <c r="A188" s="396"/>
      <c r="B188" s="141" t="s">
        <v>779</v>
      </c>
      <c r="C188" s="385"/>
      <c r="D188" s="389"/>
      <c r="E188" s="157"/>
      <c r="F188" s="157"/>
      <c r="G188" s="157"/>
      <c r="H188" s="385"/>
      <c r="I188" s="389"/>
      <c r="J188" s="157"/>
      <c r="K188" s="157"/>
      <c r="L188" s="157"/>
      <c r="M188" s="385"/>
      <c r="N188" s="389"/>
      <c r="O188" s="158"/>
      <c r="P188" s="158"/>
      <c r="Q188" s="158"/>
      <c r="R188" s="385"/>
      <c r="S188" s="389"/>
      <c r="T188" s="157"/>
      <c r="U188" s="157"/>
      <c r="V188" s="157"/>
      <c r="W188" s="385"/>
      <c r="X188" s="389"/>
      <c r="Y188" s="157"/>
      <c r="Z188" s="157"/>
      <c r="AA188" s="157"/>
      <c r="AB188" s="385"/>
    </row>
    <row r="189" spans="1:28" ht="15.75" x14ac:dyDescent="0.2">
      <c r="A189" s="396"/>
      <c r="B189" s="141" t="s">
        <v>1362</v>
      </c>
      <c r="C189" s="385"/>
      <c r="D189" s="389"/>
      <c r="E189" s="157"/>
      <c r="F189" s="157"/>
      <c r="G189" s="157"/>
      <c r="H189" s="385"/>
      <c r="I189" s="389"/>
      <c r="J189" s="157"/>
      <c r="K189" s="157"/>
      <c r="L189" s="157"/>
      <c r="M189" s="385"/>
      <c r="N189" s="389"/>
      <c r="O189" s="158"/>
      <c r="P189" s="158"/>
      <c r="Q189" s="158"/>
      <c r="R189" s="385"/>
      <c r="S189" s="389"/>
      <c r="T189" s="157"/>
      <c r="U189" s="157"/>
      <c r="V189" s="157"/>
      <c r="W189" s="385"/>
      <c r="X189" s="389"/>
      <c r="Y189" s="157"/>
      <c r="Z189" s="157"/>
      <c r="AA189" s="157"/>
      <c r="AB189" s="385"/>
    </row>
    <row r="190" spans="1:28" ht="15.75" x14ac:dyDescent="0.2">
      <c r="A190" s="396"/>
      <c r="B190" s="149" t="s">
        <v>589</v>
      </c>
      <c r="C190" s="385"/>
      <c r="D190" s="389"/>
      <c r="E190" s="157"/>
      <c r="F190" s="157"/>
      <c r="G190" s="157"/>
      <c r="H190" s="385"/>
      <c r="I190" s="389"/>
      <c r="J190" s="157"/>
      <c r="K190" s="157"/>
      <c r="L190" s="157"/>
      <c r="M190" s="385"/>
      <c r="N190" s="389"/>
      <c r="O190" s="158"/>
      <c r="P190" s="158"/>
      <c r="Q190" s="158"/>
      <c r="R190" s="385"/>
      <c r="S190" s="389"/>
      <c r="T190" s="157"/>
      <c r="U190" s="157"/>
      <c r="V190" s="157"/>
      <c r="W190" s="385"/>
      <c r="X190" s="389"/>
      <c r="Y190" s="157"/>
      <c r="Z190" s="157"/>
      <c r="AA190" s="157"/>
      <c r="AB190" s="385"/>
    </row>
    <row r="191" spans="1:28" ht="18" customHeight="1" x14ac:dyDescent="0.2">
      <c r="A191" s="159" t="s">
        <v>459</v>
      </c>
      <c r="B191" s="150" t="s">
        <v>364</v>
      </c>
      <c r="C191" s="340">
        <f>D191</f>
        <v>0</v>
      </c>
      <c r="D191" s="339">
        <v>0</v>
      </c>
      <c r="E191" s="160"/>
      <c r="F191" s="160"/>
      <c r="G191" s="160"/>
      <c r="H191" s="340">
        <f>I191</f>
        <v>0</v>
      </c>
      <c r="I191" s="339">
        <v>0</v>
      </c>
      <c r="J191" s="160"/>
      <c r="K191" s="160"/>
      <c r="L191" s="160"/>
      <c r="M191" s="340">
        <f>N191</f>
        <v>10733</v>
      </c>
      <c r="N191" s="339">
        <v>10733</v>
      </c>
      <c r="O191" s="160"/>
      <c r="P191" s="160"/>
      <c r="Q191" s="160"/>
      <c r="R191" s="340">
        <f>S191</f>
        <v>0</v>
      </c>
      <c r="S191" s="339">
        <v>0</v>
      </c>
      <c r="T191" s="160"/>
      <c r="U191" s="160"/>
      <c r="V191" s="160"/>
      <c r="W191" s="340">
        <f>X191</f>
        <v>0</v>
      </c>
      <c r="X191" s="339">
        <v>0</v>
      </c>
      <c r="Y191" s="160"/>
      <c r="Z191" s="160"/>
      <c r="AA191" s="160"/>
      <c r="AB191" s="340">
        <f>C191+H191+M191+R191+W191</f>
        <v>10733</v>
      </c>
    </row>
    <row r="192" spans="1:28" ht="15.75" x14ac:dyDescent="0.2">
      <c r="A192" s="377" t="s">
        <v>552</v>
      </c>
      <c r="B192" s="141" t="s">
        <v>558</v>
      </c>
      <c r="C192" s="403">
        <f>D192</f>
        <v>0</v>
      </c>
      <c r="D192" s="415">
        <v>0</v>
      </c>
      <c r="E192" s="161"/>
      <c r="F192" s="161"/>
      <c r="G192" s="161"/>
      <c r="H192" s="403">
        <f>I192</f>
        <v>0</v>
      </c>
      <c r="I192" s="415">
        <v>0</v>
      </c>
      <c r="J192" s="161"/>
      <c r="K192" s="161"/>
      <c r="L192" s="161"/>
      <c r="M192" s="403">
        <f>N192</f>
        <v>296</v>
      </c>
      <c r="N192" s="415">
        <f>486-190</f>
        <v>296</v>
      </c>
      <c r="O192" s="161"/>
      <c r="P192" s="161"/>
      <c r="Q192" s="161"/>
      <c r="R192" s="403">
        <f>S192</f>
        <v>0</v>
      </c>
      <c r="S192" s="415">
        <v>0</v>
      </c>
      <c r="T192" s="161"/>
      <c r="U192" s="161"/>
      <c r="V192" s="161"/>
      <c r="W192" s="403">
        <f>X192</f>
        <v>0</v>
      </c>
      <c r="X192" s="415">
        <v>0</v>
      </c>
      <c r="Y192" s="161"/>
      <c r="Z192" s="161"/>
      <c r="AA192" s="161"/>
      <c r="AB192" s="403">
        <f>C192+H192+M192+R192+W192</f>
        <v>296</v>
      </c>
    </row>
    <row r="193" spans="1:30" ht="15.75" x14ac:dyDescent="0.2">
      <c r="A193" s="377"/>
      <c r="B193" s="142" t="s">
        <v>322</v>
      </c>
      <c r="C193" s="403"/>
      <c r="D193" s="415"/>
      <c r="E193" s="161"/>
      <c r="F193" s="161"/>
      <c r="G193" s="161"/>
      <c r="H193" s="403"/>
      <c r="I193" s="415"/>
      <c r="J193" s="161"/>
      <c r="K193" s="161"/>
      <c r="L193" s="161"/>
      <c r="M193" s="403"/>
      <c r="N193" s="415"/>
      <c r="O193" s="161"/>
      <c r="P193" s="161"/>
      <c r="Q193" s="161"/>
      <c r="R193" s="403"/>
      <c r="S193" s="415"/>
      <c r="T193" s="161"/>
      <c r="U193" s="161"/>
      <c r="V193" s="161"/>
      <c r="W193" s="403"/>
      <c r="X193" s="415"/>
      <c r="Y193" s="161"/>
      <c r="Z193" s="161"/>
      <c r="AA193" s="161"/>
      <c r="AB193" s="403"/>
    </row>
    <row r="194" spans="1:30" ht="15.75" x14ac:dyDescent="0.2">
      <c r="A194" s="377"/>
      <c r="B194" s="162" t="s">
        <v>785</v>
      </c>
      <c r="C194" s="403"/>
      <c r="D194" s="415"/>
      <c r="E194" s="161"/>
      <c r="F194" s="161"/>
      <c r="G194" s="161"/>
      <c r="H194" s="403"/>
      <c r="I194" s="415"/>
      <c r="J194" s="161"/>
      <c r="K194" s="161"/>
      <c r="L194" s="161"/>
      <c r="M194" s="403"/>
      <c r="N194" s="415"/>
      <c r="O194" s="161"/>
      <c r="P194" s="161"/>
      <c r="Q194" s="161"/>
      <c r="R194" s="403"/>
      <c r="S194" s="415"/>
      <c r="T194" s="161"/>
      <c r="U194" s="161"/>
      <c r="V194" s="161"/>
      <c r="W194" s="403"/>
      <c r="X194" s="415"/>
      <c r="Y194" s="161"/>
      <c r="Z194" s="161"/>
      <c r="AA194" s="161"/>
      <c r="AB194" s="403"/>
    </row>
    <row r="195" spans="1:30" ht="25.5" customHeight="1" x14ac:dyDescent="0.2">
      <c r="A195" s="321" t="s">
        <v>590</v>
      </c>
      <c r="B195" s="150" t="s">
        <v>614</v>
      </c>
      <c r="C195" s="337">
        <v>0</v>
      </c>
      <c r="D195" s="338">
        <v>0</v>
      </c>
      <c r="E195" s="161"/>
      <c r="F195" s="161"/>
      <c r="G195" s="161"/>
      <c r="H195" s="337">
        <v>0</v>
      </c>
      <c r="I195" s="338">
        <v>0</v>
      </c>
      <c r="J195" s="161"/>
      <c r="K195" s="161"/>
      <c r="L195" s="161"/>
      <c r="M195" s="337">
        <v>0</v>
      </c>
      <c r="N195" s="338">
        <v>0</v>
      </c>
      <c r="O195" s="161"/>
      <c r="P195" s="161"/>
      <c r="Q195" s="161"/>
      <c r="R195" s="337">
        <f>S195</f>
        <v>993</v>
      </c>
      <c r="S195" s="338">
        <v>993</v>
      </c>
      <c r="T195" s="161"/>
      <c r="U195" s="161"/>
      <c r="V195" s="161"/>
      <c r="W195" s="337">
        <f>X195</f>
        <v>1000</v>
      </c>
      <c r="X195" s="338">
        <v>1000</v>
      </c>
      <c r="Y195" s="161"/>
      <c r="Z195" s="161"/>
      <c r="AA195" s="161"/>
      <c r="AB195" s="337">
        <f>R195+W195</f>
        <v>1993</v>
      </c>
    </row>
    <row r="196" spans="1:30" ht="23.25" customHeight="1" x14ac:dyDescent="0.2">
      <c r="A196" s="159" t="s">
        <v>1356</v>
      </c>
      <c r="B196" s="138" t="s">
        <v>1420</v>
      </c>
      <c r="C196" s="381">
        <v>0</v>
      </c>
      <c r="D196" s="378">
        <v>0</v>
      </c>
      <c r="E196" s="161"/>
      <c r="F196" s="161"/>
      <c r="G196" s="161"/>
      <c r="H196" s="381">
        <v>0</v>
      </c>
      <c r="I196" s="378">
        <v>0</v>
      </c>
      <c r="J196" s="161"/>
      <c r="K196" s="161"/>
      <c r="L196" s="161"/>
      <c r="M196" s="381">
        <v>0</v>
      </c>
      <c r="N196" s="378">
        <v>0</v>
      </c>
      <c r="O196" s="161"/>
      <c r="P196" s="161"/>
      <c r="Q196" s="161"/>
      <c r="R196" s="381">
        <f>S196</f>
        <v>5751</v>
      </c>
      <c r="S196" s="378">
        <f>626+5125</f>
        <v>5751</v>
      </c>
      <c r="T196" s="161"/>
      <c r="U196" s="161"/>
      <c r="V196" s="161"/>
      <c r="W196" s="381">
        <f>X196</f>
        <v>0</v>
      </c>
      <c r="X196" s="378">
        <v>0</v>
      </c>
      <c r="Y196" s="161"/>
      <c r="Z196" s="161"/>
      <c r="AA196" s="161"/>
      <c r="AB196" s="381">
        <f>R196+W196</f>
        <v>5751</v>
      </c>
    </row>
    <row r="197" spans="1:30" ht="18.75" customHeight="1" x14ac:dyDescent="0.2">
      <c r="A197" s="333"/>
      <c r="B197" s="142" t="s">
        <v>373</v>
      </c>
      <c r="C197" s="382"/>
      <c r="D197" s="379"/>
      <c r="E197" s="161"/>
      <c r="F197" s="161"/>
      <c r="G197" s="161"/>
      <c r="H197" s="382"/>
      <c r="I197" s="379"/>
      <c r="J197" s="161"/>
      <c r="K197" s="161"/>
      <c r="L197" s="161"/>
      <c r="M197" s="382"/>
      <c r="N197" s="379"/>
      <c r="O197" s="161"/>
      <c r="P197" s="161"/>
      <c r="Q197" s="161"/>
      <c r="R197" s="382"/>
      <c r="S197" s="379"/>
      <c r="T197" s="161"/>
      <c r="U197" s="161"/>
      <c r="V197" s="161"/>
      <c r="W197" s="382"/>
      <c r="X197" s="379"/>
      <c r="Y197" s="161"/>
      <c r="Z197" s="161"/>
      <c r="AA197" s="161"/>
      <c r="AB197" s="382"/>
    </row>
    <row r="198" spans="1:30" ht="34.5" customHeight="1" x14ac:dyDescent="0.2">
      <c r="A198" s="333"/>
      <c r="B198" s="141" t="s">
        <v>1426</v>
      </c>
      <c r="C198" s="382"/>
      <c r="D198" s="379"/>
      <c r="E198" s="161"/>
      <c r="F198" s="161"/>
      <c r="G198" s="161"/>
      <c r="H198" s="382"/>
      <c r="I198" s="379"/>
      <c r="J198" s="161"/>
      <c r="K198" s="161"/>
      <c r="L198" s="161"/>
      <c r="M198" s="382"/>
      <c r="N198" s="379"/>
      <c r="O198" s="161"/>
      <c r="P198" s="161"/>
      <c r="Q198" s="161"/>
      <c r="R198" s="382"/>
      <c r="S198" s="379"/>
      <c r="T198" s="161"/>
      <c r="U198" s="161"/>
      <c r="V198" s="161"/>
      <c r="W198" s="382"/>
      <c r="X198" s="379"/>
      <c r="Y198" s="161"/>
      <c r="Z198" s="161"/>
      <c r="AA198" s="161"/>
      <c r="AB198" s="382"/>
    </row>
    <row r="199" spans="1:30" ht="18.75" customHeight="1" x14ac:dyDescent="0.2">
      <c r="A199" s="333"/>
      <c r="B199" s="141" t="s">
        <v>1421</v>
      </c>
      <c r="C199" s="382"/>
      <c r="D199" s="379"/>
      <c r="E199" s="161"/>
      <c r="F199" s="161"/>
      <c r="G199" s="161"/>
      <c r="H199" s="382"/>
      <c r="I199" s="379"/>
      <c r="J199" s="161"/>
      <c r="K199" s="161"/>
      <c r="L199" s="161"/>
      <c r="M199" s="382"/>
      <c r="N199" s="379"/>
      <c r="O199" s="161"/>
      <c r="P199" s="161"/>
      <c r="Q199" s="161"/>
      <c r="R199" s="382"/>
      <c r="S199" s="379"/>
      <c r="T199" s="161"/>
      <c r="U199" s="161"/>
      <c r="V199" s="161"/>
      <c r="W199" s="382"/>
      <c r="X199" s="379"/>
      <c r="Y199" s="161"/>
      <c r="Z199" s="161"/>
      <c r="AA199" s="161"/>
      <c r="AB199" s="382"/>
    </row>
    <row r="200" spans="1:30" ht="18.75" customHeight="1" x14ac:dyDescent="0.2">
      <c r="A200" s="333"/>
      <c r="B200" s="141" t="s">
        <v>1422</v>
      </c>
      <c r="C200" s="382"/>
      <c r="D200" s="379"/>
      <c r="E200" s="161"/>
      <c r="F200" s="161"/>
      <c r="G200" s="161"/>
      <c r="H200" s="382"/>
      <c r="I200" s="379"/>
      <c r="J200" s="161"/>
      <c r="K200" s="161"/>
      <c r="L200" s="161"/>
      <c r="M200" s="382"/>
      <c r="N200" s="379"/>
      <c r="O200" s="161"/>
      <c r="P200" s="161"/>
      <c r="Q200" s="161"/>
      <c r="R200" s="382"/>
      <c r="S200" s="379"/>
      <c r="T200" s="161"/>
      <c r="U200" s="161"/>
      <c r="V200" s="161"/>
      <c r="W200" s="382"/>
      <c r="X200" s="379"/>
      <c r="Y200" s="161"/>
      <c r="Z200" s="161"/>
      <c r="AA200" s="161"/>
      <c r="AB200" s="382"/>
    </row>
    <row r="201" spans="1:30" ht="18.75" customHeight="1" x14ac:dyDescent="0.2">
      <c r="A201" s="333"/>
      <c r="B201" s="141" t="s">
        <v>1423</v>
      </c>
      <c r="C201" s="382"/>
      <c r="D201" s="379"/>
      <c r="E201" s="161"/>
      <c r="F201" s="161"/>
      <c r="G201" s="161"/>
      <c r="H201" s="382"/>
      <c r="I201" s="379"/>
      <c r="J201" s="161"/>
      <c r="K201" s="161"/>
      <c r="L201" s="161"/>
      <c r="M201" s="382"/>
      <c r="N201" s="379"/>
      <c r="O201" s="161"/>
      <c r="P201" s="161"/>
      <c r="Q201" s="161"/>
      <c r="R201" s="382"/>
      <c r="S201" s="379"/>
      <c r="T201" s="161"/>
      <c r="U201" s="161"/>
      <c r="V201" s="161"/>
      <c r="W201" s="382"/>
      <c r="X201" s="379"/>
      <c r="Y201" s="161"/>
      <c r="Z201" s="161"/>
      <c r="AA201" s="161"/>
      <c r="AB201" s="382"/>
    </row>
    <row r="202" spans="1:30" ht="18.75" customHeight="1" x14ac:dyDescent="0.2">
      <c r="A202" s="333"/>
      <c r="B202" s="141" t="s">
        <v>1424</v>
      </c>
      <c r="C202" s="382"/>
      <c r="D202" s="379"/>
      <c r="E202" s="161"/>
      <c r="F202" s="161"/>
      <c r="G202" s="161"/>
      <c r="H202" s="382"/>
      <c r="I202" s="379"/>
      <c r="J202" s="161"/>
      <c r="K202" s="161"/>
      <c r="L202" s="161"/>
      <c r="M202" s="382"/>
      <c r="N202" s="379"/>
      <c r="O202" s="161"/>
      <c r="P202" s="161"/>
      <c r="Q202" s="161"/>
      <c r="R202" s="382"/>
      <c r="S202" s="379"/>
      <c r="T202" s="161"/>
      <c r="U202" s="161"/>
      <c r="V202" s="161"/>
      <c r="W202" s="382"/>
      <c r="X202" s="379"/>
      <c r="Y202" s="161"/>
      <c r="Z202" s="161"/>
      <c r="AA202" s="161"/>
      <c r="AB202" s="382"/>
    </row>
    <row r="203" spans="1:30" ht="24" customHeight="1" x14ac:dyDescent="0.2">
      <c r="A203" s="163"/>
      <c r="B203" s="162" t="s">
        <v>1425</v>
      </c>
      <c r="C203" s="383"/>
      <c r="D203" s="380"/>
      <c r="E203" s="161"/>
      <c r="F203" s="161"/>
      <c r="G203" s="161"/>
      <c r="H203" s="383"/>
      <c r="I203" s="380"/>
      <c r="J203" s="161"/>
      <c r="K203" s="161"/>
      <c r="L203" s="161"/>
      <c r="M203" s="383"/>
      <c r="N203" s="380"/>
      <c r="O203" s="161"/>
      <c r="P203" s="161"/>
      <c r="Q203" s="161"/>
      <c r="R203" s="383"/>
      <c r="S203" s="380"/>
      <c r="T203" s="161"/>
      <c r="U203" s="161"/>
      <c r="V203" s="161"/>
      <c r="W203" s="383"/>
      <c r="X203" s="380"/>
      <c r="Y203" s="161"/>
      <c r="Z203" s="161"/>
      <c r="AA203" s="161"/>
      <c r="AB203" s="383"/>
    </row>
    <row r="204" spans="1:30" ht="42" customHeight="1" x14ac:dyDescent="0.2">
      <c r="A204" s="164" t="s">
        <v>10</v>
      </c>
      <c r="B204" s="404" t="s">
        <v>460</v>
      </c>
      <c r="C204" s="405"/>
      <c r="D204" s="405"/>
      <c r="E204" s="405"/>
      <c r="F204" s="405"/>
      <c r="G204" s="405"/>
      <c r="H204" s="405"/>
      <c r="I204" s="405"/>
      <c r="J204" s="405"/>
      <c r="K204" s="405"/>
      <c r="L204" s="405"/>
      <c r="M204" s="405"/>
      <c r="N204" s="405"/>
      <c r="O204" s="405"/>
      <c r="P204" s="405"/>
      <c r="Q204" s="405"/>
      <c r="R204" s="405"/>
      <c r="S204" s="405"/>
      <c r="T204" s="405"/>
      <c r="U204" s="405"/>
      <c r="V204" s="405"/>
      <c r="W204" s="405"/>
      <c r="X204" s="405"/>
      <c r="Y204" s="405"/>
      <c r="Z204" s="405"/>
      <c r="AA204" s="405"/>
      <c r="AB204" s="405"/>
      <c r="AC204" s="59"/>
      <c r="AD204" s="60"/>
    </row>
    <row r="205" spans="1:30" ht="15" customHeight="1" x14ac:dyDescent="0.2">
      <c r="A205" s="393" t="s">
        <v>11</v>
      </c>
      <c r="B205" s="138" t="s">
        <v>224</v>
      </c>
      <c r="C205" s="384">
        <f>D205</f>
        <v>51269</v>
      </c>
      <c r="D205" s="388">
        <v>51269</v>
      </c>
      <c r="E205" s="165"/>
      <c r="F205" s="165"/>
      <c r="G205" s="165"/>
      <c r="H205" s="384">
        <f>I205</f>
        <v>13924</v>
      </c>
      <c r="I205" s="388">
        <f>13924</f>
        <v>13924</v>
      </c>
      <c r="J205" s="165"/>
      <c r="K205" s="165"/>
      <c r="L205" s="165"/>
      <c r="M205" s="384">
        <f>N205</f>
        <v>35262</v>
      </c>
      <c r="N205" s="388">
        <f>11888+2036+1353+2370+4401+11012+1873+329</f>
        <v>35262</v>
      </c>
      <c r="O205" s="166"/>
      <c r="P205" s="166"/>
      <c r="Q205" s="166"/>
      <c r="R205" s="384">
        <f>S205</f>
        <v>45752</v>
      </c>
      <c r="S205" s="388">
        <f>13924-11424+9529+1838+109+31404-2310+2310-477-227+743+596-390+127</f>
        <v>45752</v>
      </c>
      <c r="T205" s="165"/>
      <c r="U205" s="165"/>
      <c r="V205" s="165"/>
      <c r="W205" s="384">
        <f>X205</f>
        <v>10769</v>
      </c>
      <c r="X205" s="388">
        <f>29000+781-27281-2+8271</f>
        <v>10769</v>
      </c>
      <c r="Y205" s="165"/>
      <c r="Z205" s="165"/>
      <c r="AA205" s="165"/>
      <c r="AB205" s="384">
        <f>C205+H205+M205+R205+W205</f>
        <v>156976</v>
      </c>
    </row>
    <row r="206" spans="1:30" ht="15" customHeight="1" x14ac:dyDescent="0.2">
      <c r="A206" s="394"/>
      <c r="B206" s="139" t="s">
        <v>155</v>
      </c>
      <c r="C206" s="385"/>
      <c r="D206" s="389"/>
      <c r="E206" s="165"/>
      <c r="F206" s="165"/>
      <c r="G206" s="165"/>
      <c r="H206" s="385"/>
      <c r="I206" s="389"/>
      <c r="J206" s="165"/>
      <c r="K206" s="165"/>
      <c r="L206" s="165"/>
      <c r="M206" s="385"/>
      <c r="N206" s="389"/>
      <c r="O206" s="166"/>
      <c r="P206" s="166"/>
      <c r="Q206" s="166"/>
      <c r="R206" s="385"/>
      <c r="S206" s="389"/>
      <c r="T206" s="165"/>
      <c r="U206" s="165"/>
      <c r="V206" s="165"/>
      <c r="W206" s="385"/>
      <c r="X206" s="389"/>
      <c r="Y206" s="165"/>
      <c r="Z206" s="165"/>
      <c r="AA206" s="165"/>
      <c r="AB206" s="385"/>
    </row>
    <row r="207" spans="1:30" ht="15" customHeight="1" x14ac:dyDescent="0.2">
      <c r="A207" s="394"/>
      <c r="B207" s="140" t="s">
        <v>786</v>
      </c>
      <c r="C207" s="385"/>
      <c r="D207" s="389"/>
      <c r="E207" s="165"/>
      <c r="F207" s="165"/>
      <c r="G207" s="165"/>
      <c r="H207" s="385"/>
      <c r="I207" s="389"/>
      <c r="J207" s="165"/>
      <c r="K207" s="165"/>
      <c r="L207" s="165"/>
      <c r="M207" s="385"/>
      <c r="N207" s="389"/>
      <c r="O207" s="166"/>
      <c r="P207" s="166"/>
      <c r="Q207" s="166"/>
      <c r="R207" s="385"/>
      <c r="S207" s="389"/>
      <c r="T207" s="165"/>
      <c r="U207" s="165"/>
      <c r="V207" s="165"/>
      <c r="W207" s="385"/>
      <c r="X207" s="389"/>
      <c r="Y207" s="165"/>
      <c r="Z207" s="165"/>
      <c r="AA207" s="165"/>
      <c r="AB207" s="385"/>
    </row>
    <row r="208" spans="1:30" ht="18" customHeight="1" x14ac:dyDescent="0.2">
      <c r="A208" s="394"/>
      <c r="B208" s="140" t="s">
        <v>787</v>
      </c>
      <c r="C208" s="385"/>
      <c r="D208" s="389"/>
      <c r="E208" s="165"/>
      <c r="F208" s="165"/>
      <c r="G208" s="165"/>
      <c r="H208" s="385"/>
      <c r="I208" s="389"/>
      <c r="J208" s="165"/>
      <c r="K208" s="165"/>
      <c r="L208" s="165"/>
      <c r="M208" s="385"/>
      <c r="N208" s="389"/>
      <c r="O208" s="166"/>
      <c r="P208" s="166"/>
      <c r="Q208" s="166"/>
      <c r="R208" s="385"/>
      <c r="S208" s="389"/>
      <c r="T208" s="165"/>
      <c r="U208" s="165"/>
      <c r="V208" s="165"/>
      <c r="W208" s="385"/>
      <c r="X208" s="389"/>
      <c r="Y208" s="165"/>
      <c r="Z208" s="165"/>
      <c r="AA208" s="165"/>
      <c r="AB208" s="385"/>
    </row>
    <row r="209" spans="1:28" ht="18" customHeight="1" x14ac:dyDescent="0.2">
      <c r="A209" s="394"/>
      <c r="B209" s="140" t="s">
        <v>788</v>
      </c>
      <c r="C209" s="385"/>
      <c r="D209" s="389"/>
      <c r="E209" s="165"/>
      <c r="F209" s="165"/>
      <c r="G209" s="165"/>
      <c r="H209" s="385"/>
      <c r="I209" s="389"/>
      <c r="J209" s="165"/>
      <c r="K209" s="165"/>
      <c r="L209" s="165"/>
      <c r="M209" s="385"/>
      <c r="N209" s="389"/>
      <c r="O209" s="166"/>
      <c r="P209" s="166"/>
      <c r="Q209" s="166"/>
      <c r="R209" s="385"/>
      <c r="S209" s="389"/>
      <c r="T209" s="165"/>
      <c r="U209" s="165"/>
      <c r="V209" s="165"/>
      <c r="W209" s="385"/>
      <c r="X209" s="389"/>
      <c r="Y209" s="165"/>
      <c r="Z209" s="165"/>
      <c r="AA209" s="165"/>
      <c r="AB209" s="385"/>
    </row>
    <row r="210" spans="1:28" ht="18" customHeight="1" x14ac:dyDescent="0.2">
      <c r="A210" s="394"/>
      <c r="B210" s="140" t="s">
        <v>789</v>
      </c>
      <c r="C210" s="385"/>
      <c r="D210" s="389"/>
      <c r="E210" s="165"/>
      <c r="F210" s="165"/>
      <c r="G210" s="165"/>
      <c r="H210" s="385"/>
      <c r="I210" s="389"/>
      <c r="J210" s="165"/>
      <c r="K210" s="165"/>
      <c r="L210" s="165"/>
      <c r="M210" s="385"/>
      <c r="N210" s="389"/>
      <c r="O210" s="166"/>
      <c r="P210" s="166"/>
      <c r="Q210" s="166"/>
      <c r="R210" s="385"/>
      <c r="S210" s="389"/>
      <c r="T210" s="165"/>
      <c r="U210" s="165"/>
      <c r="V210" s="165"/>
      <c r="W210" s="385"/>
      <c r="X210" s="389"/>
      <c r="Y210" s="165"/>
      <c r="Z210" s="165"/>
      <c r="AA210" s="165"/>
      <c r="AB210" s="385"/>
    </row>
    <row r="211" spans="1:28" ht="18" customHeight="1" x14ac:dyDescent="0.2">
      <c r="A211" s="391"/>
      <c r="B211" s="140" t="s">
        <v>790</v>
      </c>
      <c r="C211" s="385"/>
      <c r="D211" s="389"/>
      <c r="E211" s="165"/>
      <c r="F211" s="165"/>
      <c r="G211" s="165"/>
      <c r="H211" s="385"/>
      <c r="I211" s="389"/>
      <c r="J211" s="165"/>
      <c r="K211" s="165"/>
      <c r="L211" s="165"/>
      <c r="M211" s="385"/>
      <c r="N211" s="389"/>
      <c r="O211" s="166"/>
      <c r="P211" s="166"/>
      <c r="Q211" s="166"/>
      <c r="R211" s="382"/>
      <c r="S211" s="379"/>
      <c r="T211" s="166"/>
      <c r="U211" s="166"/>
      <c r="V211" s="166"/>
      <c r="W211" s="382"/>
      <c r="X211" s="379"/>
      <c r="Y211" s="166"/>
      <c r="Z211" s="166"/>
      <c r="AA211" s="166"/>
      <c r="AB211" s="382"/>
    </row>
    <row r="212" spans="1:28" ht="15" customHeight="1" x14ac:dyDescent="0.2">
      <c r="A212" s="391"/>
      <c r="B212" s="140" t="s">
        <v>791</v>
      </c>
      <c r="C212" s="385"/>
      <c r="D212" s="389"/>
      <c r="E212" s="165"/>
      <c r="F212" s="165"/>
      <c r="G212" s="165"/>
      <c r="H212" s="385"/>
      <c r="I212" s="389"/>
      <c r="J212" s="165"/>
      <c r="K212" s="165"/>
      <c r="L212" s="165"/>
      <c r="M212" s="385"/>
      <c r="N212" s="389"/>
      <c r="O212" s="166"/>
      <c r="P212" s="166"/>
      <c r="Q212" s="166"/>
      <c r="R212" s="382"/>
      <c r="S212" s="379"/>
      <c r="T212" s="166"/>
      <c r="U212" s="166"/>
      <c r="V212" s="166"/>
      <c r="W212" s="382"/>
      <c r="X212" s="379"/>
      <c r="Y212" s="166"/>
      <c r="Z212" s="166"/>
      <c r="AA212" s="166"/>
      <c r="AB212" s="382"/>
    </row>
    <row r="213" spans="1:28" ht="18" customHeight="1" x14ac:dyDescent="0.2">
      <c r="A213" s="391"/>
      <c r="B213" s="140" t="s">
        <v>792</v>
      </c>
      <c r="C213" s="385"/>
      <c r="D213" s="389"/>
      <c r="E213" s="165"/>
      <c r="F213" s="165"/>
      <c r="G213" s="165"/>
      <c r="H213" s="385"/>
      <c r="I213" s="389"/>
      <c r="J213" s="165"/>
      <c r="K213" s="165"/>
      <c r="L213" s="165"/>
      <c r="M213" s="385"/>
      <c r="N213" s="389"/>
      <c r="O213" s="166"/>
      <c r="P213" s="166"/>
      <c r="Q213" s="166"/>
      <c r="R213" s="382"/>
      <c r="S213" s="379"/>
      <c r="T213" s="166"/>
      <c r="U213" s="166"/>
      <c r="V213" s="166"/>
      <c r="W213" s="382"/>
      <c r="X213" s="379"/>
      <c r="Y213" s="166"/>
      <c r="Z213" s="166"/>
      <c r="AA213" s="166"/>
      <c r="AB213" s="382"/>
    </row>
    <row r="214" spans="1:28" ht="18.75" customHeight="1" x14ac:dyDescent="0.2">
      <c r="A214" s="391"/>
      <c r="B214" s="140" t="s">
        <v>793</v>
      </c>
      <c r="C214" s="385"/>
      <c r="D214" s="389"/>
      <c r="E214" s="165"/>
      <c r="F214" s="165"/>
      <c r="G214" s="165"/>
      <c r="H214" s="385"/>
      <c r="I214" s="389"/>
      <c r="J214" s="165"/>
      <c r="K214" s="165"/>
      <c r="L214" s="165"/>
      <c r="M214" s="385"/>
      <c r="N214" s="389"/>
      <c r="O214" s="166"/>
      <c r="P214" s="166"/>
      <c r="Q214" s="166"/>
      <c r="R214" s="382"/>
      <c r="S214" s="379"/>
      <c r="T214" s="166"/>
      <c r="U214" s="166"/>
      <c r="V214" s="166"/>
      <c r="W214" s="382"/>
      <c r="X214" s="379"/>
      <c r="Y214" s="166"/>
      <c r="Z214" s="166"/>
      <c r="AA214" s="166"/>
      <c r="AB214" s="382"/>
    </row>
    <row r="215" spans="1:28" ht="15.75" customHeight="1" x14ac:dyDescent="0.2">
      <c r="A215" s="391"/>
      <c r="B215" s="140" t="s">
        <v>794</v>
      </c>
      <c r="C215" s="385"/>
      <c r="D215" s="389"/>
      <c r="E215" s="165"/>
      <c r="F215" s="165"/>
      <c r="G215" s="165"/>
      <c r="H215" s="385"/>
      <c r="I215" s="389"/>
      <c r="J215" s="165"/>
      <c r="K215" s="165"/>
      <c r="L215" s="165"/>
      <c r="M215" s="385"/>
      <c r="N215" s="389"/>
      <c r="O215" s="166"/>
      <c r="P215" s="166"/>
      <c r="Q215" s="166"/>
      <c r="R215" s="382"/>
      <c r="S215" s="379"/>
      <c r="T215" s="166"/>
      <c r="U215" s="166"/>
      <c r="V215" s="166"/>
      <c r="W215" s="382"/>
      <c r="X215" s="379"/>
      <c r="Y215" s="166"/>
      <c r="Z215" s="166"/>
      <c r="AA215" s="166"/>
      <c r="AB215" s="382"/>
    </row>
    <row r="216" spans="1:28" ht="15" customHeight="1" x14ac:dyDescent="0.2">
      <c r="A216" s="391"/>
      <c r="B216" s="140" t="s">
        <v>795</v>
      </c>
      <c r="C216" s="385"/>
      <c r="D216" s="389"/>
      <c r="E216" s="165"/>
      <c r="F216" s="165"/>
      <c r="G216" s="165"/>
      <c r="H216" s="385"/>
      <c r="I216" s="389"/>
      <c r="J216" s="165"/>
      <c r="K216" s="165"/>
      <c r="L216" s="165"/>
      <c r="M216" s="385"/>
      <c r="N216" s="389"/>
      <c r="O216" s="166"/>
      <c r="P216" s="166"/>
      <c r="Q216" s="166"/>
      <c r="R216" s="382"/>
      <c r="S216" s="379"/>
      <c r="T216" s="166"/>
      <c r="U216" s="166"/>
      <c r="V216" s="166"/>
      <c r="W216" s="382"/>
      <c r="X216" s="379"/>
      <c r="Y216" s="166"/>
      <c r="Z216" s="166"/>
      <c r="AA216" s="166"/>
      <c r="AB216" s="382"/>
    </row>
    <row r="217" spans="1:28" ht="12" customHeight="1" x14ac:dyDescent="0.2">
      <c r="A217" s="391"/>
      <c r="B217" s="140" t="s">
        <v>796</v>
      </c>
      <c r="C217" s="385"/>
      <c r="D217" s="389"/>
      <c r="E217" s="165"/>
      <c r="F217" s="165"/>
      <c r="G217" s="165"/>
      <c r="H217" s="385"/>
      <c r="I217" s="389"/>
      <c r="J217" s="165"/>
      <c r="K217" s="165"/>
      <c r="L217" s="165"/>
      <c r="M217" s="385"/>
      <c r="N217" s="389"/>
      <c r="O217" s="166"/>
      <c r="P217" s="166"/>
      <c r="Q217" s="166"/>
      <c r="R217" s="382"/>
      <c r="S217" s="379"/>
      <c r="T217" s="166"/>
      <c r="U217" s="166"/>
      <c r="V217" s="166"/>
      <c r="W217" s="382"/>
      <c r="X217" s="379"/>
      <c r="Y217" s="166"/>
      <c r="Z217" s="166"/>
      <c r="AA217" s="166"/>
      <c r="AB217" s="382"/>
    </row>
    <row r="218" spans="1:28" ht="18" customHeight="1" x14ac:dyDescent="0.2">
      <c r="A218" s="391"/>
      <c r="B218" s="140" t="s">
        <v>797</v>
      </c>
      <c r="C218" s="385"/>
      <c r="D218" s="389"/>
      <c r="E218" s="165"/>
      <c r="F218" s="165"/>
      <c r="G218" s="165"/>
      <c r="H218" s="385"/>
      <c r="I218" s="389"/>
      <c r="J218" s="165"/>
      <c r="K218" s="165"/>
      <c r="L218" s="165"/>
      <c r="M218" s="385"/>
      <c r="N218" s="389"/>
      <c r="O218" s="166"/>
      <c r="P218" s="166"/>
      <c r="Q218" s="166"/>
      <c r="R218" s="382"/>
      <c r="S218" s="379"/>
      <c r="T218" s="166"/>
      <c r="U218" s="166"/>
      <c r="V218" s="166"/>
      <c r="W218" s="382"/>
      <c r="X218" s="379"/>
      <c r="Y218" s="166"/>
      <c r="Z218" s="166"/>
      <c r="AA218" s="166"/>
      <c r="AB218" s="382"/>
    </row>
    <row r="219" spans="1:28" ht="18" customHeight="1" x14ac:dyDescent="0.2">
      <c r="A219" s="391"/>
      <c r="B219" s="140" t="s">
        <v>798</v>
      </c>
      <c r="C219" s="385"/>
      <c r="D219" s="389"/>
      <c r="E219" s="165"/>
      <c r="F219" s="165"/>
      <c r="G219" s="165"/>
      <c r="H219" s="385"/>
      <c r="I219" s="389"/>
      <c r="J219" s="165"/>
      <c r="K219" s="165"/>
      <c r="L219" s="165"/>
      <c r="M219" s="385"/>
      <c r="N219" s="389"/>
      <c r="O219" s="166"/>
      <c r="P219" s="166"/>
      <c r="Q219" s="166"/>
      <c r="R219" s="382"/>
      <c r="S219" s="379"/>
      <c r="T219" s="166"/>
      <c r="U219" s="166"/>
      <c r="V219" s="166"/>
      <c r="W219" s="382"/>
      <c r="X219" s="379"/>
      <c r="Y219" s="166"/>
      <c r="Z219" s="166"/>
      <c r="AA219" s="166"/>
      <c r="AB219" s="382"/>
    </row>
    <row r="220" spans="1:28" ht="18" customHeight="1" x14ac:dyDescent="0.2">
      <c r="A220" s="391"/>
      <c r="B220" s="140" t="s">
        <v>799</v>
      </c>
      <c r="C220" s="385"/>
      <c r="D220" s="389"/>
      <c r="E220" s="165"/>
      <c r="F220" s="165"/>
      <c r="G220" s="165"/>
      <c r="H220" s="385"/>
      <c r="I220" s="389"/>
      <c r="J220" s="165"/>
      <c r="K220" s="165"/>
      <c r="L220" s="165"/>
      <c r="M220" s="385"/>
      <c r="N220" s="389"/>
      <c r="O220" s="166"/>
      <c r="P220" s="166"/>
      <c r="Q220" s="166"/>
      <c r="R220" s="382"/>
      <c r="S220" s="379"/>
      <c r="T220" s="166"/>
      <c r="U220" s="166"/>
      <c r="V220" s="166"/>
      <c r="W220" s="382"/>
      <c r="X220" s="379"/>
      <c r="Y220" s="166"/>
      <c r="Z220" s="166"/>
      <c r="AA220" s="166"/>
      <c r="AB220" s="382"/>
    </row>
    <row r="221" spans="1:28" ht="18" customHeight="1" x14ac:dyDescent="0.2">
      <c r="A221" s="391"/>
      <c r="B221" s="140" t="s">
        <v>800</v>
      </c>
      <c r="C221" s="385"/>
      <c r="D221" s="389"/>
      <c r="E221" s="165"/>
      <c r="F221" s="165"/>
      <c r="G221" s="165"/>
      <c r="H221" s="385"/>
      <c r="I221" s="389"/>
      <c r="J221" s="165"/>
      <c r="K221" s="165"/>
      <c r="L221" s="165"/>
      <c r="M221" s="385"/>
      <c r="N221" s="389"/>
      <c r="O221" s="166"/>
      <c r="P221" s="166"/>
      <c r="Q221" s="166"/>
      <c r="R221" s="382"/>
      <c r="S221" s="379"/>
      <c r="T221" s="166"/>
      <c r="U221" s="166"/>
      <c r="V221" s="166"/>
      <c r="W221" s="382"/>
      <c r="X221" s="379"/>
      <c r="Y221" s="166"/>
      <c r="Z221" s="166"/>
      <c r="AA221" s="166"/>
      <c r="AB221" s="382"/>
    </row>
    <row r="222" spans="1:28" ht="18" customHeight="1" x14ac:dyDescent="0.2">
      <c r="A222" s="391"/>
      <c r="B222" s="141" t="s">
        <v>801</v>
      </c>
      <c r="C222" s="385"/>
      <c r="D222" s="389"/>
      <c r="E222" s="165"/>
      <c r="F222" s="165"/>
      <c r="G222" s="165"/>
      <c r="H222" s="385"/>
      <c r="I222" s="389"/>
      <c r="J222" s="165"/>
      <c r="K222" s="165"/>
      <c r="L222" s="165"/>
      <c r="M222" s="385"/>
      <c r="N222" s="389"/>
      <c r="O222" s="166"/>
      <c r="P222" s="166"/>
      <c r="Q222" s="166"/>
      <c r="R222" s="382"/>
      <c r="S222" s="379"/>
      <c r="T222" s="166"/>
      <c r="U222" s="166"/>
      <c r="V222" s="166"/>
      <c r="W222" s="382"/>
      <c r="X222" s="379"/>
      <c r="Y222" s="166"/>
      <c r="Z222" s="166"/>
      <c r="AA222" s="166"/>
      <c r="AB222" s="382"/>
    </row>
    <row r="223" spans="1:28" ht="18" customHeight="1" x14ac:dyDescent="0.2">
      <c r="A223" s="391"/>
      <c r="B223" s="140" t="s">
        <v>802</v>
      </c>
      <c r="C223" s="385"/>
      <c r="D223" s="389"/>
      <c r="E223" s="165"/>
      <c r="F223" s="165"/>
      <c r="G223" s="165"/>
      <c r="H223" s="385"/>
      <c r="I223" s="389"/>
      <c r="J223" s="165"/>
      <c r="K223" s="165"/>
      <c r="L223" s="165"/>
      <c r="M223" s="385"/>
      <c r="N223" s="389"/>
      <c r="O223" s="166"/>
      <c r="P223" s="166"/>
      <c r="Q223" s="166"/>
      <c r="R223" s="382"/>
      <c r="S223" s="379"/>
      <c r="T223" s="166"/>
      <c r="U223" s="166"/>
      <c r="V223" s="166"/>
      <c r="W223" s="382"/>
      <c r="X223" s="379"/>
      <c r="Y223" s="166"/>
      <c r="Z223" s="166"/>
      <c r="AA223" s="166"/>
      <c r="AB223" s="382"/>
    </row>
    <row r="224" spans="1:28" ht="18" customHeight="1" x14ac:dyDescent="0.2">
      <c r="A224" s="391"/>
      <c r="B224" s="140" t="s">
        <v>803</v>
      </c>
      <c r="C224" s="385"/>
      <c r="D224" s="389"/>
      <c r="E224" s="165"/>
      <c r="F224" s="165"/>
      <c r="G224" s="165"/>
      <c r="H224" s="385"/>
      <c r="I224" s="389"/>
      <c r="J224" s="165"/>
      <c r="K224" s="165"/>
      <c r="L224" s="165"/>
      <c r="M224" s="385"/>
      <c r="N224" s="389"/>
      <c r="O224" s="166"/>
      <c r="P224" s="166"/>
      <c r="Q224" s="166"/>
      <c r="R224" s="382"/>
      <c r="S224" s="379"/>
      <c r="T224" s="166"/>
      <c r="U224" s="166"/>
      <c r="V224" s="166"/>
      <c r="W224" s="382"/>
      <c r="X224" s="379"/>
      <c r="Y224" s="166"/>
      <c r="Z224" s="166"/>
      <c r="AA224" s="166"/>
      <c r="AB224" s="382"/>
    </row>
    <row r="225" spans="1:28" ht="18" customHeight="1" x14ac:dyDescent="0.2">
      <c r="A225" s="391"/>
      <c r="B225" s="140" t="s">
        <v>804</v>
      </c>
      <c r="C225" s="385"/>
      <c r="D225" s="389"/>
      <c r="E225" s="165"/>
      <c r="F225" s="165"/>
      <c r="G225" s="165"/>
      <c r="H225" s="385"/>
      <c r="I225" s="389"/>
      <c r="J225" s="165"/>
      <c r="K225" s="165"/>
      <c r="L225" s="165"/>
      <c r="M225" s="385"/>
      <c r="N225" s="389"/>
      <c r="O225" s="166"/>
      <c r="P225" s="166"/>
      <c r="Q225" s="166"/>
      <c r="R225" s="382"/>
      <c r="S225" s="379"/>
      <c r="T225" s="166"/>
      <c r="U225" s="166"/>
      <c r="V225" s="166"/>
      <c r="W225" s="382"/>
      <c r="X225" s="379"/>
      <c r="Y225" s="166"/>
      <c r="Z225" s="166"/>
      <c r="AA225" s="166"/>
      <c r="AB225" s="382"/>
    </row>
    <row r="226" spans="1:28" ht="18" customHeight="1" x14ac:dyDescent="0.2">
      <c r="A226" s="391"/>
      <c r="B226" s="140" t="s">
        <v>805</v>
      </c>
      <c r="C226" s="385"/>
      <c r="D226" s="389"/>
      <c r="E226" s="165"/>
      <c r="F226" s="165"/>
      <c r="G226" s="165"/>
      <c r="H226" s="385"/>
      <c r="I226" s="389"/>
      <c r="J226" s="165"/>
      <c r="K226" s="165"/>
      <c r="L226" s="165"/>
      <c r="M226" s="385"/>
      <c r="N226" s="389"/>
      <c r="O226" s="166"/>
      <c r="P226" s="166"/>
      <c r="Q226" s="166"/>
      <c r="R226" s="382"/>
      <c r="S226" s="379"/>
      <c r="T226" s="166"/>
      <c r="U226" s="166"/>
      <c r="V226" s="166"/>
      <c r="W226" s="382"/>
      <c r="X226" s="379"/>
      <c r="Y226" s="166"/>
      <c r="Z226" s="166"/>
      <c r="AA226" s="166"/>
      <c r="AB226" s="382"/>
    </row>
    <row r="227" spans="1:28" ht="18" customHeight="1" x14ac:dyDescent="0.2">
      <c r="A227" s="391"/>
      <c r="B227" s="140" t="s">
        <v>812</v>
      </c>
      <c r="C227" s="385"/>
      <c r="D227" s="389"/>
      <c r="E227" s="165"/>
      <c r="F227" s="165"/>
      <c r="G227" s="165"/>
      <c r="H227" s="385"/>
      <c r="I227" s="389"/>
      <c r="J227" s="165"/>
      <c r="K227" s="165"/>
      <c r="L227" s="165"/>
      <c r="M227" s="385"/>
      <c r="N227" s="389"/>
      <c r="O227" s="166"/>
      <c r="P227" s="166"/>
      <c r="Q227" s="166"/>
      <c r="R227" s="382"/>
      <c r="S227" s="379"/>
      <c r="T227" s="166"/>
      <c r="U227" s="166"/>
      <c r="V227" s="166"/>
      <c r="W227" s="382"/>
      <c r="X227" s="379"/>
      <c r="Y227" s="166"/>
      <c r="Z227" s="166"/>
      <c r="AA227" s="166"/>
      <c r="AB227" s="382"/>
    </row>
    <row r="228" spans="1:28" ht="18" customHeight="1" x14ac:dyDescent="0.2">
      <c r="A228" s="391"/>
      <c r="B228" s="140" t="s">
        <v>806</v>
      </c>
      <c r="C228" s="385"/>
      <c r="D228" s="389"/>
      <c r="E228" s="165"/>
      <c r="F228" s="165"/>
      <c r="G228" s="165"/>
      <c r="H228" s="385"/>
      <c r="I228" s="389"/>
      <c r="J228" s="165"/>
      <c r="K228" s="165"/>
      <c r="L228" s="165"/>
      <c r="M228" s="385"/>
      <c r="N228" s="389"/>
      <c r="O228" s="166"/>
      <c r="P228" s="166"/>
      <c r="Q228" s="166"/>
      <c r="R228" s="382"/>
      <c r="S228" s="379"/>
      <c r="T228" s="166"/>
      <c r="U228" s="166"/>
      <c r="V228" s="166"/>
      <c r="W228" s="382"/>
      <c r="X228" s="379"/>
      <c r="Y228" s="166"/>
      <c r="Z228" s="166"/>
      <c r="AA228" s="166"/>
      <c r="AB228" s="382"/>
    </row>
    <row r="229" spans="1:28" ht="20.25" customHeight="1" x14ac:dyDescent="0.2">
      <c r="A229" s="391"/>
      <c r="B229" s="140" t="s">
        <v>807</v>
      </c>
      <c r="C229" s="385"/>
      <c r="D229" s="389"/>
      <c r="E229" s="165"/>
      <c r="F229" s="165"/>
      <c r="G229" s="165"/>
      <c r="H229" s="385"/>
      <c r="I229" s="389"/>
      <c r="J229" s="165"/>
      <c r="K229" s="165"/>
      <c r="L229" s="165"/>
      <c r="M229" s="385"/>
      <c r="N229" s="389"/>
      <c r="O229" s="166"/>
      <c r="P229" s="166"/>
      <c r="Q229" s="166"/>
      <c r="R229" s="382"/>
      <c r="S229" s="379"/>
      <c r="T229" s="166"/>
      <c r="U229" s="166"/>
      <c r="V229" s="166"/>
      <c r="W229" s="382"/>
      <c r="X229" s="379"/>
      <c r="Y229" s="166"/>
      <c r="Z229" s="166"/>
      <c r="AA229" s="166"/>
      <c r="AB229" s="382"/>
    </row>
    <row r="230" spans="1:28" ht="18" customHeight="1" x14ac:dyDescent="0.2">
      <c r="A230" s="391"/>
      <c r="B230" s="140" t="s">
        <v>808</v>
      </c>
      <c r="C230" s="385"/>
      <c r="D230" s="389"/>
      <c r="E230" s="165"/>
      <c r="F230" s="165"/>
      <c r="G230" s="165"/>
      <c r="H230" s="385"/>
      <c r="I230" s="389"/>
      <c r="J230" s="165"/>
      <c r="K230" s="165"/>
      <c r="L230" s="165"/>
      <c r="M230" s="385"/>
      <c r="N230" s="389"/>
      <c r="O230" s="166"/>
      <c r="P230" s="166"/>
      <c r="Q230" s="166"/>
      <c r="R230" s="382"/>
      <c r="S230" s="379"/>
      <c r="T230" s="166"/>
      <c r="U230" s="166"/>
      <c r="V230" s="166"/>
      <c r="W230" s="382"/>
      <c r="X230" s="379"/>
      <c r="Y230" s="166"/>
      <c r="Z230" s="166"/>
      <c r="AA230" s="166"/>
      <c r="AB230" s="382"/>
    </row>
    <row r="231" spans="1:28" ht="18" customHeight="1" x14ac:dyDescent="0.2">
      <c r="A231" s="391"/>
      <c r="B231" s="140" t="s">
        <v>809</v>
      </c>
      <c r="C231" s="385"/>
      <c r="D231" s="389"/>
      <c r="E231" s="165"/>
      <c r="F231" s="165"/>
      <c r="G231" s="165"/>
      <c r="H231" s="385"/>
      <c r="I231" s="389"/>
      <c r="J231" s="165"/>
      <c r="K231" s="165"/>
      <c r="L231" s="165"/>
      <c r="M231" s="385"/>
      <c r="N231" s="389"/>
      <c r="O231" s="166"/>
      <c r="P231" s="166"/>
      <c r="Q231" s="166"/>
      <c r="R231" s="382"/>
      <c r="S231" s="379"/>
      <c r="T231" s="166"/>
      <c r="U231" s="166"/>
      <c r="V231" s="166"/>
      <c r="W231" s="382"/>
      <c r="X231" s="379"/>
      <c r="Y231" s="166"/>
      <c r="Z231" s="166"/>
      <c r="AA231" s="166"/>
      <c r="AB231" s="382"/>
    </row>
    <row r="232" spans="1:28" ht="18" customHeight="1" x14ac:dyDescent="0.2">
      <c r="A232" s="391"/>
      <c r="B232" s="140" t="s">
        <v>810</v>
      </c>
      <c r="C232" s="385"/>
      <c r="D232" s="389"/>
      <c r="E232" s="165"/>
      <c r="F232" s="165"/>
      <c r="G232" s="165"/>
      <c r="H232" s="385"/>
      <c r="I232" s="389"/>
      <c r="J232" s="165"/>
      <c r="K232" s="165"/>
      <c r="L232" s="165"/>
      <c r="M232" s="385"/>
      <c r="N232" s="389"/>
      <c r="O232" s="166"/>
      <c r="P232" s="166"/>
      <c r="Q232" s="166"/>
      <c r="R232" s="382"/>
      <c r="S232" s="379"/>
      <c r="T232" s="166"/>
      <c r="U232" s="166"/>
      <c r="V232" s="166"/>
      <c r="W232" s="382"/>
      <c r="X232" s="379"/>
      <c r="Y232" s="166"/>
      <c r="Z232" s="166"/>
      <c r="AA232" s="166"/>
      <c r="AB232" s="382"/>
    </row>
    <row r="233" spans="1:28" ht="18" customHeight="1" x14ac:dyDescent="0.2">
      <c r="A233" s="391"/>
      <c r="B233" s="140" t="s">
        <v>811</v>
      </c>
      <c r="C233" s="385"/>
      <c r="D233" s="389"/>
      <c r="E233" s="165"/>
      <c r="F233" s="165"/>
      <c r="G233" s="165"/>
      <c r="H233" s="385"/>
      <c r="I233" s="389"/>
      <c r="J233" s="165"/>
      <c r="K233" s="165"/>
      <c r="L233" s="165"/>
      <c r="M233" s="385"/>
      <c r="N233" s="389"/>
      <c r="O233" s="166"/>
      <c r="P233" s="166"/>
      <c r="Q233" s="166"/>
      <c r="R233" s="382"/>
      <c r="S233" s="379"/>
      <c r="T233" s="166"/>
      <c r="U233" s="166"/>
      <c r="V233" s="166"/>
      <c r="W233" s="382"/>
      <c r="X233" s="379"/>
      <c r="Y233" s="166"/>
      <c r="Z233" s="166"/>
      <c r="AA233" s="166"/>
      <c r="AB233" s="382"/>
    </row>
    <row r="234" spans="1:28" ht="18" customHeight="1" x14ac:dyDescent="0.2">
      <c r="A234" s="391"/>
      <c r="B234" s="140" t="s">
        <v>813</v>
      </c>
      <c r="C234" s="385"/>
      <c r="D234" s="389"/>
      <c r="E234" s="165"/>
      <c r="F234" s="165"/>
      <c r="G234" s="165"/>
      <c r="H234" s="385"/>
      <c r="I234" s="389"/>
      <c r="J234" s="165"/>
      <c r="K234" s="165"/>
      <c r="L234" s="165"/>
      <c r="M234" s="385"/>
      <c r="N234" s="389"/>
      <c r="O234" s="166"/>
      <c r="P234" s="166"/>
      <c r="Q234" s="166"/>
      <c r="R234" s="382"/>
      <c r="S234" s="379"/>
      <c r="T234" s="166"/>
      <c r="U234" s="166"/>
      <c r="V234" s="166"/>
      <c r="W234" s="382"/>
      <c r="X234" s="379"/>
      <c r="Y234" s="166"/>
      <c r="Z234" s="166"/>
      <c r="AA234" s="166"/>
      <c r="AB234" s="382"/>
    </row>
    <row r="235" spans="1:28" ht="18" customHeight="1" x14ac:dyDescent="0.2">
      <c r="A235" s="391"/>
      <c r="B235" s="140" t="s">
        <v>814</v>
      </c>
      <c r="C235" s="385"/>
      <c r="D235" s="389"/>
      <c r="E235" s="165"/>
      <c r="F235" s="165"/>
      <c r="G235" s="165"/>
      <c r="H235" s="385"/>
      <c r="I235" s="389"/>
      <c r="J235" s="165"/>
      <c r="K235" s="165"/>
      <c r="L235" s="165"/>
      <c r="M235" s="385"/>
      <c r="N235" s="389"/>
      <c r="O235" s="166"/>
      <c r="P235" s="166"/>
      <c r="Q235" s="166"/>
      <c r="R235" s="382"/>
      <c r="S235" s="379"/>
      <c r="T235" s="166"/>
      <c r="U235" s="166"/>
      <c r="V235" s="166"/>
      <c r="W235" s="382"/>
      <c r="X235" s="379"/>
      <c r="Y235" s="166"/>
      <c r="Z235" s="166"/>
      <c r="AA235" s="166"/>
      <c r="AB235" s="382"/>
    </row>
    <row r="236" spans="1:28" ht="18" customHeight="1" x14ac:dyDescent="0.2">
      <c r="A236" s="391"/>
      <c r="B236" s="140" t="s">
        <v>815</v>
      </c>
      <c r="C236" s="385"/>
      <c r="D236" s="389"/>
      <c r="E236" s="165"/>
      <c r="F236" s="165"/>
      <c r="G236" s="165"/>
      <c r="H236" s="385"/>
      <c r="I236" s="389"/>
      <c r="J236" s="165"/>
      <c r="K236" s="165"/>
      <c r="L236" s="165"/>
      <c r="M236" s="385"/>
      <c r="N236" s="389"/>
      <c r="O236" s="166"/>
      <c r="P236" s="166"/>
      <c r="Q236" s="166"/>
      <c r="R236" s="382"/>
      <c r="S236" s="379"/>
      <c r="T236" s="166"/>
      <c r="U236" s="166"/>
      <c r="V236" s="166"/>
      <c r="W236" s="382"/>
      <c r="X236" s="379"/>
      <c r="Y236" s="166"/>
      <c r="Z236" s="166"/>
      <c r="AA236" s="166"/>
      <c r="AB236" s="382"/>
    </row>
    <row r="237" spans="1:28" ht="18" customHeight="1" x14ac:dyDescent="0.2">
      <c r="A237" s="391"/>
      <c r="B237" s="140" t="s">
        <v>816</v>
      </c>
      <c r="C237" s="385"/>
      <c r="D237" s="389"/>
      <c r="E237" s="165"/>
      <c r="F237" s="165"/>
      <c r="G237" s="165"/>
      <c r="H237" s="385"/>
      <c r="I237" s="389"/>
      <c r="J237" s="165"/>
      <c r="K237" s="165"/>
      <c r="L237" s="165"/>
      <c r="M237" s="385"/>
      <c r="N237" s="389"/>
      <c r="O237" s="166"/>
      <c r="P237" s="166"/>
      <c r="Q237" s="166"/>
      <c r="R237" s="382"/>
      <c r="S237" s="379"/>
      <c r="T237" s="166"/>
      <c r="U237" s="166"/>
      <c r="V237" s="166"/>
      <c r="W237" s="382"/>
      <c r="X237" s="379"/>
      <c r="Y237" s="166"/>
      <c r="Z237" s="166"/>
      <c r="AA237" s="166"/>
      <c r="AB237" s="382"/>
    </row>
    <row r="238" spans="1:28" ht="18" customHeight="1" x14ac:dyDescent="0.2">
      <c r="A238" s="391"/>
      <c r="B238" s="140" t="s">
        <v>817</v>
      </c>
      <c r="C238" s="385"/>
      <c r="D238" s="389"/>
      <c r="E238" s="165"/>
      <c r="F238" s="165"/>
      <c r="G238" s="165"/>
      <c r="H238" s="385"/>
      <c r="I238" s="389"/>
      <c r="J238" s="165"/>
      <c r="K238" s="165"/>
      <c r="L238" s="165"/>
      <c r="M238" s="385"/>
      <c r="N238" s="389"/>
      <c r="O238" s="166"/>
      <c r="P238" s="166"/>
      <c r="Q238" s="166"/>
      <c r="R238" s="382"/>
      <c r="S238" s="379"/>
      <c r="T238" s="166"/>
      <c r="U238" s="166"/>
      <c r="V238" s="166"/>
      <c r="W238" s="382"/>
      <c r="X238" s="379"/>
      <c r="Y238" s="166"/>
      <c r="Z238" s="166"/>
      <c r="AA238" s="166"/>
      <c r="AB238" s="382"/>
    </row>
    <row r="239" spans="1:28" ht="18" customHeight="1" x14ac:dyDescent="0.2">
      <c r="A239" s="391"/>
      <c r="B239" s="140" t="s">
        <v>818</v>
      </c>
      <c r="C239" s="385"/>
      <c r="D239" s="389"/>
      <c r="E239" s="165"/>
      <c r="F239" s="165"/>
      <c r="G239" s="165"/>
      <c r="H239" s="385"/>
      <c r="I239" s="389"/>
      <c r="J239" s="165"/>
      <c r="K239" s="165"/>
      <c r="L239" s="165"/>
      <c r="M239" s="385"/>
      <c r="N239" s="389"/>
      <c r="O239" s="166"/>
      <c r="P239" s="166"/>
      <c r="Q239" s="166"/>
      <c r="R239" s="382"/>
      <c r="S239" s="379"/>
      <c r="T239" s="166"/>
      <c r="U239" s="166"/>
      <c r="V239" s="166"/>
      <c r="W239" s="382"/>
      <c r="X239" s="379"/>
      <c r="Y239" s="166"/>
      <c r="Z239" s="166"/>
      <c r="AA239" s="166"/>
      <c r="AB239" s="382"/>
    </row>
    <row r="240" spans="1:28" ht="18" customHeight="1" x14ac:dyDescent="0.2">
      <c r="A240" s="391"/>
      <c r="B240" s="140" t="s">
        <v>819</v>
      </c>
      <c r="C240" s="385"/>
      <c r="D240" s="389"/>
      <c r="E240" s="165"/>
      <c r="F240" s="165"/>
      <c r="G240" s="165"/>
      <c r="H240" s="385"/>
      <c r="I240" s="389"/>
      <c r="J240" s="165"/>
      <c r="K240" s="165"/>
      <c r="L240" s="165"/>
      <c r="M240" s="385"/>
      <c r="N240" s="389"/>
      <c r="O240" s="166"/>
      <c r="P240" s="166"/>
      <c r="Q240" s="166"/>
      <c r="R240" s="382"/>
      <c r="S240" s="379"/>
      <c r="T240" s="166"/>
      <c r="U240" s="166"/>
      <c r="V240" s="166"/>
      <c r="W240" s="382"/>
      <c r="X240" s="379"/>
      <c r="Y240" s="166"/>
      <c r="Z240" s="166"/>
      <c r="AA240" s="166"/>
      <c r="AB240" s="382"/>
    </row>
    <row r="241" spans="1:28" ht="18" customHeight="1" x14ac:dyDescent="0.2">
      <c r="A241" s="391"/>
      <c r="B241" s="140" t="s">
        <v>820</v>
      </c>
      <c r="C241" s="385"/>
      <c r="D241" s="389"/>
      <c r="E241" s="165"/>
      <c r="F241" s="165"/>
      <c r="G241" s="165"/>
      <c r="H241" s="385"/>
      <c r="I241" s="389"/>
      <c r="J241" s="165"/>
      <c r="K241" s="165"/>
      <c r="L241" s="165"/>
      <c r="M241" s="385"/>
      <c r="N241" s="389"/>
      <c r="O241" s="166"/>
      <c r="P241" s="166"/>
      <c r="Q241" s="166"/>
      <c r="R241" s="382"/>
      <c r="S241" s="379"/>
      <c r="T241" s="166"/>
      <c r="U241" s="166"/>
      <c r="V241" s="166"/>
      <c r="W241" s="382"/>
      <c r="X241" s="379"/>
      <c r="Y241" s="166"/>
      <c r="Z241" s="166"/>
      <c r="AA241" s="166"/>
      <c r="AB241" s="382"/>
    </row>
    <row r="242" spans="1:28" ht="18" customHeight="1" x14ac:dyDescent="0.2">
      <c r="A242" s="391"/>
      <c r="B242" s="140" t="s">
        <v>821</v>
      </c>
      <c r="C242" s="385"/>
      <c r="D242" s="389"/>
      <c r="E242" s="165"/>
      <c r="F242" s="165"/>
      <c r="G242" s="165"/>
      <c r="H242" s="385"/>
      <c r="I242" s="389"/>
      <c r="J242" s="165"/>
      <c r="K242" s="165"/>
      <c r="L242" s="165"/>
      <c r="M242" s="385"/>
      <c r="N242" s="389"/>
      <c r="O242" s="166"/>
      <c r="P242" s="166"/>
      <c r="Q242" s="166"/>
      <c r="R242" s="382"/>
      <c r="S242" s="379"/>
      <c r="T242" s="166"/>
      <c r="U242" s="166"/>
      <c r="V242" s="166"/>
      <c r="W242" s="382"/>
      <c r="X242" s="379"/>
      <c r="Y242" s="166"/>
      <c r="Z242" s="166"/>
      <c r="AA242" s="166"/>
      <c r="AB242" s="382"/>
    </row>
    <row r="243" spans="1:28" ht="18" customHeight="1" x14ac:dyDescent="0.2">
      <c r="A243" s="391"/>
      <c r="B243" s="140" t="s">
        <v>822</v>
      </c>
      <c r="C243" s="385"/>
      <c r="D243" s="389"/>
      <c r="E243" s="165"/>
      <c r="F243" s="165"/>
      <c r="G243" s="165"/>
      <c r="H243" s="385"/>
      <c r="I243" s="389"/>
      <c r="J243" s="165"/>
      <c r="K243" s="165"/>
      <c r="L243" s="165"/>
      <c r="M243" s="385"/>
      <c r="N243" s="389"/>
      <c r="O243" s="166"/>
      <c r="P243" s="166"/>
      <c r="Q243" s="166"/>
      <c r="R243" s="382"/>
      <c r="S243" s="379"/>
      <c r="T243" s="166"/>
      <c r="U243" s="166"/>
      <c r="V243" s="166"/>
      <c r="W243" s="382"/>
      <c r="X243" s="379"/>
      <c r="Y243" s="166"/>
      <c r="Z243" s="166"/>
      <c r="AA243" s="166"/>
      <c r="AB243" s="382"/>
    </row>
    <row r="244" spans="1:28" ht="18" customHeight="1" x14ac:dyDescent="0.2">
      <c r="A244" s="391"/>
      <c r="B244" s="140" t="s">
        <v>823</v>
      </c>
      <c r="C244" s="385"/>
      <c r="D244" s="389"/>
      <c r="E244" s="165"/>
      <c r="F244" s="165"/>
      <c r="G244" s="165"/>
      <c r="H244" s="385"/>
      <c r="I244" s="389"/>
      <c r="J244" s="165"/>
      <c r="K244" s="165"/>
      <c r="L244" s="165"/>
      <c r="M244" s="385"/>
      <c r="N244" s="389"/>
      <c r="O244" s="166"/>
      <c r="P244" s="166"/>
      <c r="Q244" s="166"/>
      <c r="R244" s="382"/>
      <c r="S244" s="379"/>
      <c r="T244" s="166"/>
      <c r="U244" s="166"/>
      <c r="V244" s="166"/>
      <c r="W244" s="382"/>
      <c r="X244" s="379"/>
      <c r="Y244" s="166"/>
      <c r="Z244" s="166"/>
      <c r="AA244" s="166"/>
      <c r="AB244" s="382"/>
    </row>
    <row r="245" spans="1:28" ht="18" customHeight="1" x14ac:dyDescent="0.2">
      <c r="A245" s="391"/>
      <c r="B245" s="140" t="s">
        <v>824</v>
      </c>
      <c r="C245" s="385"/>
      <c r="D245" s="389"/>
      <c r="E245" s="165"/>
      <c r="F245" s="165"/>
      <c r="G245" s="165"/>
      <c r="H245" s="385"/>
      <c r="I245" s="389"/>
      <c r="J245" s="165"/>
      <c r="K245" s="165"/>
      <c r="L245" s="165"/>
      <c r="M245" s="385"/>
      <c r="N245" s="389"/>
      <c r="O245" s="166"/>
      <c r="P245" s="166"/>
      <c r="Q245" s="166"/>
      <c r="R245" s="382"/>
      <c r="S245" s="379"/>
      <c r="T245" s="166"/>
      <c r="U245" s="166"/>
      <c r="V245" s="166"/>
      <c r="W245" s="382"/>
      <c r="X245" s="379"/>
      <c r="Y245" s="166"/>
      <c r="Z245" s="166"/>
      <c r="AA245" s="166"/>
      <c r="AB245" s="382"/>
    </row>
    <row r="246" spans="1:28" ht="18" customHeight="1" x14ac:dyDescent="0.2">
      <c r="A246" s="391"/>
      <c r="B246" s="140" t="s">
        <v>825</v>
      </c>
      <c r="C246" s="385"/>
      <c r="D246" s="389"/>
      <c r="E246" s="165"/>
      <c r="F246" s="165"/>
      <c r="G246" s="165"/>
      <c r="H246" s="385"/>
      <c r="I246" s="389"/>
      <c r="J246" s="165"/>
      <c r="K246" s="165"/>
      <c r="L246" s="165"/>
      <c r="M246" s="385"/>
      <c r="N246" s="389"/>
      <c r="O246" s="166"/>
      <c r="P246" s="166"/>
      <c r="Q246" s="166"/>
      <c r="R246" s="382"/>
      <c r="S246" s="379"/>
      <c r="T246" s="166"/>
      <c r="U246" s="166"/>
      <c r="V246" s="166"/>
      <c r="W246" s="382"/>
      <c r="X246" s="379"/>
      <c r="Y246" s="166"/>
      <c r="Z246" s="166"/>
      <c r="AA246" s="166"/>
      <c r="AB246" s="382"/>
    </row>
    <row r="247" spans="1:28" ht="18" customHeight="1" x14ac:dyDescent="0.2">
      <c r="A247" s="391"/>
      <c r="B247" s="140" t="s">
        <v>826</v>
      </c>
      <c r="C247" s="385"/>
      <c r="D247" s="389"/>
      <c r="E247" s="165"/>
      <c r="F247" s="165"/>
      <c r="G247" s="165"/>
      <c r="H247" s="385"/>
      <c r="I247" s="389"/>
      <c r="J247" s="165"/>
      <c r="K247" s="165"/>
      <c r="L247" s="165"/>
      <c r="M247" s="385"/>
      <c r="N247" s="389"/>
      <c r="O247" s="166"/>
      <c r="P247" s="166"/>
      <c r="Q247" s="166"/>
      <c r="R247" s="382"/>
      <c r="S247" s="379"/>
      <c r="T247" s="166"/>
      <c r="U247" s="166"/>
      <c r="V247" s="166"/>
      <c r="W247" s="382"/>
      <c r="X247" s="379"/>
      <c r="Y247" s="166"/>
      <c r="Z247" s="166"/>
      <c r="AA247" s="166"/>
      <c r="AB247" s="382"/>
    </row>
    <row r="248" spans="1:28" ht="18" customHeight="1" x14ac:dyDescent="0.2">
      <c r="A248" s="391"/>
      <c r="B248" s="140" t="s">
        <v>827</v>
      </c>
      <c r="C248" s="385"/>
      <c r="D248" s="389"/>
      <c r="E248" s="165"/>
      <c r="F248" s="165"/>
      <c r="G248" s="165"/>
      <c r="H248" s="385"/>
      <c r="I248" s="389"/>
      <c r="J248" s="165"/>
      <c r="K248" s="165"/>
      <c r="L248" s="165"/>
      <c r="M248" s="385"/>
      <c r="N248" s="389"/>
      <c r="O248" s="166"/>
      <c r="P248" s="166"/>
      <c r="Q248" s="166"/>
      <c r="R248" s="382"/>
      <c r="S248" s="379"/>
      <c r="T248" s="166"/>
      <c r="U248" s="166"/>
      <c r="V248" s="166"/>
      <c r="W248" s="382"/>
      <c r="X248" s="379"/>
      <c r="Y248" s="166"/>
      <c r="Z248" s="166"/>
      <c r="AA248" s="166"/>
      <c r="AB248" s="382"/>
    </row>
    <row r="249" spans="1:28" ht="18" customHeight="1" x14ac:dyDescent="0.2">
      <c r="A249" s="391"/>
      <c r="B249" s="140" t="s">
        <v>828</v>
      </c>
      <c r="C249" s="385"/>
      <c r="D249" s="389"/>
      <c r="E249" s="165"/>
      <c r="F249" s="165"/>
      <c r="G249" s="165"/>
      <c r="H249" s="385"/>
      <c r="I249" s="389"/>
      <c r="J249" s="165"/>
      <c r="K249" s="165"/>
      <c r="L249" s="165"/>
      <c r="M249" s="385"/>
      <c r="N249" s="389"/>
      <c r="O249" s="166"/>
      <c r="P249" s="166"/>
      <c r="Q249" s="166"/>
      <c r="R249" s="382"/>
      <c r="S249" s="379"/>
      <c r="T249" s="166"/>
      <c r="U249" s="166"/>
      <c r="V249" s="166"/>
      <c r="W249" s="382"/>
      <c r="X249" s="379"/>
      <c r="Y249" s="166"/>
      <c r="Z249" s="166"/>
      <c r="AA249" s="166"/>
      <c r="AB249" s="382"/>
    </row>
    <row r="250" spans="1:28" ht="18" customHeight="1" x14ac:dyDescent="0.2">
      <c r="A250" s="391"/>
      <c r="B250" s="140" t="s">
        <v>829</v>
      </c>
      <c r="C250" s="385"/>
      <c r="D250" s="389"/>
      <c r="E250" s="165"/>
      <c r="F250" s="165"/>
      <c r="G250" s="165"/>
      <c r="H250" s="385"/>
      <c r="I250" s="389"/>
      <c r="J250" s="165"/>
      <c r="K250" s="165"/>
      <c r="L250" s="165"/>
      <c r="M250" s="385"/>
      <c r="N250" s="389"/>
      <c r="O250" s="166"/>
      <c r="P250" s="166"/>
      <c r="Q250" s="166"/>
      <c r="R250" s="382"/>
      <c r="S250" s="379"/>
      <c r="T250" s="166"/>
      <c r="U250" s="166"/>
      <c r="V250" s="166"/>
      <c r="W250" s="382"/>
      <c r="X250" s="379"/>
      <c r="Y250" s="166"/>
      <c r="Z250" s="166"/>
      <c r="AA250" s="166"/>
      <c r="AB250" s="382"/>
    </row>
    <row r="251" spans="1:28" ht="18" customHeight="1" x14ac:dyDescent="0.2">
      <c r="A251" s="391"/>
      <c r="B251" s="140" t="s">
        <v>830</v>
      </c>
      <c r="C251" s="385"/>
      <c r="D251" s="389"/>
      <c r="E251" s="165"/>
      <c r="F251" s="165"/>
      <c r="G251" s="165"/>
      <c r="H251" s="385"/>
      <c r="I251" s="389"/>
      <c r="J251" s="165"/>
      <c r="K251" s="165"/>
      <c r="L251" s="165"/>
      <c r="M251" s="385"/>
      <c r="N251" s="389"/>
      <c r="O251" s="166"/>
      <c r="P251" s="166"/>
      <c r="Q251" s="166"/>
      <c r="R251" s="382"/>
      <c r="S251" s="379"/>
      <c r="T251" s="166"/>
      <c r="U251" s="166"/>
      <c r="V251" s="166"/>
      <c r="W251" s="382"/>
      <c r="X251" s="379"/>
      <c r="Y251" s="166"/>
      <c r="Z251" s="166"/>
      <c r="AA251" s="166"/>
      <c r="AB251" s="382"/>
    </row>
    <row r="252" spans="1:28" ht="18" customHeight="1" x14ac:dyDescent="0.2">
      <c r="A252" s="391"/>
      <c r="B252" s="140" t="s">
        <v>831</v>
      </c>
      <c r="C252" s="385"/>
      <c r="D252" s="389"/>
      <c r="E252" s="165"/>
      <c r="F252" s="165"/>
      <c r="G252" s="165"/>
      <c r="H252" s="385"/>
      <c r="I252" s="389"/>
      <c r="J252" s="165"/>
      <c r="K252" s="165"/>
      <c r="L252" s="165"/>
      <c r="M252" s="385"/>
      <c r="N252" s="389"/>
      <c r="O252" s="166"/>
      <c r="P252" s="166"/>
      <c r="Q252" s="166"/>
      <c r="R252" s="382"/>
      <c r="S252" s="379"/>
      <c r="T252" s="166"/>
      <c r="U252" s="166"/>
      <c r="V252" s="166"/>
      <c r="W252" s="382"/>
      <c r="X252" s="379"/>
      <c r="Y252" s="166"/>
      <c r="Z252" s="166"/>
      <c r="AA252" s="166"/>
      <c r="AB252" s="382"/>
    </row>
    <row r="253" spans="1:28" ht="15" customHeight="1" x14ac:dyDescent="0.2">
      <c r="A253" s="391"/>
      <c r="B253" s="140" t="s">
        <v>832</v>
      </c>
      <c r="C253" s="385"/>
      <c r="D253" s="389"/>
      <c r="E253" s="165"/>
      <c r="F253" s="165"/>
      <c r="G253" s="165"/>
      <c r="H253" s="385"/>
      <c r="I253" s="389"/>
      <c r="J253" s="165"/>
      <c r="K253" s="165"/>
      <c r="L253" s="165"/>
      <c r="M253" s="385"/>
      <c r="N253" s="389"/>
      <c r="O253" s="166"/>
      <c r="P253" s="166"/>
      <c r="Q253" s="166"/>
      <c r="R253" s="382"/>
      <c r="S253" s="379"/>
      <c r="T253" s="166"/>
      <c r="U253" s="166"/>
      <c r="V253" s="166"/>
      <c r="W253" s="382"/>
      <c r="X253" s="379"/>
      <c r="Y253" s="166"/>
      <c r="Z253" s="166"/>
      <c r="AA253" s="166"/>
      <c r="AB253" s="382"/>
    </row>
    <row r="254" spans="1:28" ht="14.25" customHeight="1" x14ac:dyDescent="0.2">
      <c r="A254" s="391"/>
      <c r="B254" s="140" t="s">
        <v>833</v>
      </c>
      <c r="C254" s="385"/>
      <c r="D254" s="389"/>
      <c r="E254" s="167"/>
      <c r="F254" s="167"/>
      <c r="G254" s="167"/>
      <c r="H254" s="385"/>
      <c r="I254" s="389"/>
      <c r="J254" s="167"/>
      <c r="K254" s="167"/>
      <c r="L254" s="167"/>
      <c r="M254" s="385"/>
      <c r="N254" s="389"/>
      <c r="O254" s="49"/>
      <c r="P254" s="49"/>
      <c r="Q254" s="49"/>
      <c r="R254" s="382"/>
      <c r="S254" s="379"/>
      <c r="T254" s="49"/>
      <c r="U254" s="49"/>
      <c r="V254" s="49"/>
      <c r="W254" s="382"/>
      <c r="X254" s="379"/>
      <c r="Y254" s="49"/>
      <c r="Z254" s="49"/>
      <c r="AA254" s="49"/>
      <c r="AB254" s="382"/>
    </row>
    <row r="255" spans="1:28" ht="15" customHeight="1" x14ac:dyDescent="0.2">
      <c r="A255" s="391"/>
      <c r="B255" s="140" t="s">
        <v>866</v>
      </c>
      <c r="C255" s="385"/>
      <c r="D255" s="389"/>
      <c r="E255" s="167"/>
      <c r="F255" s="167"/>
      <c r="G255" s="167"/>
      <c r="H255" s="385"/>
      <c r="I255" s="389"/>
      <c r="J255" s="167"/>
      <c r="K255" s="167"/>
      <c r="L255" s="167"/>
      <c r="M255" s="385"/>
      <c r="N255" s="389"/>
      <c r="O255" s="49"/>
      <c r="P255" s="49"/>
      <c r="Q255" s="49"/>
      <c r="R255" s="382"/>
      <c r="S255" s="379"/>
      <c r="T255" s="49"/>
      <c r="U255" s="49"/>
      <c r="V255" s="49"/>
      <c r="W255" s="382"/>
      <c r="X255" s="379"/>
      <c r="Y255" s="49"/>
      <c r="Z255" s="49"/>
      <c r="AA255" s="49"/>
      <c r="AB255" s="382"/>
    </row>
    <row r="256" spans="1:28" ht="15" customHeight="1" x14ac:dyDescent="0.2">
      <c r="A256" s="391"/>
      <c r="B256" s="140" t="s">
        <v>834</v>
      </c>
      <c r="C256" s="385"/>
      <c r="D256" s="389"/>
      <c r="E256" s="167"/>
      <c r="F256" s="167"/>
      <c r="G256" s="167"/>
      <c r="H256" s="385"/>
      <c r="I256" s="389"/>
      <c r="J256" s="167"/>
      <c r="K256" s="167"/>
      <c r="L256" s="167"/>
      <c r="M256" s="385"/>
      <c r="N256" s="389"/>
      <c r="O256" s="49"/>
      <c r="P256" s="49"/>
      <c r="Q256" s="49"/>
      <c r="R256" s="382"/>
      <c r="S256" s="379"/>
      <c r="T256" s="49"/>
      <c r="U256" s="49"/>
      <c r="V256" s="49"/>
      <c r="W256" s="382"/>
      <c r="X256" s="379"/>
      <c r="Y256" s="49"/>
      <c r="Z256" s="49"/>
      <c r="AA256" s="49"/>
      <c r="AB256" s="382"/>
    </row>
    <row r="257" spans="1:28" ht="15" customHeight="1" x14ac:dyDescent="0.2">
      <c r="A257" s="391"/>
      <c r="B257" s="140" t="s">
        <v>835</v>
      </c>
      <c r="C257" s="385"/>
      <c r="D257" s="389"/>
      <c r="E257" s="167"/>
      <c r="F257" s="167"/>
      <c r="G257" s="167"/>
      <c r="H257" s="385"/>
      <c r="I257" s="389"/>
      <c r="J257" s="167"/>
      <c r="K257" s="167"/>
      <c r="L257" s="167"/>
      <c r="M257" s="385"/>
      <c r="N257" s="389"/>
      <c r="O257" s="49"/>
      <c r="P257" s="49"/>
      <c r="Q257" s="49"/>
      <c r="R257" s="382"/>
      <c r="S257" s="379"/>
      <c r="T257" s="49"/>
      <c r="U257" s="49"/>
      <c r="V257" s="49"/>
      <c r="W257" s="382"/>
      <c r="X257" s="379"/>
      <c r="Y257" s="49"/>
      <c r="Z257" s="49"/>
      <c r="AA257" s="49"/>
      <c r="AB257" s="382"/>
    </row>
    <row r="258" spans="1:28" ht="18" customHeight="1" x14ac:dyDescent="0.2">
      <c r="A258" s="391"/>
      <c r="B258" s="140" t="s">
        <v>836</v>
      </c>
      <c r="C258" s="385"/>
      <c r="D258" s="389"/>
      <c r="E258" s="167"/>
      <c r="F258" s="167"/>
      <c r="G258" s="167"/>
      <c r="H258" s="385"/>
      <c r="I258" s="389"/>
      <c r="J258" s="167"/>
      <c r="K258" s="167"/>
      <c r="L258" s="167"/>
      <c r="M258" s="385"/>
      <c r="N258" s="389"/>
      <c r="O258" s="49"/>
      <c r="P258" s="49"/>
      <c r="Q258" s="49"/>
      <c r="R258" s="382"/>
      <c r="S258" s="379"/>
      <c r="T258" s="49"/>
      <c r="U258" s="49"/>
      <c r="V258" s="49"/>
      <c r="W258" s="382"/>
      <c r="X258" s="379"/>
      <c r="Y258" s="49"/>
      <c r="Z258" s="49"/>
      <c r="AA258" s="49"/>
      <c r="AB258" s="382"/>
    </row>
    <row r="259" spans="1:28" ht="18" customHeight="1" x14ac:dyDescent="0.2">
      <c r="A259" s="391"/>
      <c r="B259" s="140" t="s">
        <v>837</v>
      </c>
      <c r="C259" s="385"/>
      <c r="D259" s="389"/>
      <c r="E259" s="167"/>
      <c r="F259" s="167"/>
      <c r="G259" s="167"/>
      <c r="H259" s="385"/>
      <c r="I259" s="389"/>
      <c r="J259" s="167"/>
      <c r="K259" s="167"/>
      <c r="L259" s="167"/>
      <c r="M259" s="385"/>
      <c r="N259" s="389"/>
      <c r="O259" s="49"/>
      <c r="P259" s="49"/>
      <c r="Q259" s="49"/>
      <c r="R259" s="382"/>
      <c r="S259" s="379"/>
      <c r="T259" s="49"/>
      <c r="U259" s="49"/>
      <c r="V259" s="49"/>
      <c r="W259" s="382"/>
      <c r="X259" s="379"/>
      <c r="Y259" s="49"/>
      <c r="Z259" s="49"/>
      <c r="AA259" s="49"/>
      <c r="AB259" s="382"/>
    </row>
    <row r="260" spans="1:28" ht="18" customHeight="1" x14ac:dyDescent="0.2">
      <c r="A260" s="391"/>
      <c r="B260" s="140" t="s">
        <v>838</v>
      </c>
      <c r="C260" s="385"/>
      <c r="D260" s="389"/>
      <c r="E260" s="167"/>
      <c r="F260" s="167"/>
      <c r="G260" s="167"/>
      <c r="H260" s="385"/>
      <c r="I260" s="389"/>
      <c r="J260" s="167"/>
      <c r="K260" s="167"/>
      <c r="L260" s="167"/>
      <c r="M260" s="385"/>
      <c r="N260" s="389"/>
      <c r="O260" s="49"/>
      <c r="P260" s="49"/>
      <c r="Q260" s="49"/>
      <c r="R260" s="382"/>
      <c r="S260" s="379"/>
      <c r="T260" s="49"/>
      <c r="U260" s="49"/>
      <c r="V260" s="49"/>
      <c r="W260" s="382"/>
      <c r="X260" s="379"/>
      <c r="Y260" s="49"/>
      <c r="Z260" s="49"/>
      <c r="AA260" s="49"/>
      <c r="AB260" s="382"/>
    </row>
    <row r="261" spans="1:28" ht="18" customHeight="1" x14ac:dyDescent="0.2">
      <c r="A261" s="391"/>
      <c r="B261" s="140" t="s">
        <v>804</v>
      </c>
      <c r="C261" s="385"/>
      <c r="D261" s="389"/>
      <c r="E261" s="167"/>
      <c r="F261" s="167"/>
      <c r="G261" s="167"/>
      <c r="H261" s="385"/>
      <c r="I261" s="389"/>
      <c r="J261" s="167"/>
      <c r="K261" s="167"/>
      <c r="L261" s="167"/>
      <c r="M261" s="385"/>
      <c r="N261" s="389"/>
      <c r="O261" s="49"/>
      <c r="P261" s="49"/>
      <c r="Q261" s="49"/>
      <c r="R261" s="382"/>
      <c r="S261" s="379"/>
      <c r="T261" s="49"/>
      <c r="U261" s="49"/>
      <c r="V261" s="49"/>
      <c r="W261" s="382"/>
      <c r="X261" s="379"/>
      <c r="Y261" s="49"/>
      <c r="Z261" s="49"/>
      <c r="AA261" s="49"/>
      <c r="AB261" s="382"/>
    </row>
    <row r="262" spans="1:28" ht="18" customHeight="1" x14ac:dyDescent="0.2">
      <c r="A262" s="391"/>
      <c r="B262" s="140" t="s">
        <v>839</v>
      </c>
      <c r="C262" s="385"/>
      <c r="D262" s="389"/>
      <c r="E262" s="167"/>
      <c r="F262" s="167"/>
      <c r="G262" s="167"/>
      <c r="H262" s="385"/>
      <c r="I262" s="389"/>
      <c r="J262" s="167"/>
      <c r="K262" s="167"/>
      <c r="L262" s="167"/>
      <c r="M262" s="385"/>
      <c r="N262" s="389"/>
      <c r="O262" s="49"/>
      <c r="P262" s="49"/>
      <c r="Q262" s="49"/>
      <c r="R262" s="382"/>
      <c r="S262" s="379"/>
      <c r="T262" s="49"/>
      <c r="U262" s="49"/>
      <c r="V262" s="49"/>
      <c r="W262" s="382"/>
      <c r="X262" s="379"/>
      <c r="Y262" s="49"/>
      <c r="Z262" s="49"/>
      <c r="AA262" s="49"/>
      <c r="AB262" s="382"/>
    </row>
    <row r="263" spans="1:28" ht="18" customHeight="1" x14ac:dyDescent="0.2">
      <c r="A263" s="391"/>
      <c r="B263" s="140" t="s">
        <v>840</v>
      </c>
      <c r="C263" s="385"/>
      <c r="D263" s="389"/>
      <c r="E263" s="167"/>
      <c r="F263" s="167"/>
      <c r="G263" s="167"/>
      <c r="H263" s="385"/>
      <c r="I263" s="389"/>
      <c r="J263" s="167"/>
      <c r="K263" s="167"/>
      <c r="L263" s="167"/>
      <c r="M263" s="385"/>
      <c r="N263" s="389"/>
      <c r="O263" s="49"/>
      <c r="P263" s="49"/>
      <c r="Q263" s="49"/>
      <c r="R263" s="382"/>
      <c r="S263" s="379"/>
      <c r="T263" s="49"/>
      <c r="U263" s="49"/>
      <c r="V263" s="49"/>
      <c r="W263" s="382"/>
      <c r="X263" s="379"/>
      <c r="Y263" s="49"/>
      <c r="Z263" s="49"/>
      <c r="AA263" s="49"/>
      <c r="AB263" s="382"/>
    </row>
    <row r="264" spans="1:28" ht="18" customHeight="1" x14ac:dyDescent="0.2">
      <c r="A264" s="391"/>
      <c r="B264" s="140" t="s">
        <v>874</v>
      </c>
      <c r="C264" s="385"/>
      <c r="D264" s="389"/>
      <c r="E264" s="167"/>
      <c r="F264" s="167"/>
      <c r="G264" s="167"/>
      <c r="H264" s="385"/>
      <c r="I264" s="389"/>
      <c r="J264" s="167"/>
      <c r="K264" s="167"/>
      <c r="L264" s="167"/>
      <c r="M264" s="385"/>
      <c r="N264" s="389"/>
      <c r="O264" s="49"/>
      <c r="P264" s="49"/>
      <c r="Q264" s="49"/>
      <c r="R264" s="382"/>
      <c r="S264" s="379"/>
      <c r="T264" s="49"/>
      <c r="U264" s="49"/>
      <c r="V264" s="49"/>
      <c r="W264" s="382"/>
      <c r="X264" s="379"/>
      <c r="Y264" s="49"/>
      <c r="Z264" s="49"/>
      <c r="AA264" s="49"/>
      <c r="AB264" s="382"/>
    </row>
    <row r="265" spans="1:28" ht="18" customHeight="1" x14ac:dyDescent="0.2">
      <c r="A265" s="391"/>
      <c r="B265" s="140" t="s">
        <v>841</v>
      </c>
      <c r="C265" s="385"/>
      <c r="D265" s="389"/>
      <c r="E265" s="167"/>
      <c r="F265" s="167"/>
      <c r="G265" s="167"/>
      <c r="H265" s="385"/>
      <c r="I265" s="389"/>
      <c r="J265" s="167"/>
      <c r="K265" s="167"/>
      <c r="L265" s="167"/>
      <c r="M265" s="385"/>
      <c r="N265" s="389"/>
      <c r="O265" s="49"/>
      <c r="P265" s="49"/>
      <c r="Q265" s="49"/>
      <c r="R265" s="382"/>
      <c r="S265" s="379"/>
      <c r="T265" s="49"/>
      <c r="U265" s="49"/>
      <c r="V265" s="49"/>
      <c r="W265" s="382"/>
      <c r="X265" s="379"/>
      <c r="Y265" s="49"/>
      <c r="Z265" s="49"/>
      <c r="AA265" s="49"/>
      <c r="AB265" s="382"/>
    </row>
    <row r="266" spans="1:28" ht="18" customHeight="1" x14ac:dyDescent="0.2">
      <c r="A266" s="391"/>
      <c r="B266" s="140" t="s">
        <v>842</v>
      </c>
      <c r="C266" s="385"/>
      <c r="D266" s="389"/>
      <c r="E266" s="167"/>
      <c r="F266" s="167"/>
      <c r="G266" s="167"/>
      <c r="H266" s="385"/>
      <c r="I266" s="389"/>
      <c r="J266" s="167"/>
      <c r="K266" s="167"/>
      <c r="L266" s="167"/>
      <c r="M266" s="385"/>
      <c r="N266" s="389"/>
      <c r="O266" s="49"/>
      <c r="P266" s="49"/>
      <c r="Q266" s="49"/>
      <c r="R266" s="382"/>
      <c r="S266" s="379"/>
      <c r="T266" s="49"/>
      <c r="U266" s="49"/>
      <c r="V266" s="49"/>
      <c r="W266" s="382"/>
      <c r="X266" s="379"/>
      <c r="Y266" s="49"/>
      <c r="Z266" s="49"/>
      <c r="AA266" s="49"/>
      <c r="AB266" s="382"/>
    </row>
    <row r="267" spans="1:28" ht="17.25" customHeight="1" x14ac:dyDescent="0.2">
      <c r="A267" s="391"/>
      <c r="B267" s="140" t="s">
        <v>873</v>
      </c>
      <c r="C267" s="385"/>
      <c r="D267" s="389"/>
      <c r="E267" s="167"/>
      <c r="F267" s="167"/>
      <c r="G267" s="167"/>
      <c r="H267" s="385"/>
      <c r="I267" s="389"/>
      <c r="J267" s="167"/>
      <c r="K267" s="167"/>
      <c r="L267" s="167"/>
      <c r="M267" s="385"/>
      <c r="N267" s="389"/>
      <c r="O267" s="49"/>
      <c r="P267" s="49"/>
      <c r="Q267" s="49"/>
      <c r="R267" s="382"/>
      <c r="S267" s="379"/>
      <c r="T267" s="49"/>
      <c r="U267" s="49"/>
      <c r="V267" s="49"/>
      <c r="W267" s="382"/>
      <c r="X267" s="379"/>
      <c r="Y267" s="49"/>
      <c r="Z267" s="49"/>
      <c r="AA267" s="49"/>
      <c r="AB267" s="382"/>
    </row>
    <row r="268" spans="1:28" ht="18" customHeight="1" x14ac:dyDescent="0.2">
      <c r="A268" s="392"/>
      <c r="B268" s="139" t="s">
        <v>147</v>
      </c>
      <c r="C268" s="385"/>
      <c r="D268" s="389"/>
      <c r="E268" s="167"/>
      <c r="F268" s="167"/>
      <c r="G268" s="167"/>
      <c r="H268" s="385"/>
      <c r="I268" s="389"/>
      <c r="J268" s="167"/>
      <c r="K268" s="167"/>
      <c r="L268" s="167"/>
      <c r="M268" s="385"/>
      <c r="N268" s="389"/>
      <c r="O268" s="49"/>
      <c r="P268" s="49"/>
      <c r="Q268" s="49"/>
      <c r="R268" s="382"/>
      <c r="S268" s="379"/>
      <c r="T268" s="49"/>
      <c r="U268" s="49"/>
      <c r="V268" s="49"/>
      <c r="W268" s="382"/>
      <c r="X268" s="379"/>
      <c r="Y268" s="49"/>
      <c r="Z268" s="49"/>
      <c r="AA268" s="49"/>
      <c r="AB268" s="382"/>
    </row>
    <row r="269" spans="1:28" ht="18" customHeight="1" x14ac:dyDescent="0.2">
      <c r="A269" s="391"/>
      <c r="B269" s="140" t="s">
        <v>875</v>
      </c>
      <c r="C269" s="385"/>
      <c r="D269" s="389"/>
      <c r="E269" s="167"/>
      <c r="F269" s="167"/>
      <c r="G269" s="167"/>
      <c r="H269" s="385"/>
      <c r="I269" s="389"/>
      <c r="J269" s="167"/>
      <c r="K269" s="167"/>
      <c r="L269" s="167"/>
      <c r="M269" s="385"/>
      <c r="N269" s="389"/>
      <c r="O269" s="49"/>
      <c r="P269" s="49"/>
      <c r="Q269" s="49"/>
      <c r="R269" s="382"/>
      <c r="S269" s="379"/>
      <c r="T269" s="49"/>
      <c r="U269" s="49"/>
      <c r="V269" s="49"/>
      <c r="W269" s="382"/>
      <c r="X269" s="379"/>
      <c r="Y269" s="49"/>
      <c r="Z269" s="49"/>
      <c r="AA269" s="49"/>
      <c r="AB269" s="382"/>
    </row>
    <row r="270" spans="1:28" ht="18" customHeight="1" x14ac:dyDescent="0.2">
      <c r="A270" s="391"/>
      <c r="B270" s="140" t="s">
        <v>876</v>
      </c>
      <c r="C270" s="385"/>
      <c r="D270" s="389"/>
      <c r="E270" s="167"/>
      <c r="F270" s="167"/>
      <c r="G270" s="167"/>
      <c r="H270" s="385"/>
      <c r="I270" s="389"/>
      <c r="J270" s="167"/>
      <c r="K270" s="167"/>
      <c r="L270" s="167"/>
      <c r="M270" s="385"/>
      <c r="N270" s="389"/>
      <c r="O270" s="49"/>
      <c r="P270" s="49"/>
      <c r="Q270" s="49"/>
      <c r="R270" s="382"/>
      <c r="S270" s="379"/>
      <c r="T270" s="49"/>
      <c r="U270" s="49"/>
      <c r="V270" s="49"/>
      <c r="W270" s="382"/>
      <c r="X270" s="379"/>
      <c r="Y270" s="49"/>
      <c r="Z270" s="49"/>
      <c r="AA270" s="49"/>
      <c r="AB270" s="382"/>
    </row>
    <row r="271" spans="1:28" ht="18" customHeight="1" x14ac:dyDescent="0.2">
      <c r="A271" s="391"/>
      <c r="B271" s="140" t="s">
        <v>843</v>
      </c>
      <c r="C271" s="385"/>
      <c r="D271" s="389"/>
      <c r="E271" s="167"/>
      <c r="F271" s="167"/>
      <c r="G271" s="167"/>
      <c r="H271" s="385"/>
      <c r="I271" s="389"/>
      <c r="J271" s="167"/>
      <c r="K271" s="167"/>
      <c r="L271" s="167"/>
      <c r="M271" s="385"/>
      <c r="N271" s="389"/>
      <c r="O271" s="49"/>
      <c r="P271" s="49"/>
      <c r="Q271" s="49"/>
      <c r="R271" s="382"/>
      <c r="S271" s="379"/>
      <c r="T271" s="49"/>
      <c r="U271" s="49"/>
      <c r="V271" s="49"/>
      <c r="W271" s="382"/>
      <c r="X271" s="379"/>
      <c r="Y271" s="49"/>
      <c r="Z271" s="49"/>
      <c r="AA271" s="49"/>
      <c r="AB271" s="382"/>
    </row>
    <row r="272" spans="1:28" ht="18" customHeight="1" x14ac:dyDescent="0.2">
      <c r="A272" s="391"/>
      <c r="B272" s="140" t="s">
        <v>844</v>
      </c>
      <c r="C272" s="385"/>
      <c r="D272" s="389"/>
      <c r="E272" s="167"/>
      <c r="F272" s="167"/>
      <c r="G272" s="167"/>
      <c r="H272" s="385"/>
      <c r="I272" s="389"/>
      <c r="J272" s="167"/>
      <c r="K272" s="167"/>
      <c r="L272" s="167"/>
      <c r="M272" s="385"/>
      <c r="N272" s="389"/>
      <c r="O272" s="49"/>
      <c r="P272" s="49"/>
      <c r="Q272" s="49"/>
      <c r="R272" s="382"/>
      <c r="S272" s="379"/>
      <c r="T272" s="49"/>
      <c r="U272" s="49"/>
      <c r="V272" s="49"/>
      <c r="W272" s="382"/>
      <c r="X272" s="379"/>
      <c r="Y272" s="49"/>
      <c r="Z272" s="49"/>
      <c r="AA272" s="49"/>
      <c r="AB272" s="382"/>
    </row>
    <row r="273" spans="1:28" ht="18" customHeight="1" x14ac:dyDescent="0.2">
      <c r="A273" s="391"/>
      <c r="B273" s="140" t="s">
        <v>845</v>
      </c>
      <c r="C273" s="385"/>
      <c r="D273" s="389"/>
      <c r="E273" s="167"/>
      <c r="F273" s="167"/>
      <c r="G273" s="167"/>
      <c r="H273" s="385"/>
      <c r="I273" s="389"/>
      <c r="J273" s="167"/>
      <c r="K273" s="167"/>
      <c r="L273" s="167"/>
      <c r="M273" s="385"/>
      <c r="N273" s="389"/>
      <c r="O273" s="49"/>
      <c r="P273" s="49"/>
      <c r="Q273" s="49"/>
      <c r="R273" s="382"/>
      <c r="S273" s="379"/>
      <c r="T273" s="49"/>
      <c r="U273" s="49"/>
      <c r="V273" s="49"/>
      <c r="W273" s="382"/>
      <c r="X273" s="379"/>
      <c r="Y273" s="49"/>
      <c r="Z273" s="49"/>
      <c r="AA273" s="49"/>
      <c r="AB273" s="382"/>
    </row>
    <row r="274" spans="1:28" ht="18" customHeight="1" x14ac:dyDescent="0.2">
      <c r="A274" s="391"/>
      <c r="B274" s="140" t="s">
        <v>846</v>
      </c>
      <c r="C274" s="385"/>
      <c r="D274" s="389"/>
      <c r="E274" s="167"/>
      <c r="F274" s="167"/>
      <c r="G274" s="167"/>
      <c r="H274" s="385"/>
      <c r="I274" s="389"/>
      <c r="J274" s="167"/>
      <c r="K274" s="167"/>
      <c r="L274" s="167"/>
      <c r="M274" s="385"/>
      <c r="N274" s="389"/>
      <c r="O274" s="49"/>
      <c r="P274" s="49"/>
      <c r="Q274" s="49"/>
      <c r="R274" s="382"/>
      <c r="S274" s="379"/>
      <c r="T274" s="49"/>
      <c r="U274" s="49"/>
      <c r="V274" s="49"/>
      <c r="W274" s="382"/>
      <c r="X274" s="379"/>
      <c r="Y274" s="49"/>
      <c r="Z274" s="49"/>
      <c r="AA274" s="49"/>
      <c r="AB274" s="382"/>
    </row>
    <row r="275" spans="1:28" ht="22.5" customHeight="1" x14ac:dyDescent="0.2">
      <c r="A275" s="391"/>
      <c r="B275" s="140" t="s">
        <v>847</v>
      </c>
      <c r="C275" s="385"/>
      <c r="D275" s="389"/>
      <c r="E275" s="167"/>
      <c r="F275" s="167"/>
      <c r="G275" s="167"/>
      <c r="H275" s="385"/>
      <c r="I275" s="389"/>
      <c r="J275" s="167"/>
      <c r="K275" s="167"/>
      <c r="L275" s="167"/>
      <c r="M275" s="385"/>
      <c r="N275" s="389"/>
      <c r="O275" s="49"/>
      <c r="P275" s="49"/>
      <c r="Q275" s="49"/>
      <c r="R275" s="382"/>
      <c r="S275" s="379"/>
      <c r="T275" s="49"/>
      <c r="U275" s="49"/>
      <c r="V275" s="49"/>
      <c r="W275" s="382"/>
      <c r="X275" s="379"/>
      <c r="Y275" s="49"/>
      <c r="Z275" s="49"/>
      <c r="AA275" s="49"/>
      <c r="AB275" s="382"/>
    </row>
    <row r="276" spans="1:28" ht="18" customHeight="1" x14ac:dyDescent="0.2">
      <c r="A276" s="391"/>
      <c r="B276" s="140" t="s">
        <v>848</v>
      </c>
      <c r="C276" s="385"/>
      <c r="D276" s="389"/>
      <c r="E276" s="167"/>
      <c r="F276" s="167"/>
      <c r="G276" s="167"/>
      <c r="H276" s="385"/>
      <c r="I276" s="389"/>
      <c r="J276" s="167"/>
      <c r="K276" s="167"/>
      <c r="L276" s="167"/>
      <c r="M276" s="385"/>
      <c r="N276" s="389"/>
      <c r="O276" s="49"/>
      <c r="P276" s="49"/>
      <c r="Q276" s="49"/>
      <c r="R276" s="382"/>
      <c r="S276" s="379"/>
      <c r="T276" s="49"/>
      <c r="U276" s="49"/>
      <c r="V276" s="49"/>
      <c r="W276" s="382"/>
      <c r="X276" s="379"/>
      <c r="Y276" s="49"/>
      <c r="Z276" s="49"/>
      <c r="AA276" s="49"/>
      <c r="AB276" s="382"/>
    </row>
    <row r="277" spans="1:28" ht="18" customHeight="1" x14ac:dyDescent="0.2">
      <c r="A277" s="391"/>
      <c r="B277" s="140" t="s">
        <v>849</v>
      </c>
      <c r="C277" s="385"/>
      <c r="D277" s="389"/>
      <c r="E277" s="167"/>
      <c r="F277" s="167"/>
      <c r="G277" s="167"/>
      <c r="H277" s="385"/>
      <c r="I277" s="389"/>
      <c r="J277" s="167"/>
      <c r="K277" s="167"/>
      <c r="L277" s="167"/>
      <c r="M277" s="385"/>
      <c r="N277" s="389"/>
      <c r="O277" s="49"/>
      <c r="P277" s="49"/>
      <c r="Q277" s="49"/>
      <c r="R277" s="382"/>
      <c r="S277" s="379"/>
      <c r="T277" s="49"/>
      <c r="U277" s="49"/>
      <c r="V277" s="49"/>
      <c r="W277" s="382"/>
      <c r="X277" s="379"/>
      <c r="Y277" s="49"/>
      <c r="Z277" s="49"/>
      <c r="AA277" s="49"/>
      <c r="AB277" s="382"/>
    </row>
    <row r="278" spans="1:28" ht="18" customHeight="1" x14ac:dyDescent="0.2">
      <c r="A278" s="391"/>
      <c r="B278" s="140" t="s">
        <v>850</v>
      </c>
      <c r="C278" s="385"/>
      <c r="D278" s="389"/>
      <c r="E278" s="167"/>
      <c r="F278" s="167"/>
      <c r="G278" s="167"/>
      <c r="H278" s="385"/>
      <c r="I278" s="389"/>
      <c r="J278" s="167"/>
      <c r="K278" s="167"/>
      <c r="L278" s="167"/>
      <c r="M278" s="385"/>
      <c r="N278" s="389"/>
      <c r="O278" s="49"/>
      <c r="P278" s="49"/>
      <c r="Q278" s="49"/>
      <c r="R278" s="382"/>
      <c r="S278" s="379"/>
      <c r="T278" s="49"/>
      <c r="U278" s="49"/>
      <c r="V278" s="49"/>
      <c r="W278" s="382"/>
      <c r="X278" s="379"/>
      <c r="Y278" s="49"/>
      <c r="Z278" s="49"/>
      <c r="AA278" s="49"/>
      <c r="AB278" s="382"/>
    </row>
    <row r="279" spans="1:28" ht="18" customHeight="1" x14ac:dyDescent="0.2">
      <c r="A279" s="391"/>
      <c r="B279" s="140" t="s">
        <v>851</v>
      </c>
      <c r="C279" s="385"/>
      <c r="D279" s="389"/>
      <c r="E279" s="167"/>
      <c r="F279" s="167"/>
      <c r="G279" s="167"/>
      <c r="H279" s="385"/>
      <c r="I279" s="389"/>
      <c r="J279" s="167"/>
      <c r="K279" s="167"/>
      <c r="L279" s="167"/>
      <c r="M279" s="385"/>
      <c r="N279" s="389"/>
      <c r="O279" s="49"/>
      <c r="P279" s="49"/>
      <c r="Q279" s="49"/>
      <c r="R279" s="382"/>
      <c r="S279" s="379"/>
      <c r="T279" s="49"/>
      <c r="U279" s="49"/>
      <c r="V279" s="49"/>
      <c r="W279" s="382"/>
      <c r="X279" s="379"/>
      <c r="Y279" s="49"/>
      <c r="Z279" s="49"/>
      <c r="AA279" s="49"/>
      <c r="AB279" s="382"/>
    </row>
    <row r="280" spans="1:28" ht="18" customHeight="1" x14ac:dyDescent="0.2">
      <c r="A280" s="391"/>
      <c r="B280" s="140" t="s">
        <v>852</v>
      </c>
      <c r="C280" s="385"/>
      <c r="D280" s="389"/>
      <c r="E280" s="167"/>
      <c r="F280" s="167"/>
      <c r="G280" s="167"/>
      <c r="H280" s="385"/>
      <c r="I280" s="389"/>
      <c r="J280" s="167"/>
      <c r="K280" s="167"/>
      <c r="L280" s="167"/>
      <c r="M280" s="385"/>
      <c r="N280" s="389"/>
      <c r="O280" s="49"/>
      <c r="P280" s="49"/>
      <c r="Q280" s="49"/>
      <c r="R280" s="382"/>
      <c r="S280" s="379"/>
      <c r="T280" s="49"/>
      <c r="U280" s="49"/>
      <c r="V280" s="49"/>
      <c r="W280" s="382"/>
      <c r="X280" s="379"/>
      <c r="Y280" s="49"/>
      <c r="Z280" s="49"/>
      <c r="AA280" s="49"/>
      <c r="AB280" s="382"/>
    </row>
    <row r="281" spans="1:28" ht="18" customHeight="1" x14ac:dyDescent="0.2">
      <c r="A281" s="391"/>
      <c r="B281" s="140" t="s">
        <v>853</v>
      </c>
      <c r="C281" s="385"/>
      <c r="D281" s="389"/>
      <c r="E281" s="167"/>
      <c r="F281" s="167"/>
      <c r="G281" s="167"/>
      <c r="H281" s="385"/>
      <c r="I281" s="389"/>
      <c r="J281" s="167"/>
      <c r="K281" s="167"/>
      <c r="L281" s="167"/>
      <c r="M281" s="385"/>
      <c r="N281" s="389"/>
      <c r="O281" s="49"/>
      <c r="P281" s="49"/>
      <c r="Q281" s="49"/>
      <c r="R281" s="382"/>
      <c r="S281" s="379"/>
      <c r="T281" s="49"/>
      <c r="U281" s="49"/>
      <c r="V281" s="49"/>
      <c r="W281" s="382"/>
      <c r="X281" s="379"/>
      <c r="Y281" s="49"/>
      <c r="Z281" s="49"/>
      <c r="AA281" s="49"/>
      <c r="AB281" s="382"/>
    </row>
    <row r="282" spans="1:28" ht="18" customHeight="1" x14ac:dyDescent="0.2">
      <c r="A282" s="391"/>
      <c r="B282" s="140" t="s">
        <v>854</v>
      </c>
      <c r="C282" s="385"/>
      <c r="D282" s="389"/>
      <c r="E282" s="167"/>
      <c r="F282" s="167"/>
      <c r="G282" s="167"/>
      <c r="H282" s="385"/>
      <c r="I282" s="389"/>
      <c r="J282" s="167"/>
      <c r="K282" s="167"/>
      <c r="L282" s="167"/>
      <c r="M282" s="385"/>
      <c r="N282" s="389"/>
      <c r="O282" s="49"/>
      <c r="P282" s="49"/>
      <c r="Q282" s="49"/>
      <c r="R282" s="382"/>
      <c r="S282" s="379"/>
      <c r="T282" s="49"/>
      <c r="U282" s="49"/>
      <c r="V282" s="49"/>
      <c r="W282" s="382"/>
      <c r="X282" s="379"/>
      <c r="Y282" s="49"/>
      <c r="Z282" s="49"/>
      <c r="AA282" s="49"/>
      <c r="AB282" s="382"/>
    </row>
    <row r="283" spans="1:28" ht="18" customHeight="1" x14ac:dyDescent="0.2">
      <c r="A283" s="391"/>
      <c r="B283" s="140" t="s">
        <v>855</v>
      </c>
      <c r="C283" s="385"/>
      <c r="D283" s="389"/>
      <c r="E283" s="167"/>
      <c r="F283" s="167"/>
      <c r="G283" s="167"/>
      <c r="H283" s="385"/>
      <c r="I283" s="389"/>
      <c r="J283" s="167"/>
      <c r="K283" s="167"/>
      <c r="L283" s="167"/>
      <c r="M283" s="385"/>
      <c r="N283" s="389"/>
      <c r="O283" s="49"/>
      <c r="P283" s="49"/>
      <c r="Q283" s="49"/>
      <c r="R283" s="382"/>
      <c r="S283" s="379"/>
      <c r="T283" s="49"/>
      <c r="U283" s="49"/>
      <c r="V283" s="49"/>
      <c r="W283" s="382"/>
      <c r="X283" s="379"/>
      <c r="Y283" s="49"/>
      <c r="Z283" s="49"/>
      <c r="AA283" s="49"/>
      <c r="AB283" s="382"/>
    </row>
    <row r="284" spans="1:28" ht="16.149999999999999" customHeight="1" x14ac:dyDescent="0.2">
      <c r="A284" s="391"/>
      <c r="B284" s="140" t="s">
        <v>856</v>
      </c>
      <c r="C284" s="385"/>
      <c r="D284" s="389"/>
      <c r="E284" s="167"/>
      <c r="F284" s="167"/>
      <c r="G284" s="167"/>
      <c r="H284" s="385"/>
      <c r="I284" s="389"/>
      <c r="J284" s="167"/>
      <c r="K284" s="167"/>
      <c r="L284" s="167"/>
      <c r="M284" s="385"/>
      <c r="N284" s="389"/>
      <c r="O284" s="49"/>
      <c r="P284" s="49"/>
      <c r="Q284" s="49"/>
      <c r="R284" s="382"/>
      <c r="S284" s="379"/>
      <c r="T284" s="49"/>
      <c r="U284" s="49"/>
      <c r="V284" s="49"/>
      <c r="W284" s="382"/>
      <c r="X284" s="379"/>
      <c r="Y284" s="49"/>
      <c r="Z284" s="49"/>
      <c r="AA284" s="49"/>
      <c r="AB284" s="382"/>
    </row>
    <row r="285" spans="1:28" ht="16.149999999999999" customHeight="1" x14ac:dyDescent="0.2">
      <c r="A285" s="391"/>
      <c r="B285" s="140" t="s">
        <v>857</v>
      </c>
      <c r="C285" s="385"/>
      <c r="D285" s="389"/>
      <c r="E285" s="167"/>
      <c r="F285" s="167"/>
      <c r="G285" s="167"/>
      <c r="H285" s="385"/>
      <c r="I285" s="389"/>
      <c r="J285" s="167"/>
      <c r="K285" s="167"/>
      <c r="L285" s="167"/>
      <c r="M285" s="385"/>
      <c r="N285" s="389"/>
      <c r="O285" s="49"/>
      <c r="P285" s="49"/>
      <c r="Q285" s="49"/>
      <c r="R285" s="382"/>
      <c r="S285" s="379"/>
      <c r="T285" s="49"/>
      <c r="U285" s="49"/>
      <c r="V285" s="49"/>
      <c r="W285" s="382"/>
      <c r="X285" s="379"/>
      <c r="Y285" s="49"/>
      <c r="Z285" s="49"/>
      <c r="AA285" s="49"/>
      <c r="AB285" s="382"/>
    </row>
    <row r="286" spans="1:28" ht="16.149999999999999" customHeight="1" x14ac:dyDescent="0.2">
      <c r="A286" s="391"/>
      <c r="B286" s="140" t="s">
        <v>858</v>
      </c>
      <c r="C286" s="385"/>
      <c r="D286" s="389"/>
      <c r="E286" s="167"/>
      <c r="F286" s="167"/>
      <c r="G286" s="167"/>
      <c r="H286" s="385"/>
      <c r="I286" s="389"/>
      <c r="J286" s="167"/>
      <c r="K286" s="167"/>
      <c r="L286" s="167"/>
      <c r="M286" s="385"/>
      <c r="N286" s="389"/>
      <c r="O286" s="49"/>
      <c r="P286" s="49"/>
      <c r="Q286" s="49"/>
      <c r="R286" s="382"/>
      <c r="S286" s="379"/>
      <c r="T286" s="49"/>
      <c r="U286" s="49"/>
      <c r="V286" s="49"/>
      <c r="W286" s="382"/>
      <c r="X286" s="379"/>
      <c r="Y286" s="49"/>
      <c r="Z286" s="49"/>
      <c r="AA286" s="49"/>
      <c r="AB286" s="382"/>
    </row>
    <row r="287" spans="1:28" ht="16.149999999999999" customHeight="1" x14ac:dyDescent="0.2">
      <c r="A287" s="391"/>
      <c r="B287" s="140" t="s">
        <v>859</v>
      </c>
      <c r="C287" s="385"/>
      <c r="D287" s="389"/>
      <c r="E287" s="167"/>
      <c r="F287" s="167"/>
      <c r="G287" s="167"/>
      <c r="H287" s="385"/>
      <c r="I287" s="389"/>
      <c r="J287" s="167"/>
      <c r="K287" s="167"/>
      <c r="L287" s="167"/>
      <c r="M287" s="385"/>
      <c r="N287" s="389"/>
      <c r="O287" s="49"/>
      <c r="P287" s="49"/>
      <c r="Q287" s="49"/>
      <c r="R287" s="382"/>
      <c r="S287" s="379"/>
      <c r="T287" s="49"/>
      <c r="U287" s="49"/>
      <c r="V287" s="49"/>
      <c r="W287" s="382"/>
      <c r="X287" s="379"/>
      <c r="Y287" s="49"/>
      <c r="Z287" s="49"/>
      <c r="AA287" s="49"/>
      <c r="AB287" s="382"/>
    </row>
    <row r="288" spans="1:28" ht="16.149999999999999" customHeight="1" x14ac:dyDescent="0.2">
      <c r="A288" s="391"/>
      <c r="B288" s="140" t="s">
        <v>860</v>
      </c>
      <c r="C288" s="385"/>
      <c r="D288" s="389"/>
      <c r="E288" s="167"/>
      <c r="F288" s="167"/>
      <c r="G288" s="167"/>
      <c r="H288" s="385"/>
      <c r="I288" s="389"/>
      <c r="J288" s="167"/>
      <c r="K288" s="167"/>
      <c r="L288" s="167"/>
      <c r="M288" s="385"/>
      <c r="N288" s="389"/>
      <c r="O288" s="49"/>
      <c r="P288" s="49"/>
      <c r="Q288" s="49"/>
      <c r="R288" s="382"/>
      <c r="S288" s="379"/>
      <c r="T288" s="49"/>
      <c r="U288" s="49"/>
      <c r="V288" s="49"/>
      <c r="W288" s="382"/>
      <c r="X288" s="379"/>
      <c r="Y288" s="49"/>
      <c r="Z288" s="49"/>
      <c r="AA288" s="49"/>
      <c r="AB288" s="382"/>
    </row>
    <row r="289" spans="1:28" ht="16.149999999999999" customHeight="1" x14ac:dyDescent="0.2">
      <c r="A289" s="391"/>
      <c r="B289" s="140" t="s">
        <v>861</v>
      </c>
      <c r="C289" s="385"/>
      <c r="D289" s="389"/>
      <c r="E289" s="167"/>
      <c r="F289" s="167"/>
      <c r="G289" s="167"/>
      <c r="H289" s="385"/>
      <c r="I289" s="389"/>
      <c r="J289" s="167"/>
      <c r="K289" s="167"/>
      <c r="L289" s="167"/>
      <c r="M289" s="385"/>
      <c r="N289" s="389"/>
      <c r="O289" s="49"/>
      <c r="P289" s="49"/>
      <c r="Q289" s="49"/>
      <c r="R289" s="382"/>
      <c r="S289" s="379"/>
      <c r="T289" s="49"/>
      <c r="U289" s="49"/>
      <c r="V289" s="49"/>
      <c r="W289" s="382"/>
      <c r="X289" s="379"/>
      <c r="Y289" s="49"/>
      <c r="Z289" s="49"/>
      <c r="AA289" s="49"/>
      <c r="AB289" s="382"/>
    </row>
    <row r="290" spans="1:28" ht="16.149999999999999" customHeight="1" x14ac:dyDescent="0.2">
      <c r="A290" s="391"/>
      <c r="B290" s="140" t="s">
        <v>862</v>
      </c>
      <c r="C290" s="385"/>
      <c r="D290" s="389"/>
      <c r="E290" s="167"/>
      <c r="F290" s="167"/>
      <c r="G290" s="167"/>
      <c r="H290" s="385"/>
      <c r="I290" s="389"/>
      <c r="J290" s="167"/>
      <c r="K290" s="167"/>
      <c r="L290" s="167"/>
      <c r="M290" s="385"/>
      <c r="N290" s="389"/>
      <c r="O290" s="49"/>
      <c r="P290" s="49"/>
      <c r="Q290" s="49"/>
      <c r="R290" s="382"/>
      <c r="S290" s="379"/>
      <c r="T290" s="49"/>
      <c r="U290" s="49"/>
      <c r="V290" s="49"/>
      <c r="W290" s="382"/>
      <c r="X290" s="379"/>
      <c r="Y290" s="49"/>
      <c r="Z290" s="49"/>
      <c r="AA290" s="49"/>
      <c r="AB290" s="382"/>
    </row>
    <row r="291" spans="1:28" ht="16.149999999999999" customHeight="1" x14ac:dyDescent="0.2">
      <c r="A291" s="391"/>
      <c r="B291" s="140" t="s">
        <v>863</v>
      </c>
      <c r="C291" s="385"/>
      <c r="D291" s="389"/>
      <c r="E291" s="167"/>
      <c r="F291" s="167"/>
      <c r="G291" s="167"/>
      <c r="H291" s="385"/>
      <c r="I291" s="389"/>
      <c r="J291" s="167"/>
      <c r="K291" s="167"/>
      <c r="L291" s="167"/>
      <c r="M291" s="385"/>
      <c r="N291" s="389"/>
      <c r="O291" s="49"/>
      <c r="P291" s="49"/>
      <c r="Q291" s="49"/>
      <c r="R291" s="382"/>
      <c r="S291" s="379"/>
      <c r="T291" s="49"/>
      <c r="U291" s="49"/>
      <c r="V291" s="49"/>
      <c r="W291" s="382"/>
      <c r="X291" s="379"/>
      <c r="Y291" s="49"/>
      <c r="Z291" s="49"/>
      <c r="AA291" s="49"/>
      <c r="AB291" s="382"/>
    </row>
    <row r="292" spans="1:28" ht="16.149999999999999" customHeight="1" x14ac:dyDescent="0.2">
      <c r="A292" s="391"/>
      <c r="B292" s="140" t="s">
        <v>864</v>
      </c>
      <c r="C292" s="385"/>
      <c r="D292" s="389"/>
      <c r="E292" s="167"/>
      <c r="F292" s="167"/>
      <c r="G292" s="167"/>
      <c r="H292" s="385"/>
      <c r="I292" s="389"/>
      <c r="J292" s="167"/>
      <c r="K292" s="167"/>
      <c r="L292" s="167"/>
      <c r="M292" s="385"/>
      <c r="N292" s="389"/>
      <c r="O292" s="49"/>
      <c r="P292" s="49"/>
      <c r="Q292" s="49"/>
      <c r="R292" s="382"/>
      <c r="S292" s="379"/>
      <c r="T292" s="49"/>
      <c r="U292" s="49"/>
      <c r="V292" s="49"/>
      <c r="W292" s="382"/>
      <c r="X292" s="379"/>
      <c r="Y292" s="49"/>
      <c r="Z292" s="49"/>
      <c r="AA292" s="49"/>
      <c r="AB292" s="382"/>
    </row>
    <row r="293" spans="1:28" ht="16.149999999999999" customHeight="1" x14ac:dyDescent="0.2">
      <c r="A293" s="391"/>
      <c r="B293" s="140" t="s">
        <v>865</v>
      </c>
      <c r="C293" s="385"/>
      <c r="D293" s="389"/>
      <c r="E293" s="167"/>
      <c r="F293" s="167"/>
      <c r="G293" s="167"/>
      <c r="H293" s="385"/>
      <c r="I293" s="389"/>
      <c r="J293" s="167"/>
      <c r="K293" s="167"/>
      <c r="L293" s="167"/>
      <c r="M293" s="385"/>
      <c r="N293" s="389"/>
      <c r="O293" s="49"/>
      <c r="P293" s="49"/>
      <c r="Q293" s="49"/>
      <c r="R293" s="382"/>
      <c r="S293" s="379"/>
      <c r="T293" s="49"/>
      <c r="U293" s="49"/>
      <c r="V293" s="49"/>
      <c r="W293" s="382"/>
      <c r="X293" s="379"/>
      <c r="Y293" s="49"/>
      <c r="Z293" s="49"/>
      <c r="AA293" s="49"/>
      <c r="AB293" s="382"/>
    </row>
    <row r="294" spans="1:28" ht="16.149999999999999" customHeight="1" x14ac:dyDescent="0.2">
      <c r="A294" s="391"/>
      <c r="B294" s="140" t="s">
        <v>884</v>
      </c>
      <c r="C294" s="385"/>
      <c r="D294" s="389"/>
      <c r="E294" s="167"/>
      <c r="F294" s="167"/>
      <c r="G294" s="167"/>
      <c r="H294" s="385"/>
      <c r="I294" s="389"/>
      <c r="J294" s="167"/>
      <c r="K294" s="167"/>
      <c r="L294" s="167"/>
      <c r="M294" s="385"/>
      <c r="N294" s="389"/>
      <c r="O294" s="49"/>
      <c r="P294" s="49"/>
      <c r="Q294" s="49"/>
      <c r="R294" s="382"/>
      <c r="S294" s="379"/>
      <c r="T294" s="49"/>
      <c r="U294" s="49"/>
      <c r="V294" s="49"/>
      <c r="W294" s="382"/>
      <c r="X294" s="379"/>
      <c r="Y294" s="49"/>
      <c r="Z294" s="49"/>
      <c r="AA294" s="49"/>
      <c r="AB294" s="382"/>
    </row>
    <row r="295" spans="1:28" ht="16.149999999999999" customHeight="1" x14ac:dyDescent="0.2">
      <c r="A295" s="391"/>
      <c r="B295" s="140" t="s">
        <v>867</v>
      </c>
      <c r="C295" s="385"/>
      <c r="D295" s="389"/>
      <c r="E295" s="167"/>
      <c r="F295" s="167"/>
      <c r="G295" s="167"/>
      <c r="H295" s="385"/>
      <c r="I295" s="389"/>
      <c r="J295" s="167"/>
      <c r="K295" s="167"/>
      <c r="L295" s="167"/>
      <c r="M295" s="385"/>
      <c r="N295" s="389"/>
      <c r="O295" s="49"/>
      <c r="P295" s="49"/>
      <c r="Q295" s="49"/>
      <c r="R295" s="382"/>
      <c r="S295" s="379"/>
      <c r="T295" s="49"/>
      <c r="U295" s="49"/>
      <c r="V295" s="49"/>
      <c r="W295" s="382"/>
      <c r="X295" s="379"/>
      <c r="Y295" s="49"/>
      <c r="Z295" s="49"/>
      <c r="AA295" s="49"/>
      <c r="AB295" s="382"/>
    </row>
    <row r="296" spans="1:28" ht="16.149999999999999" customHeight="1" x14ac:dyDescent="0.2">
      <c r="A296" s="391"/>
      <c r="B296" s="140" t="s">
        <v>882</v>
      </c>
      <c r="C296" s="385"/>
      <c r="D296" s="389"/>
      <c r="E296" s="167"/>
      <c r="F296" s="167"/>
      <c r="G296" s="167"/>
      <c r="H296" s="385"/>
      <c r="I296" s="389"/>
      <c r="J296" s="167"/>
      <c r="K296" s="167"/>
      <c r="L296" s="167"/>
      <c r="M296" s="385"/>
      <c r="N296" s="389"/>
      <c r="O296" s="49"/>
      <c r="P296" s="49"/>
      <c r="Q296" s="49"/>
      <c r="R296" s="382"/>
      <c r="S296" s="379"/>
      <c r="T296" s="49"/>
      <c r="U296" s="49"/>
      <c r="V296" s="49"/>
      <c r="W296" s="382"/>
      <c r="X296" s="379"/>
      <c r="Y296" s="49"/>
      <c r="Z296" s="49"/>
      <c r="AA296" s="49"/>
      <c r="AB296" s="382"/>
    </row>
    <row r="297" spans="1:28" ht="16.149999999999999" customHeight="1" x14ac:dyDescent="0.2">
      <c r="A297" s="391"/>
      <c r="B297" s="140" t="s">
        <v>881</v>
      </c>
      <c r="C297" s="385"/>
      <c r="D297" s="389"/>
      <c r="E297" s="167"/>
      <c r="F297" s="167"/>
      <c r="G297" s="167"/>
      <c r="H297" s="385"/>
      <c r="I297" s="389"/>
      <c r="J297" s="167"/>
      <c r="K297" s="167"/>
      <c r="L297" s="167"/>
      <c r="M297" s="385"/>
      <c r="N297" s="389"/>
      <c r="O297" s="49"/>
      <c r="P297" s="49"/>
      <c r="Q297" s="49"/>
      <c r="R297" s="382"/>
      <c r="S297" s="379"/>
      <c r="T297" s="49"/>
      <c r="U297" s="49"/>
      <c r="V297" s="49"/>
      <c r="W297" s="382"/>
      <c r="X297" s="379"/>
      <c r="Y297" s="49"/>
      <c r="Z297" s="49"/>
      <c r="AA297" s="49"/>
      <c r="AB297" s="382"/>
    </row>
    <row r="298" spans="1:28" ht="16.149999999999999" customHeight="1" x14ac:dyDescent="0.2">
      <c r="A298" s="391"/>
      <c r="B298" s="140" t="s">
        <v>868</v>
      </c>
      <c r="C298" s="385"/>
      <c r="D298" s="389"/>
      <c r="E298" s="167"/>
      <c r="F298" s="167"/>
      <c r="G298" s="167"/>
      <c r="H298" s="385"/>
      <c r="I298" s="389"/>
      <c r="J298" s="167"/>
      <c r="K298" s="167"/>
      <c r="L298" s="167"/>
      <c r="M298" s="385"/>
      <c r="N298" s="389"/>
      <c r="O298" s="49"/>
      <c r="P298" s="49"/>
      <c r="Q298" s="49"/>
      <c r="R298" s="382"/>
      <c r="S298" s="379"/>
      <c r="T298" s="49"/>
      <c r="U298" s="49"/>
      <c r="V298" s="49"/>
      <c r="W298" s="382"/>
      <c r="X298" s="379"/>
      <c r="Y298" s="49"/>
      <c r="Z298" s="49"/>
      <c r="AA298" s="49"/>
      <c r="AB298" s="382"/>
    </row>
    <row r="299" spans="1:28" ht="16.149999999999999" customHeight="1" x14ac:dyDescent="0.2">
      <c r="A299" s="391"/>
      <c r="B299" s="140" t="s">
        <v>880</v>
      </c>
      <c r="C299" s="385"/>
      <c r="D299" s="389"/>
      <c r="E299" s="167"/>
      <c r="F299" s="167"/>
      <c r="G299" s="167"/>
      <c r="H299" s="385"/>
      <c r="I299" s="389"/>
      <c r="J299" s="167"/>
      <c r="K299" s="167"/>
      <c r="L299" s="167"/>
      <c r="M299" s="385"/>
      <c r="N299" s="389"/>
      <c r="O299" s="49"/>
      <c r="P299" s="49"/>
      <c r="Q299" s="49"/>
      <c r="R299" s="382"/>
      <c r="S299" s="379"/>
      <c r="T299" s="49"/>
      <c r="U299" s="49"/>
      <c r="V299" s="49"/>
      <c r="W299" s="382"/>
      <c r="X299" s="379"/>
      <c r="Y299" s="49"/>
      <c r="Z299" s="49"/>
      <c r="AA299" s="49"/>
      <c r="AB299" s="382"/>
    </row>
    <row r="300" spans="1:28" ht="16.149999999999999" customHeight="1" x14ac:dyDescent="0.2">
      <c r="A300" s="391"/>
      <c r="B300" s="140" t="s">
        <v>879</v>
      </c>
      <c r="C300" s="385"/>
      <c r="D300" s="389"/>
      <c r="E300" s="167"/>
      <c r="F300" s="167"/>
      <c r="G300" s="167"/>
      <c r="H300" s="385"/>
      <c r="I300" s="389"/>
      <c r="J300" s="167"/>
      <c r="K300" s="167"/>
      <c r="L300" s="167"/>
      <c r="M300" s="385"/>
      <c r="N300" s="389"/>
      <c r="O300" s="49"/>
      <c r="P300" s="49"/>
      <c r="Q300" s="49"/>
      <c r="R300" s="382"/>
      <c r="S300" s="379"/>
      <c r="T300" s="49"/>
      <c r="U300" s="49"/>
      <c r="V300" s="49"/>
      <c r="W300" s="382"/>
      <c r="X300" s="379"/>
      <c r="Y300" s="49"/>
      <c r="Z300" s="49"/>
      <c r="AA300" s="49"/>
      <c r="AB300" s="382"/>
    </row>
    <row r="301" spans="1:28" ht="16.149999999999999" customHeight="1" x14ac:dyDescent="0.2">
      <c r="A301" s="391"/>
      <c r="B301" s="140" t="s">
        <v>878</v>
      </c>
      <c r="C301" s="385"/>
      <c r="D301" s="389"/>
      <c r="E301" s="167"/>
      <c r="F301" s="167"/>
      <c r="G301" s="167"/>
      <c r="H301" s="385"/>
      <c r="I301" s="389"/>
      <c r="J301" s="167"/>
      <c r="K301" s="167"/>
      <c r="L301" s="167"/>
      <c r="M301" s="385"/>
      <c r="N301" s="389"/>
      <c r="O301" s="49"/>
      <c r="P301" s="49"/>
      <c r="Q301" s="49"/>
      <c r="R301" s="382"/>
      <c r="S301" s="379"/>
      <c r="T301" s="49"/>
      <c r="U301" s="49"/>
      <c r="V301" s="49"/>
      <c r="W301" s="382"/>
      <c r="X301" s="379"/>
      <c r="Y301" s="49"/>
      <c r="Z301" s="49"/>
      <c r="AA301" s="49"/>
      <c r="AB301" s="382"/>
    </row>
    <row r="302" spans="1:28" ht="16.149999999999999" customHeight="1" x14ac:dyDescent="0.2">
      <c r="A302" s="391"/>
      <c r="B302" s="140" t="s">
        <v>869</v>
      </c>
      <c r="C302" s="385"/>
      <c r="D302" s="389"/>
      <c r="E302" s="167"/>
      <c r="F302" s="167"/>
      <c r="G302" s="167"/>
      <c r="H302" s="385"/>
      <c r="I302" s="389"/>
      <c r="J302" s="167"/>
      <c r="K302" s="167"/>
      <c r="L302" s="167"/>
      <c r="M302" s="385"/>
      <c r="N302" s="389"/>
      <c r="O302" s="49"/>
      <c r="P302" s="49"/>
      <c r="Q302" s="49"/>
      <c r="R302" s="382"/>
      <c r="S302" s="379"/>
      <c r="T302" s="49"/>
      <c r="U302" s="49"/>
      <c r="V302" s="49"/>
      <c r="W302" s="382"/>
      <c r="X302" s="379"/>
      <c r="Y302" s="49"/>
      <c r="Z302" s="49"/>
      <c r="AA302" s="49"/>
      <c r="AB302" s="382"/>
    </row>
    <row r="303" spans="1:28" ht="15" customHeight="1" x14ac:dyDescent="0.2">
      <c r="A303" s="391"/>
      <c r="B303" s="140" t="s">
        <v>870</v>
      </c>
      <c r="C303" s="385"/>
      <c r="D303" s="389"/>
      <c r="E303" s="167"/>
      <c r="F303" s="167"/>
      <c r="G303" s="167"/>
      <c r="H303" s="385"/>
      <c r="I303" s="389"/>
      <c r="J303" s="167"/>
      <c r="K303" s="167"/>
      <c r="L303" s="167"/>
      <c r="M303" s="385"/>
      <c r="N303" s="389"/>
      <c r="O303" s="49"/>
      <c r="P303" s="49"/>
      <c r="Q303" s="49"/>
      <c r="R303" s="382"/>
      <c r="S303" s="379"/>
      <c r="T303" s="49"/>
      <c r="U303" s="49"/>
      <c r="V303" s="49"/>
      <c r="W303" s="382"/>
      <c r="X303" s="379"/>
      <c r="Y303" s="49"/>
      <c r="Z303" s="49"/>
      <c r="AA303" s="49"/>
      <c r="AB303" s="382"/>
    </row>
    <row r="304" spans="1:28" ht="16.5" customHeight="1" x14ac:dyDescent="0.2">
      <c r="A304" s="391"/>
      <c r="B304" s="140" t="s">
        <v>877</v>
      </c>
      <c r="C304" s="385"/>
      <c r="D304" s="389"/>
      <c r="E304" s="167"/>
      <c r="F304" s="167"/>
      <c r="G304" s="167"/>
      <c r="H304" s="385"/>
      <c r="I304" s="389"/>
      <c r="J304" s="167"/>
      <c r="K304" s="167"/>
      <c r="L304" s="167"/>
      <c r="M304" s="385"/>
      <c r="N304" s="389"/>
      <c r="O304" s="49"/>
      <c r="P304" s="49"/>
      <c r="Q304" s="49"/>
      <c r="R304" s="382"/>
      <c r="S304" s="379"/>
      <c r="T304" s="49"/>
      <c r="U304" s="49"/>
      <c r="V304" s="49"/>
      <c r="W304" s="382"/>
      <c r="X304" s="379"/>
      <c r="Y304" s="49"/>
      <c r="Z304" s="49"/>
      <c r="AA304" s="49"/>
      <c r="AB304" s="382"/>
    </row>
    <row r="305" spans="1:28" ht="15.75" customHeight="1" x14ac:dyDescent="0.2">
      <c r="A305" s="391"/>
      <c r="B305" s="140" t="s">
        <v>871</v>
      </c>
      <c r="C305" s="385"/>
      <c r="D305" s="389"/>
      <c r="E305" s="165"/>
      <c r="F305" s="165"/>
      <c r="G305" s="165"/>
      <c r="H305" s="385"/>
      <c r="I305" s="389"/>
      <c r="J305" s="165"/>
      <c r="K305" s="165"/>
      <c r="L305" s="165"/>
      <c r="M305" s="385"/>
      <c r="N305" s="389"/>
      <c r="O305" s="166"/>
      <c r="P305" s="166"/>
      <c r="Q305" s="166"/>
      <c r="R305" s="382"/>
      <c r="S305" s="379"/>
      <c r="T305" s="166"/>
      <c r="U305" s="166"/>
      <c r="V305" s="166"/>
      <c r="W305" s="382"/>
      <c r="X305" s="379"/>
      <c r="Y305" s="166"/>
      <c r="Z305" s="166"/>
      <c r="AA305" s="166"/>
      <c r="AB305" s="382"/>
    </row>
    <row r="306" spans="1:28" ht="15.75" customHeight="1" x14ac:dyDescent="0.2">
      <c r="A306" s="391"/>
      <c r="B306" s="140" t="s">
        <v>872</v>
      </c>
      <c r="C306" s="385"/>
      <c r="D306" s="389"/>
      <c r="E306" s="165"/>
      <c r="F306" s="165"/>
      <c r="G306" s="165"/>
      <c r="H306" s="385"/>
      <c r="I306" s="389"/>
      <c r="J306" s="165"/>
      <c r="K306" s="165"/>
      <c r="L306" s="165"/>
      <c r="M306" s="385"/>
      <c r="N306" s="389"/>
      <c r="O306" s="166"/>
      <c r="P306" s="166"/>
      <c r="Q306" s="166"/>
      <c r="R306" s="382"/>
      <c r="S306" s="379"/>
      <c r="T306" s="166"/>
      <c r="U306" s="166"/>
      <c r="V306" s="166"/>
      <c r="W306" s="382"/>
      <c r="X306" s="379"/>
      <c r="Y306" s="166"/>
      <c r="Z306" s="166"/>
      <c r="AA306" s="166"/>
      <c r="AB306" s="382"/>
    </row>
    <row r="307" spans="1:28" ht="15.75" customHeight="1" x14ac:dyDescent="0.2">
      <c r="A307" s="391"/>
      <c r="B307" s="139" t="s">
        <v>322</v>
      </c>
      <c r="C307" s="385"/>
      <c r="D307" s="389"/>
      <c r="E307" s="165"/>
      <c r="F307" s="165"/>
      <c r="G307" s="165"/>
      <c r="H307" s="385"/>
      <c r="I307" s="389"/>
      <c r="J307" s="165"/>
      <c r="K307" s="165"/>
      <c r="L307" s="165"/>
      <c r="M307" s="385"/>
      <c r="N307" s="389"/>
      <c r="O307" s="166"/>
      <c r="P307" s="166"/>
      <c r="Q307" s="166"/>
      <c r="R307" s="382"/>
      <c r="S307" s="379"/>
      <c r="T307" s="166"/>
      <c r="U307" s="166"/>
      <c r="V307" s="166"/>
      <c r="W307" s="382"/>
      <c r="X307" s="379"/>
      <c r="Y307" s="166"/>
      <c r="Z307" s="166"/>
      <c r="AA307" s="166"/>
      <c r="AB307" s="382"/>
    </row>
    <row r="308" spans="1:28" ht="16.149999999999999" customHeight="1" x14ac:dyDescent="0.2">
      <c r="A308" s="391"/>
      <c r="B308" s="140" t="s">
        <v>883</v>
      </c>
      <c r="C308" s="385"/>
      <c r="D308" s="389"/>
      <c r="E308" s="165"/>
      <c r="F308" s="165"/>
      <c r="G308" s="165"/>
      <c r="H308" s="385"/>
      <c r="I308" s="389"/>
      <c r="J308" s="165"/>
      <c r="K308" s="165"/>
      <c r="L308" s="165"/>
      <c r="M308" s="385"/>
      <c r="N308" s="389"/>
      <c r="O308" s="166"/>
      <c r="P308" s="166"/>
      <c r="Q308" s="166"/>
      <c r="R308" s="382"/>
      <c r="S308" s="379"/>
      <c r="T308" s="166"/>
      <c r="U308" s="166"/>
      <c r="V308" s="166"/>
      <c r="W308" s="382"/>
      <c r="X308" s="379"/>
      <c r="Y308" s="166"/>
      <c r="Z308" s="166"/>
      <c r="AA308" s="166"/>
      <c r="AB308" s="382"/>
    </row>
    <row r="309" spans="1:28" ht="16.149999999999999" customHeight="1" x14ac:dyDescent="0.2">
      <c r="A309" s="391"/>
      <c r="B309" s="140" t="s">
        <v>885</v>
      </c>
      <c r="C309" s="385"/>
      <c r="D309" s="389"/>
      <c r="E309" s="165"/>
      <c r="F309" s="165"/>
      <c r="G309" s="165"/>
      <c r="H309" s="385"/>
      <c r="I309" s="389"/>
      <c r="J309" s="165"/>
      <c r="K309" s="165"/>
      <c r="L309" s="165"/>
      <c r="M309" s="385"/>
      <c r="N309" s="389"/>
      <c r="O309" s="166"/>
      <c r="P309" s="166"/>
      <c r="Q309" s="166"/>
      <c r="R309" s="382"/>
      <c r="S309" s="379"/>
      <c r="T309" s="166"/>
      <c r="U309" s="166"/>
      <c r="V309" s="166"/>
      <c r="W309" s="382"/>
      <c r="X309" s="379"/>
      <c r="Y309" s="166"/>
      <c r="Z309" s="166"/>
      <c r="AA309" s="166"/>
      <c r="AB309" s="382"/>
    </row>
    <row r="310" spans="1:28" ht="16.149999999999999" customHeight="1" x14ac:dyDescent="0.2">
      <c r="A310" s="391"/>
      <c r="B310" s="140" t="s">
        <v>886</v>
      </c>
      <c r="C310" s="385"/>
      <c r="D310" s="389"/>
      <c r="E310" s="165"/>
      <c r="F310" s="165"/>
      <c r="G310" s="165"/>
      <c r="H310" s="385"/>
      <c r="I310" s="389"/>
      <c r="J310" s="165"/>
      <c r="K310" s="165"/>
      <c r="L310" s="165"/>
      <c r="M310" s="385"/>
      <c r="N310" s="389"/>
      <c r="O310" s="166"/>
      <c r="P310" s="166"/>
      <c r="Q310" s="166"/>
      <c r="R310" s="382"/>
      <c r="S310" s="379"/>
      <c r="T310" s="166"/>
      <c r="U310" s="166"/>
      <c r="V310" s="166"/>
      <c r="W310" s="382"/>
      <c r="X310" s="379"/>
      <c r="Y310" s="166"/>
      <c r="Z310" s="166"/>
      <c r="AA310" s="166"/>
      <c r="AB310" s="382"/>
    </row>
    <row r="311" spans="1:28" ht="16.149999999999999" customHeight="1" x14ac:dyDescent="0.2">
      <c r="A311" s="391"/>
      <c r="B311" s="140" t="s">
        <v>887</v>
      </c>
      <c r="C311" s="385"/>
      <c r="D311" s="389"/>
      <c r="E311" s="165"/>
      <c r="F311" s="165"/>
      <c r="G311" s="165"/>
      <c r="H311" s="385"/>
      <c r="I311" s="389"/>
      <c r="J311" s="165"/>
      <c r="K311" s="165"/>
      <c r="L311" s="165"/>
      <c r="M311" s="385"/>
      <c r="N311" s="389"/>
      <c r="O311" s="166"/>
      <c r="P311" s="166"/>
      <c r="Q311" s="166"/>
      <c r="R311" s="382"/>
      <c r="S311" s="379"/>
      <c r="T311" s="166"/>
      <c r="U311" s="166"/>
      <c r="V311" s="166"/>
      <c r="W311" s="382"/>
      <c r="X311" s="379"/>
      <c r="Y311" s="166"/>
      <c r="Z311" s="166"/>
      <c r="AA311" s="166"/>
      <c r="AB311" s="382"/>
    </row>
    <row r="312" spans="1:28" ht="16.149999999999999" customHeight="1" x14ac:dyDescent="0.2">
      <c r="A312" s="391"/>
      <c r="B312" s="140" t="s">
        <v>888</v>
      </c>
      <c r="C312" s="385"/>
      <c r="D312" s="389"/>
      <c r="E312" s="165"/>
      <c r="F312" s="165"/>
      <c r="G312" s="165"/>
      <c r="H312" s="385"/>
      <c r="I312" s="389"/>
      <c r="J312" s="165"/>
      <c r="K312" s="165"/>
      <c r="L312" s="165"/>
      <c r="M312" s="385"/>
      <c r="N312" s="389"/>
      <c r="O312" s="166"/>
      <c r="P312" s="166"/>
      <c r="Q312" s="166"/>
      <c r="R312" s="382"/>
      <c r="S312" s="379"/>
      <c r="T312" s="166"/>
      <c r="U312" s="166"/>
      <c r="V312" s="166"/>
      <c r="W312" s="382"/>
      <c r="X312" s="379"/>
      <c r="Y312" s="166"/>
      <c r="Z312" s="166"/>
      <c r="AA312" s="166"/>
      <c r="AB312" s="382"/>
    </row>
    <row r="313" spans="1:28" ht="16.149999999999999" customHeight="1" x14ac:dyDescent="0.2">
      <c r="A313" s="391"/>
      <c r="B313" s="140" t="s">
        <v>321</v>
      </c>
      <c r="C313" s="385"/>
      <c r="D313" s="389"/>
      <c r="E313" s="165"/>
      <c r="F313" s="165"/>
      <c r="G313" s="165"/>
      <c r="H313" s="385"/>
      <c r="I313" s="389"/>
      <c r="J313" s="165"/>
      <c r="K313" s="165"/>
      <c r="L313" s="165"/>
      <c r="M313" s="385"/>
      <c r="N313" s="389"/>
      <c r="O313" s="166"/>
      <c r="P313" s="166"/>
      <c r="Q313" s="166"/>
      <c r="R313" s="382"/>
      <c r="S313" s="379"/>
      <c r="T313" s="166"/>
      <c r="U313" s="166"/>
      <c r="V313" s="166"/>
      <c r="W313" s="382"/>
      <c r="X313" s="379"/>
      <c r="Y313" s="166"/>
      <c r="Z313" s="166"/>
      <c r="AA313" s="166"/>
      <c r="AB313" s="382"/>
    </row>
    <row r="314" spans="1:28" ht="12.75" customHeight="1" x14ac:dyDescent="0.2">
      <c r="A314" s="391"/>
      <c r="B314" s="140" t="s">
        <v>889</v>
      </c>
      <c r="C314" s="385"/>
      <c r="D314" s="389"/>
      <c r="E314" s="165"/>
      <c r="F314" s="165"/>
      <c r="G314" s="165"/>
      <c r="H314" s="385"/>
      <c r="I314" s="389"/>
      <c r="J314" s="165"/>
      <c r="K314" s="165"/>
      <c r="L314" s="165"/>
      <c r="M314" s="385"/>
      <c r="N314" s="389"/>
      <c r="O314" s="166"/>
      <c r="P314" s="166"/>
      <c r="Q314" s="166"/>
      <c r="R314" s="382"/>
      <c r="S314" s="379"/>
      <c r="T314" s="166"/>
      <c r="U314" s="166"/>
      <c r="V314" s="166"/>
      <c r="W314" s="382"/>
      <c r="X314" s="379"/>
      <c r="Y314" s="166"/>
      <c r="Z314" s="166"/>
      <c r="AA314" s="166"/>
      <c r="AB314" s="382"/>
    </row>
    <row r="315" spans="1:28" ht="12.75" customHeight="1" x14ac:dyDescent="0.2">
      <c r="A315" s="391"/>
      <c r="B315" s="140" t="s">
        <v>890</v>
      </c>
      <c r="C315" s="385"/>
      <c r="D315" s="389"/>
      <c r="E315" s="165"/>
      <c r="F315" s="165"/>
      <c r="G315" s="165"/>
      <c r="H315" s="385"/>
      <c r="I315" s="389"/>
      <c r="J315" s="165"/>
      <c r="K315" s="165"/>
      <c r="L315" s="165"/>
      <c r="M315" s="385"/>
      <c r="N315" s="389"/>
      <c r="O315" s="166"/>
      <c r="P315" s="166"/>
      <c r="Q315" s="166"/>
      <c r="R315" s="382"/>
      <c r="S315" s="379"/>
      <c r="T315" s="166"/>
      <c r="U315" s="166"/>
      <c r="V315" s="166"/>
      <c r="W315" s="382"/>
      <c r="X315" s="379"/>
      <c r="Y315" s="166"/>
      <c r="Z315" s="166"/>
      <c r="AA315" s="166"/>
      <c r="AB315" s="382"/>
    </row>
    <row r="316" spans="1:28" ht="13.5" customHeight="1" x14ac:dyDescent="0.2">
      <c r="A316" s="391"/>
      <c r="B316" s="140" t="s">
        <v>891</v>
      </c>
      <c r="C316" s="385"/>
      <c r="D316" s="389"/>
      <c r="E316" s="165"/>
      <c r="F316" s="165"/>
      <c r="G316" s="165"/>
      <c r="H316" s="385"/>
      <c r="I316" s="389"/>
      <c r="J316" s="165"/>
      <c r="K316" s="165"/>
      <c r="L316" s="165"/>
      <c r="M316" s="385"/>
      <c r="N316" s="389"/>
      <c r="O316" s="166"/>
      <c r="P316" s="166"/>
      <c r="Q316" s="166"/>
      <c r="R316" s="382"/>
      <c r="S316" s="379"/>
      <c r="T316" s="166"/>
      <c r="U316" s="166"/>
      <c r="V316" s="166"/>
      <c r="W316" s="382"/>
      <c r="X316" s="379"/>
      <c r="Y316" s="166"/>
      <c r="Z316" s="166"/>
      <c r="AA316" s="166"/>
      <c r="AB316" s="382"/>
    </row>
    <row r="317" spans="1:28" ht="16.149999999999999" customHeight="1" x14ac:dyDescent="0.2">
      <c r="A317" s="391"/>
      <c r="B317" s="140" t="s">
        <v>892</v>
      </c>
      <c r="C317" s="385"/>
      <c r="D317" s="389"/>
      <c r="E317" s="165"/>
      <c r="F317" s="165"/>
      <c r="G317" s="165"/>
      <c r="H317" s="385"/>
      <c r="I317" s="389"/>
      <c r="J317" s="165"/>
      <c r="K317" s="165"/>
      <c r="L317" s="165"/>
      <c r="M317" s="385"/>
      <c r="N317" s="389"/>
      <c r="O317" s="166"/>
      <c r="P317" s="166"/>
      <c r="Q317" s="166"/>
      <c r="R317" s="382"/>
      <c r="S317" s="379"/>
      <c r="T317" s="166"/>
      <c r="U317" s="166"/>
      <c r="V317" s="166"/>
      <c r="W317" s="382"/>
      <c r="X317" s="379"/>
      <c r="Y317" s="166"/>
      <c r="Z317" s="166"/>
      <c r="AA317" s="166"/>
      <c r="AB317" s="382"/>
    </row>
    <row r="318" spans="1:28" ht="16.149999999999999" customHeight="1" x14ac:dyDescent="0.2">
      <c r="A318" s="391"/>
      <c r="B318" s="168" t="s">
        <v>893</v>
      </c>
      <c r="C318" s="385"/>
      <c r="D318" s="389"/>
      <c r="E318" s="169"/>
      <c r="F318" s="169"/>
      <c r="G318" s="169"/>
      <c r="H318" s="385"/>
      <c r="I318" s="389"/>
      <c r="J318" s="169"/>
      <c r="K318" s="169"/>
      <c r="L318" s="169"/>
      <c r="M318" s="385"/>
      <c r="N318" s="389"/>
      <c r="O318" s="170"/>
      <c r="P318" s="170"/>
      <c r="Q318" s="170"/>
      <c r="R318" s="382"/>
      <c r="S318" s="379"/>
      <c r="T318" s="170"/>
      <c r="U318" s="170"/>
      <c r="V318" s="170"/>
      <c r="W318" s="382"/>
      <c r="X318" s="379"/>
      <c r="Y318" s="170"/>
      <c r="Z318" s="170"/>
      <c r="AA318" s="170"/>
      <c r="AB318" s="382"/>
    </row>
    <row r="319" spans="1:28" ht="16.149999999999999" customHeight="1" x14ac:dyDescent="0.2">
      <c r="A319" s="391"/>
      <c r="B319" s="168" t="s">
        <v>894</v>
      </c>
      <c r="C319" s="385"/>
      <c r="D319" s="389"/>
      <c r="E319" s="165"/>
      <c r="F319" s="165"/>
      <c r="G319" s="165"/>
      <c r="H319" s="385"/>
      <c r="I319" s="389"/>
      <c r="J319" s="165"/>
      <c r="K319" s="165"/>
      <c r="L319" s="165"/>
      <c r="M319" s="385"/>
      <c r="N319" s="389"/>
      <c r="O319" s="166"/>
      <c r="P319" s="166"/>
      <c r="Q319" s="166"/>
      <c r="R319" s="382"/>
      <c r="S319" s="379"/>
      <c r="T319" s="166"/>
      <c r="U319" s="166"/>
      <c r="V319" s="166"/>
      <c r="W319" s="382"/>
      <c r="X319" s="379"/>
      <c r="Y319" s="166"/>
      <c r="Z319" s="166"/>
      <c r="AA319" s="166"/>
      <c r="AB319" s="382"/>
    </row>
    <row r="320" spans="1:28" ht="16.149999999999999" customHeight="1" x14ac:dyDescent="0.2">
      <c r="A320" s="391"/>
      <c r="B320" s="168" t="s">
        <v>895</v>
      </c>
      <c r="C320" s="385"/>
      <c r="D320" s="389"/>
      <c r="E320" s="169"/>
      <c r="F320" s="169"/>
      <c r="G320" s="169"/>
      <c r="H320" s="385"/>
      <c r="I320" s="389"/>
      <c r="J320" s="169"/>
      <c r="K320" s="169"/>
      <c r="L320" s="169"/>
      <c r="M320" s="385"/>
      <c r="N320" s="389"/>
      <c r="O320" s="170"/>
      <c r="P320" s="170"/>
      <c r="Q320" s="170"/>
      <c r="R320" s="382"/>
      <c r="S320" s="379"/>
      <c r="T320" s="170"/>
      <c r="U320" s="170"/>
      <c r="V320" s="170"/>
      <c r="W320" s="382"/>
      <c r="X320" s="379"/>
      <c r="Y320" s="170"/>
      <c r="Z320" s="170"/>
      <c r="AA320" s="170"/>
      <c r="AB320" s="382"/>
    </row>
    <row r="321" spans="1:28" ht="16.149999999999999" customHeight="1" x14ac:dyDescent="0.2">
      <c r="A321" s="391"/>
      <c r="B321" s="168" t="s">
        <v>896</v>
      </c>
      <c r="C321" s="385"/>
      <c r="D321" s="389"/>
      <c r="E321" s="165"/>
      <c r="F321" s="165"/>
      <c r="G321" s="165"/>
      <c r="H321" s="385"/>
      <c r="I321" s="389"/>
      <c r="J321" s="165"/>
      <c r="K321" s="165"/>
      <c r="L321" s="165"/>
      <c r="M321" s="385"/>
      <c r="N321" s="389"/>
      <c r="O321" s="166"/>
      <c r="P321" s="166"/>
      <c r="Q321" s="166"/>
      <c r="R321" s="382"/>
      <c r="S321" s="379"/>
      <c r="T321" s="166"/>
      <c r="U321" s="166"/>
      <c r="V321" s="166"/>
      <c r="W321" s="382"/>
      <c r="X321" s="379"/>
      <c r="Y321" s="166"/>
      <c r="Z321" s="166"/>
      <c r="AA321" s="166"/>
      <c r="AB321" s="382"/>
    </row>
    <row r="322" spans="1:28" ht="33.75" customHeight="1" x14ac:dyDescent="0.2">
      <c r="A322" s="391"/>
      <c r="B322" s="168" t="s">
        <v>897</v>
      </c>
      <c r="C322" s="385"/>
      <c r="D322" s="389"/>
      <c r="E322" s="165"/>
      <c r="F322" s="165"/>
      <c r="G322" s="165"/>
      <c r="H322" s="385"/>
      <c r="I322" s="389"/>
      <c r="J322" s="165"/>
      <c r="K322" s="165"/>
      <c r="L322" s="165"/>
      <c r="M322" s="385"/>
      <c r="N322" s="389"/>
      <c r="O322" s="166"/>
      <c r="P322" s="166"/>
      <c r="Q322" s="166"/>
      <c r="R322" s="382"/>
      <c r="S322" s="379"/>
      <c r="T322" s="166"/>
      <c r="U322" s="166"/>
      <c r="V322" s="166"/>
      <c r="W322" s="382"/>
      <c r="X322" s="379"/>
      <c r="Y322" s="166"/>
      <c r="Z322" s="166"/>
      <c r="AA322" s="166"/>
      <c r="AB322" s="382"/>
    </row>
    <row r="323" spans="1:28" ht="16.149999999999999" customHeight="1" x14ac:dyDescent="0.2">
      <c r="A323" s="391"/>
      <c r="B323" s="168" t="s">
        <v>898</v>
      </c>
      <c r="C323" s="385"/>
      <c r="D323" s="389"/>
      <c r="E323" s="165"/>
      <c r="F323" s="165"/>
      <c r="G323" s="165"/>
      <c r="H323" s="385"/>
      <c r="I323" s="389"/>
      <c r="J323" s="165"/>
      <c r="K323" s="165"/>
      <c r="L323" s="165"/>
      <c r="M323" s="385"/>
      <c r="N323" s="389"/>
      <c r="O323" s="166"/>
      <c r="P323" s="166"/>
      <c r="Q323" s="166"/>
      <c r="R323" s="382"/>
      <c r="S323" s="379"/>
      <c r="T323" s="166"/>
      <c r="U323" s="166"/>
      <c r="V323" s="166"/>
      <c r="W323" s="382"/>
      <c r="X323" s="379"/>
      <c r="Y323" s="166"/>
      <c r="Z323" s="166"/>
      <c r="AA323" s="166"/>
      <c r="AB323" s="382"/>
    </row>
    <row r="324" spans="1:28" ht="22.5" customHeight="1" x14ac:dyDescent="0.2">
      <c r="A324" s="391"/>
      <c r="B324" s="168" t="s">
        <v>899</v>
      </c>
      <c r="C324" s="385"/>
      <c r="D324" s="389"/>
      <c r="E324" s="165"/>
      <c r="F324" s="165"/>
      <c r="G324" s="165"/>
      <c r="H324" s="385"/>
      <c r="I324" s="389"/>
      <c r="J324" s="165"/>
      <c r="K324" s="165"/>
      <c r="L324" s="165"/>
      <c r="M324" s="385"/>
      <c r="N324" s="389"/>
      <c r="O324" s="166"/>
      <c r="P324" s="166"/>
      <c r="Q324" s="166"/>
      <c r="R324" s="382"/>
      <c r="S324" s="379"/>
      <c r="T324" s="166"/>
      <c r="U324" s="166"/>
      <c r="V324" s="166"/>
      <c r="W324" s="382"/>
      <c r="X324" s="379"/>
      <c r="Y324" s="166"/>
      <c r="Z324" s="166"/>
      <c r="AA324" s="166"/>
      <c r="AB324" s="382"/>
    </row>
    <row r="325" spans="1:28" ht="16.149999999999999" customHeight="1" x14ac:dyDescent="0.2">
      <c r="A325" s="391"/>
      <c r="B325" s="168" t="s">
        <v>900</v>
      </c>
      <c r="C325" s="385"/>
      <c r="D325" s="389"/>
      <c r="E325" s="171"/>
      <c r="F325" s="171"/>
      <c r="G325" s="171"/>
      <c r="H325" s="385"/>
      <c r="I325" s="389"/>
      <c r="J325" s="171"/>
      <c r="K325" s="171"/>
      <c r="L325" s="171"/>
      <c r="M325" s="385"/>
      <c r="N325" s="389"/>
      <c r="O325" s="172"/>
      <c r="P325" s="172"/>
      <c r="Q325" s="172"/>
      <c r="R325" s="382"/>
      <c r="S325" s="379"/>
      <c r="T325" s="172"/>
      <c r="U325" s="172"/>
      <c r="V325" s="172"/>
      <c r="W325" s="382"/>
      <c r="X325" s="379"/>
      <c r="Y325" s="172"/>
      <c r="Z325" s="172"/>
      <c r="AA325" s="172"/>
      <c r="AB325" s="382"/>
    </row>
    <row r="326" spans="1:28" ht="16.149999999999999" customHeight="1" x14ac:dyDescent="0.2">
      <c r="A326" s="391"/>
      <c r="B326" s="168" t="s">
        <v>901</v>
      </c>
      <c r="C326" s="385"/>
      <c r="D326" s="389"/>
      <c r="E326" s="171"/>
      <c r="F326" s="171"/>
      <c r="G326" s="171"/>
      <c r="H326" s="385"/>
      <c r="I326" s="389"/>
      <c r="J326" s="171"/>
      <c r="K326" s="171"/>
      <c r="L326" s="171"/>
      <c r="M326" s="385"/>
      <c r="N326" s="389"/>
      <c r="O326" s="172"/>
      <c r="P326" s="172"/>
      <c r="Q326" s="172"/>
      <c r="R326" s="382"/>
      <c r="S326" s="379"/>
      <c r="T326" s="172"/>
      <c r="U326" s="172"/>
      <c r="V326" s="172"/>
      <c r="W326" s="382"/>
      <c r="X326" s="379"/>
      <c r="Y326" s="172"/>
      <c r="Z326" s="172"/>
      <c r="AA326" s="172"/>
      <c r="AB326" s="382"/>
    </row>
    <row r="327" spans="1:28" ht="16.149999999999999" customHeight="1" x14ac:dyDescent="0.2">
      <c r="A327" s="391"/>
      <c r="B327" s="168" t="s">
        <v>902</v>
      </c>
      <c r="C327" s="385"/>
      <c r="D327" s="389"/>
      <c r="E327" s="171"/>
      <c r="F327" s="171"/>
      <c r="G327" s="171"/>
      <c r="H327" s="385"/>
      <c r="I327" s="389"/>
      <c r="J327" s="171"/>
      <c r="K327" s="171"/>
      <c r="L327" s="171"/>
      <c r="M327" s="385"/>
      <c r="N327" s="389"/>
      <c r="O327" s="172"/>
      <c r="P327" s="172"/>
      <c r="Q327" s="172"/>
      <c r="R327" s="382"/>
      <c r="S327" s="379"/>
      <c r="T327" s="172"/>
      <c r="U327" s="172"/>
      <c r="V327" s="172"/>
      <c r="W327" s="382"/>
      <c r="X327" s="379"/>
      <c r="Y327" s="172"/>
      <c r="Z327" s="172"/>
      <c r="AA327" s="172"/>
      <c r="AB327" s="382"/>
    </row>
    <row r="328" spans="1:28" ht="16.149999999999999" customHeight="1" x14ac:dyDescent="0.2">
      <c r="A328" s="391"/>
      <c r="B328" s="168" t="s">
        <v>903</v>
      </c>
      <c r="C328" s="385"/>
      <c r="D328" s="389"/>
      <c r="E328" s="171"/>
      <c r="F328" s="171"/>
      <c r="G328" s="171"/>
      <c r="H328" s="385"/>
      <c r="I328" s="389"/>
      <c r="J328" s="171"/>
      <c r="K328" s="171"/>
      <c r="L328" s="171"/>
      <c r="M328" s="385"/>
      <c r="N328" s="389"/>
      <c r="O328" s="172"/>
      <c r="P328" s="172"/>
      <c r="Q328" s="172"/>
      <c r="R328" s="382"/>
      <c r="S328" s="379"/>
      <c r="T328" s="172"/>
      <c r="U328" s="172"/>
      <c r="V328" s="172"/>
      <c r="W328" s="382"/>
      <c r="X328" s="379"/>
      <c r="Y328" s="172"/>
      <c r="Z328" s="172"/>
      <c r="AA328" s="172"/>
      <c r="AB328" s="382"/>
    </row>
    <row r="329" spans="1:28" ht="16.149999999999999" customHeight="1" x14ac:dyDescent="0.2">
      <c r="A329" s="391"/>
      <c r="B329" s="168" t="s">
        <v>904</v>
      </c>
      <c r="C329" s="385"/>
      <c r="D329" s="389"/>
      <c r="E329" s="171"/>
      <c r="F329" s="171"/>
      <c r="G329" s="171"/>
      <c r="H329" s="385"/>
      <c r="I329" s="389"/>
      <c r="J329" s="171"/>
      <c r="K329" s="171"/>
      <c r="L329" s="171"/>
      <c r="M329" s="385"/>
      <c r="N329" s="389"/>
      <c r="O329" s="172"/>
      <c r="P329" s="172"/>
      <c r="Q329" s="172"/>
      <c r="R329" s="382"/>
      <c r="S329" s="379"/>
      <c r="T329" s="172"/>
      <c r="U329" s="172"/>
      <c r="V329" s="172"/>
      <c r="W329" s="382"/>
      <c r="X329" s="379"/>
      <c r="Y329" s="172"/>
      <c r="Z329" s="172"/>
      <c r="AA329" s="172"/>
      <c r="AB329" s="382"/>
    </row>
    <row r="330" spans="1:28" ht="16.149999999999999" customHeight="1" x14ac:dyDescent="0.2">
      <c r="A330" s="391"/>
      <c r="B330" s="140" t="s">
        <v>905</v>
      </c>
      <c r="C330" s="385"/>
      <c r="D330" s="389"/>
      <c r="E330" s="171"/>
      <c r="F330" s="171"/>
      <c r="G330" s="171"/>
      <c r="H330" s="385"/>
      <c r="I330" s="389"/>
      <c r="J330" s="171"/>
      <c r="K330" s="171"/>
      <c r="L330" s="171"/>
      <c r="M330" s="385"/>
      <c r="N330" s="389"/>
      <c r="O330" s="172"/>
      <c r="P330" s="172"/>
      <c r="Q330" s="172"/>
      <c r="R330" s="382"/>
      <c r="S330" s="379"/>
      <c r="T330" s="172"/>
      <c r="U330" s="172"/>
      <c r="V330" s="172"/>
      <c r="W330" s="382"/>
      <c r="X330" s="379"/>
      <c r="Y330" s="172"/>
      <c r="Z330" s="172"/>
      <c r="AA330" s="172"/>
      <c r="AB330" s="382"/>
    </row>
    <row r="331" spans="1:28" ht="16.149999999999999" customHeight="1" x14ac:dyDescent="0.2">
      <c r="A331" s="391"/>
      <c r="B331" s="140" t="s">
        <v>906</v>
      </c>
      <c r="C331" s="385"/>
      <c r="D331" s="389"/>
      <c r="E331" s="171"/>
      <c r="F331" s="171"/>
      <c r="G331" s="171"/>
      <c r="H331" s="385"/>
      <c r="I331" s="389"/>
      <c r="J331" s="171"/>
      <c r="K331" s="171"/>
      <c r="L331" s="171"/>
      <c r="M331" s="385"/>
      <c r="N331" s="389"/>
      <c r="O331" s="172"/>
      <c r="P331" s="172"/>
      <c r="Q331" s="172"/>
      <c r="R331" s="382"/>
      <c r="S331" s="379"/>
      <c r="T331" s="172"/>
      <c r="U331" s="172"/>
      <c r="V331" s="172"/>
      <c r="W331" s="382"/>
      <c r="X331" s="379"/>
      <c r="Y331" s="172"/>
      <c r="Z331" s="172"/>
      <c r="AA331" s="172"/>
      <c r="AB331" s="382"/>
    </row>
    <row r="332" spans="1:28" ht="16.149999999999999" customHeight="1" x14ac:dyDescent="0.2">
      <c r="A332" s="391"/>
      <c r="B332" s="140" t="s">
        <v>907</v>
      </c>
      <c r="C332" s="385"/>
      <c r="D332" s="389"/>
      <c r="E332" s="171"/>
      <c r="F332" s="171"/>
      <c r="G332" s="171"/>
      <c r="H332" s="385"/>
      <c r="I332" s="389"/>
      <c r="J332" s="171"/>
      <c r="K332" s="171"/>
      <c r="L332" s="171"/>
      <c r="M332" s="385"/>
      <c r="N332" s="389"/>
      <c r="O332" s="172"/>
      <c r="P332" s="172"/>
      <c r="Q332" s="172"/>
      <c r="R332" s="382"/>
      <c r="S332" s="379"/>
      <c r="T332" s="172"/>
      <c r="U332" s="172"/>
      <c r="V332" s="172"/>
      <c r="W332" s="382"/>
      <c r="X332" s="379"/>
      <c r="Y332" s="172"/>
      <c r="Z332" s="172"/>
      <c r="AA332" s="172"/>
      <c r="AB332" s="382"/>
    </row>
    <row r="333" spans="1:28" ht="16.149999999999999" customHeight="1" x14ac:dyDescent="0.2">
      <c r="A333" s="391"/>
      <c r="B333" s="140" t="s">
        <v>908</v>
      </c>
      <c r="C333" s="385"/>
      <c r="D333" s="389"/>
      <c r="E333" s="169"/>
      <c r="F333" s="169"/>
      <c r="G333" s="169"/>
      <c r="H333" s="385"/>
      <c r="I333" s="389"/>
      <c r="J333" s="169"/>
      <c r="K333" s="169"/>
      <c r="L333" s="169"/>
      <c r="M333" s="385"/>
      <c r="N333" s="389"/>
      <c r="O333" s="170"/>
      <c r="P333" s="170"/>
      <c r="Q333" s="170"/>
      <c r="R333" s="382"/>
      <c r="S333" s="379"/>
      <c r="T333" s="170"/>
      <c r="U333" s="170"/>
      <c r="V333" s="170"/>
      <c r="W333" s="382"/>
      <c r="X333" s="379"/>
      <c r="Y333" s="170"/>
      <c r="Z333" s="170"/>
      <c r="AA333" s="170"/>
      <c r="AB333" s="382"/>
    </row>
    <row r="334" spans="1:28" ht="16.149999999999999" customHeight="1" x14ac:dyDescent="0.2">
      <c r="A334" s="391"/>
      <c r="B334" s="140" t="s">
        <v>909</v>
      </c>
      <c r="C334" s="385"/>
      <c r="D334" s="389"/>
      <c r="E334" s="169"/>
      <c r="F334" s="169"/>
      <c r="G334" s="169"/>
      <c r="H334" s="385"/>
      <c r="I334" s="389"/>
      <c r="J334" s="169"/>
      <c r="K334" s="169"/>
      <c r="L334" s="169"/>
      <c r="M334" s="385"/>
      <c r="N334" s="389"/>
      <c r="O334" s="170"/>
      <c r="P334" s="170"/>
      <c r="Q334" s="170"/>
      <c r="R334" s="382"/>
      <c r="S334" s="379"/>
      <c r="T334" s="170"/>
      <c r="U334" s="170"/>
      <c r="V334" s="170"/>
      <c r="W334" s="382"/>
      <c r="X334" s="379"/>
      <c r="Y334" s="170"/>
      <c r="Z334" s="170"/>
      <c r="AA334" s="170"/>
      <c r="AB334" s="382"/>
    </row>
    <row r="335" spans="1:28" ht="16.149999999999999" customHeight="1" x14ac:dyDescent="0.2">
      <c r="A335" s="391"/>
      <c r="B335" s="140" t="s">
        <v>910</v>
      </c>
      <c r="C335" s="385"/>
      <c r="D335" s="389"/>
      <c r="E335" s="169"/>
      <c r="F335" s="169"/>
      <c r="G335" s="169"/>
      <c r="H335" s="385"/>
      <c r="I335" s="389"/>
      <c r="J335" s="169"/>
      <c r="K335" s="169"/>
      <c r="L335" s="169"/>
      <c r="M335" s="385"/>
      <c r="N335" s="389"/>
      <c r="O335" s="170"/>
      <c r="P335" s="170"/>
      <c r="Q335" s="170"/>
      <c r="R335" s="382"/>
      <c r="S335" s="379"/>
      <c r="T335" s="170"/>
      <c r="U335" s="170"/>
      <c r="V335" s="170"/>
      <c r="W335" s="382"/>
      <c r="X335" s="379"/>
      <c r="Y335" s="170"/>
      <c r="Z335" s="170"/>
      <c r="AA335" s="170"/>
      <c r="AB335" s="382"/>
    </row>
    <row r="336" spans="1:28" ht="16.149999999999999" customHeight="1" x14ac:dyDescent="0.2">
      <c r="A336" s="391"/>
      <c r="B336" s="140" t="s">
        <v>911</v>
      </c>
      <c r="C336" s="385"/>
      <c r="D336" s="389"/>
      <c r="E336" s="169"/>
      <c r="F336" s="169"/>
      <c r="G336" s="169"/>
      <c r="H336" s="385"/>
      <c r="I336" s="389"/>
      <c r="J336" s="169"/>
      <c r="K336" s="169"/>
      <c r="L336" s="169"/>
      <c r="M336" s="385"/>
      <c r="N336" s="389"/>
      <c r="O336" s="170"/>
      <c r="P336" s="170"/>
      <c r="Q336" s="170"/>
      <c r="R336" s="382"/>
      <c r="S336" s="379"/>
      <c r="T336" s="170"/>
      <c r="U336" s="170"/>
      <c r="V336" s="170"/>
      <c r="W336" s="382"/>
      <c r="X336" s="379"/>
      <c r="Y336" s="170"/>
      <c r="Z336" s="170"/>
      <c r="AA336" s="170"/>
      <c r="AB336" s="382"/>
    </row>
    <row r="337" spans="1:28" ht="16.149999999999999" customHeight="1" x14ac:dyDescent="0.2">
      <c r="A337" s="391"/>
      <c r="B337" s="140" t="s">
        <v>912</v>
      </c>
      <c r="C337" s="385"/>
      <c r="D337" s="389"/>
      <c r="E337" s="169"/>
      <c r="F337" s="169"/>
      <c r="G337" s="169"/>
      <c r="H337" s="385"/>
      <c r="I337" s="389"/>
      <c r="J337" s="169"/>
      <c r="K337" s="169"/>
      <c r="L337" s="169"/>
      <c r="M337" s="385"/>
      <c r="N337" s="389"/>
      <c r="O337" s="170"/>
      <c r="P337" s="170"/>
      <c r="Q337" s="170"/>
      <c r="R337" s="382"/>
      <c r="S337" s="379"/>
      <c r="T337" s="170"/>
      <c r="U337" s="170"/>
      <c r="V337" s="170"/>
      <c r="W337" s="382"/>
      <c r="X337" s="379"/>
      <c r="Y337" s="170"/>
      <c r="Z337" s="170"/>
      <c r="AA337" s="170"/>
      <c r="AB337" s="382"/>
    </row>
    <row r="338" spans="1:28" ht="16.149999999999999" customHeight="1" x14ac:dyDescent="0.2">
      <c r="A338" s="391"/>
      <c r="B338" s="140" t="s">
        <v>913</v>
      </c>
      <c r="C338" s="385"/>
      <c r="D338" s="389"/>
      <c r="E338" s="169"/>
      <c r="F338" s="169"/>
      <c r="G338" s="169"/>
      <c r="H338" s="385"/>
      <c r="I338" s="389"/>
      <c r="J338" s="169"/>
      <c r="K338" s="169"/>
      <c r="L338" s="169"/>
      <c r="M338" s="385"/>
      <c r="N338" s="389"/>
      <c r="O338" s="170"/>
      <c r="P338" s="170"/>
      <c r="Q338" s="170"/>
      <c r="R338" s="382"/>
      <c r="S338" s="379"/>
      <c r="T338" s="170"/>
      <c r="U338" s="170"/>
      <c r="V338" s="170"/>
      <c r="W338" s="382"/>
      <c r="X338" s="379"/>
      <c r="Y338" s="170"/>
      <c r="Z338" s="170"/>
      <c r="AA338" s="170"/>
      <c r="AB338" s="382"/>
    </row>
    <row r="339" spans="1:28" ht="16.149999999999999" customHeight="1" x14ac:dyDescent="0.2">
      <c r="A339" s="391"/>
      <c r="B339" s="140" t="s">
        <v>914</v>
      </c>
      <c r="C339" s="385"/>
      <c r="D339" s="389"/>
      <c r="E339" s="169"/>
      <c r="F339" s="169"/>
      <c r="G339" s="169"/>
      <c r="H339" s="385"/>
      <c r="I339" s="389"/>
      <c r="J339" s="169"/>
      <c r="K339" s="169"/>
      <c r="L339" s="169"/>
      <c r="M339" s="385"/>
      <c r="N339" s="389"/>
      <c r="O339" s="170"/>
      <c r="P339" s="170"/>
      <c r="Q339" s="170"/>
      <c r="R339" s="382"/>
      <c r="S339" s="379"/>
      <c r="T339" s="170"/>
      <c r="U339" s="170"/>
      <c r="V339" s="170"/>
      <c r="W339" s="382"/>
      <c r="X339" s="379"/>
      <c r="Y339" s="170"/>
      <c r="Z339" s="170"/>
      <c r="AA339" s="170"/>
      <c r="AB339" s="382"/>
    </row>
    <row r="340" spans="1:28" ht="16.149999999999999" customHeight="1" x14ac:dyDescent="0.2">
      <c r="A340" s="391"/>
      <c r="B340" s="140" t="s">
        <v>915</v>
      </c>
      <c r="C340" s="385"/>
      <c r="D340" s="389"/>
      <c r="E340" s="169"/>
      <c r="F340" s="169"/>
      <c r="G340" s="169"/>
      <c r="H340" s="385"/>
      <c r="I340" s="389"/>
      <c r="J340" s="169"/>
      <c r="K340" s="169"/>
      <c r="L340" s="169"/>
      <c r="M340" s="385"/>
      <c r="N340" s="389"/>
      <c r="O340" s="170"/>
      <c r="P340" s="170"/>
      <c r="Q340" s="170"/>
      <c r="R340" s="382"/>
      <c r="S340" s="379"/>
      <c r="T340" s="170"/>
      <c r="U340" s="170"/>
      <c r="V340" s="170"/>
      <c r="W340" s="382"/>
      <c r="X340" s="379"/>
      <c r="Y340" s="170"/>
      <c r="Z340" s="170"/>
      <c r="AA340" s="170"/>
      <c r="AB340" s="382"/>
    </row>
    <row r="341" spans="1:28" ht="16.149999999999999" customHeight="1" x14ac:dyDescent="0.2">
      <c r="A341" s="391"/>
      <c r="B341" s="140" t="s">
        <v>916</v>
      </c>
      <c r="C341" s="385"/>
      <c r="D341" s="389"/>
      <c r="E341" s="169"/>
      <c r="F341" s="169"/>
      <c r="G341" s="169"/>
      <c r="H341" s="385"/>
      <c r="I341" s="389"/>
      <c r="J341" s="169"/>
      <c r="K341" s="169"/>
      <c r="L341" s="169"/>
      <c r="M341" s="385"/>
      <c r="N341" s="389"/>
      <c r="O341" s="170"/>
      <c r="P341" s="170"/>
      <c r="Q341" s="170"/>
      <c r="R341" s="382"/>
      <c r="S341" s="379"/>
      <c r="T341" s="170"/>
      <c r="U341" s="170"/>
      <c r="V341" s="170"/>
      <c r="W341" s="382"/>
      <c r="X341" s="379"/>
      <c r="Y341" s="170"/>
      <c r="Z341" s="170"/>
      <c r="AA341" s="170"/>
      <c r="AB341" s="382"/>
    </row>
    <row r="342" spans="1:28" ht="16.149999999999999" customHeight="1" x14ac:dyDescent="0.2">
      <c r="A342" s="391"/>
      <c r="B342" s="140" t="s">
        <v>917</v>
      </c>
      <c r="C342" s="385"/>
      <c r="D342" s="389"/>
      <c r="E342" s="169"/>
      <c r="F342" s="169"/>
      <c r="G342" s="169"/>
      <c r="H342" s="385"/>
      <c r="I342" s="389"/>
      <c r="J342" s="169"/>
      <c r="K342" s="169"/>
      <c r="L342" s="169"/>
      <c r="M342" s="385"/>
      <c r="N342" s="389"/>
      <c r="O342" s="170"/>
      <c r="P342" s="170"/>
      <c r="Q342" s="170"/>
      <c r="R342" s="382"/>
      <c r="S342" s="379"/>
      <c r="T342" s="170"/>
      <c r="U342" s="170"/>
      <c r="V342" s="170"/>
      <c r="W342" s="382"/>
      <c r="X342" s="379"/>
      <c r="Y342" s="170"/>
      <c r="Z342" s="170"/>
      <c r="AA342" s="170"/>
      <c r="AB342" s="382"/>
    </row>
    <row r="343" spans="1:28" ht="16.149999999999999" customHeight="1" x14ac:dyDescent="0.2">
      <c r="A343" s="391"/>
      <c r="B343" s="140" t="s">
        <v>918</v>
      </c>
      <c r="C343" s="385"/>
      <c r="D343" s="389"/>
      <c r="E343" s="169"/>
      <c r="F343" s="169"/>
      <c r="G343" s="169"/>
      <c r="H343" s="385"/>
      <c r="I343" s="389"/>
      <c r="J343" s="169"/>
      <c r="K343" s="169"/>
      <c r="L343" s="169"/>
      <c r="M343" s="385"/>
      <c r="N343" s="389"/>
      <c r="O343" s="170"/>
      <c r="P343" s="170"/>
      <c r="Q343" s="170"/>
      <c r="R343" s="382"/>
      <c r="S343" s="379"/>
      <c r="T343" s="170"/>
      <c r="U343" s="170"/>
      <c r="V343" s="170"/>
      <c r="W343" s="382"/>
      <c r="X343" s="379"/>
      <c r="Y343" s="170"/>
      <c r="Z343" s="170"/>
      <c r="AA343" s="170"/>
      <c r="AB343" s="382"/>
    </row>
    <row r="344" spans="1:28" ht="30.75" customHeight="1" x14ac:dyDescent="0.2">
      <c r="A344" s="391"/>
      <c r="B344" s="140" t="s">
        <v>919</v>
      </c>
      <c r="C344" s="385"/>
      <c r="D344" s="389"/>
      <c r="E344" s="169"/>
      <c r="F344" s="169"/>
      <c r="G344" s="169"/>
      <c r="H344" s="385"/>
      <c r="I344" s="389"/>
      <c r="J344" s="169"/>
      <c r="K344" s="169"/>
      <c r="L344" s="169"/>
      <c r="M344" s="385"/>
      <c r="N344" s="389"/>
      <c r="O344" s="170"/>
      <c r="P344" s="170"/>
      <c r="Q344" s="170"/>
      <c r="R344" s="382"/>
      <c r="S344" s="379"/>
      <c r="T344" s="170"/>
      <c r="U344" s="170"/>
      <c r="V344" s="170"/>
      <c r="W344" s="382"/>
      <c r="X344" s="379"/>
      <c r="Y344" s="170"/>
      <c r="Z344" s="170"/>
      <c r="AA344" s="170"/>
      <c r="AB344" s="382"/>
    </row>
    <row r="345" spans="1:28" ht="16.5" customHeight="1" x14ac:dyDescent="0.2">
      <c r="A345" s="391"/>
      <c r="B345" s="140" t="s">
        <v>921</v>
      </c>
      <c r="C345" s="385"/>
      <c r="D345" s="389"/>
      <c r="E345" s="169"/>
      <c r="F345" s="169"/>
      <c r="G345" s="169"/>
      <c r="H345" s="385"/>
      <c r="I345" s="389"/>
      <c r="J345" s="169"/>
      <c r="K345" s="169"/>
      <c r="L345" s="169"/>
      <c r="M345" s="385"/>
      <c r="N345" s="389"/>
      <c r="O345" s="170"/>
      <c r="P345" s="170"/>
      <c r="Q345" s="170"/>
      <c r="R345" s="382"/>
      <c r="S345" s="379"/>
      <c r="T345" s="170"/>
      <c r="U345" s="170"/>
      <c r="V345" s="170"/>
      <c r="W345" s="382"/>
      <c r="X345" s="379"/>
      <c r="Y345" s="170"/>
      <c r="Z345" s="170"/>
      <c r="AA345" s="170"/>
      <c r="AB345" s="382"/>
    </row>
    <row r="346" spans="1:28" ht="16.149999999999999" customHeight="1" x14ac:dyDescent="0.2">
      <c r="A346" s="391"/>
      <c r="B346" s="140" t="s">
        <v>920</v>
      </c>
      <c r="C346" s="385"/>
      <c r="D346" s="389"/>
      <c r="E346" s="169"/>
      <c r="F346" s="169"/>
      <c r="G346" s="169"/>
      <c r="H346" s="385"/>
      <c r="I346" s="389"/>
      <c r="J346" s="169"/>
      <c r="K346" s="169"/>
      <c r="L346" s="169"/>
      <c r="M346" s="385"/>
      <c r="N346" s="389"/>
      <c r="O346" s="170"/>
      <c r="P346" s="170"/>
      <c r="Q346" s="170"/>
      <c r="R346" s="382"/>
      <c r="S346" s="379"/>
      <c r="T346" s="170"/>
      <c r="U346" s="170"/>
      <c r="V346" s="170"/>
      <c r="W346" s="382"/>
      <c r="X346" s="379"/>
      <c r="Y346" s="170"/>
      <c r="Z346" s="170"/>
      <c r="AA346" s="170"/>
      <c r="AB346" s="382"/>
    </row>
    <row r="347" spans="1:28" ht="16.149999999999999" customHeight="1" x14ac:dyDescent="0.2">
      <c r="A347" s="391"/>
      <c r="B347" s="140" t="s">
        <v>922</v>
      </c>
      <c r="C347" s="385"/>
      <c r="D347" s="389"/>
      <c r="E347" s="169"/>
      <c r="F347" s="169"/>
      <c r="G347" s="169"/>
      <c r="H347" s="385"/>
      <c r="I347" s="389"/>
      <c r="J347" s="169"/>
      <c r="K347" s="169"/>
      <c r="L347" s="169"/>
      <c r="M347" s="385"/>
      <c r="N347" s="389"/>
      <c r="O347" s="170"/>
      <c r="P347" s="170"/>
      <c r="Q347" s="170"/>
      <c r="R347" s="382"/>
      <c r="S347" s="379"/>
      <c r="T347" s="170"/>
      <c r="U347" s="170"/>
      <c r="V347" s="170"/>
      <c r="W347" s="382"/>
      <c r="X347" s="379"/>
      <c r="Y347" s="170"/>
      <c r="Z347" s="170"/>
      <c r="AA347" s="170"/>
      <c r="AB347" s="382"/>
    </row>
    <row r="348" spans="1:28" ht="16.149999999999999" customHeight="1" x14ac:dyDescent="0.2">
      <c r="A348" s="391"/>
      <c r="B348" s="140" t="s">
        <v>923</v>
      </c>
      <c r="C348" s="385"/>
      <c r="D348" s="389"/>
      <c r="E348" s="169"/>
      <c r="F348" s="169"/>
      <c r="G348" s="169"/>
      <c r="H348" s="385"/>
      <c r="I348" s="389"/>
      <c r="J348" s="169"/>
      <c r="K348" s="169"/>
      <c r="L348" s="169"/>
      <c r="M348" s="385"/>
      <c r="N348" s="389"/>
      <c r="O348" s="170"/>
      <c r="P348" s="170"/>
      <c r="Q348" s="170"/>
      <c r="R348" s="382"/>
      <c r="S348" s="379"/>
      <c r="T348" s="170"/>
      <c r="U348" s="170"/>
      <c r="V348" s="170"/>
      <c r="W348" s="382"/>
      <c r="X348" s="379"/>
      <c r="Y348" s="170"/>
      <c r="Z348" s="170"/>
      <c r="AA348" s="170"/>
      <c r="AB348" s="382"/>
    </row>
    <row r="349" spans="1:28" ht="16.149999999999999" customHeight="1" x14ac:dyDescent="0.2">
      <c r="A349" s="391"/>
      <c r="B349" s="140" t="s">
        <v>924</v>
      </c>
      <c r="C349" s="385"/>
      <c r="D349" s="389"/>
      <c r="E349" s="169"/>
      <c r="F349" s="169"/>
      <c r="G349" s="169"/>
      <c r="H349" s="385"/>
      <c r="I349" s="389"/>
      <c r="J349" s="169"/>
      <c r="K349" s="169"/>
      <c r="L349" s="169"/>
      <c r="M349" s="385"/>
      <c r="N349" s="389"/>
      <c r="O349" s="170"/>
      <c r="P349" s="170"/>
      <c r="Q349" s="170"/>
      <c r="R349" s="382"/>
      <c r="S349" s="379"/>
      <c r="T349" s="170"/>
      <c r="U349" s="170"/>
      <c r="V349" s="170"/>
      <c r="W349" s="382"/>
      <c r="X349" s="379"/>
      <c r="Y349" s="170"/>
      <c r="Z349" s="170"/>
      <c r="AA349" s="170"/>
      <c r="AB349" s="382"/>
    </row>
    <row r="350" spans="1:28" ht="16.149999999999999" customHeight="1" x14ac:dyDescent="0.2">
      <c r="A350" s="391"/>
      <c r="B350" s="140" t="s">
        <v>925</v>
      </c>
      <c r="C350" s="385"/>
      <c r="D350" s="389"/>
      <c r="E350" s="169"/>
      <c r="F350" s="169"/>
      <c r="G350" s="169"/>
      <c r="H350" s="385"/>
      <c r="I350" s="389"/>
      <c r="J350" s="169"/>
      <c r="K350" s="169"/>
      <c r="L350" s="169"/>
      <c r="M350" s="385"/>
      <c r="N350" s="389"/>
      <c r="O350" s="170"/>
      <c r="P350" s="170"/>
      <c r="Q350" s="170"/>
      <c r="R350" s="382"/>
      <c r="S350" s="379"/>
      <c r="T350" s="170"/>
      <c r="U350" s="170"/>
      <c r="V350" s="170"/>
      <c r="W350" s="382"/>
      <c r="X350" s="379"/>
      <c r="Y350" s="170"/>
      <c r="Z350" s="170"/>
      <c r="AA350" s="170"/>
      <c r="AB350" s="382"/>
    </row>
    <row r="351" spans="1:28" ht="16.149999999999999" customHeight="1" x14ac:dyDescent="0.2">
      <c r="A351" s="391"/>
      <c r="B351" s="140" t="s">
        <v>926</v>
      </c>
      <c r="C351" s="385"/>
      <c r="D351" s="389"/>
      <c r="E351" s="169"/>
      <c r="F351" s="169"/>
      <c r="G351" s="169"/>
      <c r="H351" s="385"/>
      <c r="I351" s="389"/>
      <c r="J351" s="169"/>
      <c r="K351" s="169"/>
      <c r="L351" s="169"/>
      <c r="M351" s="385"/>
      <c r="N351" s="389"/>
      <c r="O351" s="170"/>
      <c r="P351" s="170"/>
      <c r="Q351" s="170"/>
      <c r="R351" s="382"/>
      <c r="S351" s="379"/>
      <c r="T351" s="170"/>
      <c r="U351" s="170"/>
      <c r="V351" s="170"/>
      <c r="W351" s="382"/>
      <c r="X351" s="379"/>
      <c r="Y351" s="170"/>
      <c r="Z351" s="170"/>
      <c r="AA351" s="170"/>
      <c r="AB351" s="382"/>
    </row>
    <row r="352" spans="1:28" ht="16.149999999999999" customHeight="1" x14ac:dyDescent="0.2">
      <c r="A352" s="391"/>
      <c r="B352" s="140" t="s">
        <v>927</v>
      </c>
      <c r="C352" s="385"/>
      <c r="D352" s="389"/>
      <c r="E352" s="169"/>
      <c r="F352" s="169"/>
      <c r="G352" s="169"/>
      <c r="H352" s="385"/>
      <c r="I352" s="389"/>
      <c r="J352" s="169"/>
      <c r="K352" s="169"/>
      <c r="L352" s="169"/>
      <c r="M352" s="385"/>
      <c r="N352" s="389"/>
      <c r="O352" s="170"/>
      <c r="P352" s="170"/>
      <c r="Q352" s="170"/>
      <c r="R352" s="382"/>
      <c r="S352" s="379"/>
      <c r="T352" s="170"/>
      <c r="U352" s="170"/>
      <c r="V352" s="170"/>
      <c r="W352" s="382"/>
      <c r="X352" s="379"/>
      <c r="Y352" s="170"/>
      <c r="Z352" s="170"/>
      <c r="AA352" s="170"/>
      <c r="AB352" s="382"/>
    </row>
    <row r="353" spans="1:28" ht="16.149999999999999" customHeight="1" x14ac:dyDescent="0.2">
      <c r="A353" s="391"/>
      <c r="B353" s="140" t="s">
        <v>928</v>
      </c>
      <c r="C353" s="385"/>
      <c r="D353" s="389"/>
      <c r="E353" s="169"/>
      <c r="F353" s="169"/>
      <c r="G353" s="169"/>
      <c r="H353" s="385"/>
      <c r="I353" s="389"/>
      <c r="J353" s="169"/>
      <c r="K353" s="169"/>
      <c r="L353" s="169"/>
      <c r="M353" s="385"/>
      <c r="N353" s="389"/>
      <c r="O353" s="170"/>
      <c r="P353" s="170"/>
      <c r="Q353" s="170"/>
      <c r="R353" s="382"/>
      <c r="S353" s="379"/>
      <c r="T353" s="170"/>
      <c r="U353" s="170"/>
      <c r="V353" s="170"/>
      <c r="W353" s="382"/>
      <c r="X353" s="379"/>
      <c r="Y353" s="170"/>
      <c r="Z353" s="170"/>
      <c r="AA353" s="170"/>
      <c r="AB353" s="382"/>
    </row>
    <row r="354" spans="1:28" ht="16.149999999999999" customHeight="1" x14ac:dyDescent="0.2">
      <c r="A354" s="391"/>
      <c r="B354" s="140" t="s">
        <v>929</v>
      </c>
      <c r="C354" s="385"/>
      <c r="D354" s="389"/>
      <c r="E354" s="169"/>
      <c r="F354" s="169"/>
      <c r="G354" s="169"/>
      <c r="H354" s="385"/>
      <c r="I354" s="389"/>
      <c r="J354" s="169"/>
      <c r="K354" s="169"/>
      <c r="L354" s="169"/>
      <c r="M354" s="385"/>
      <c r="N354" s="389"/>
      <c r="O354" s="170"/>
      <c r="P354" s="170"/>
      <c r="Q354" s="170"/>
      <c r="R354" s="382"/>
      <c r="S354" s="379"/>
      <c r="T354" s="170"/>
      <c r="U354" s="170"/>
      <c r="V354" s="170"/>
      <c r="W354" s="382"/>
      <c r="X354" s="379"/>
      <c r="Y354" s="170"/>
      <c r="Z354" s="170"/>
      <c r="AA354" s="170"/>
      <c r="AB354" s="382"/>
    </row>
    <row r="355" spans="1:28" ht="15.75" customHeight="1" x14ac:dyDescent="0.2">
      <c r="A355" s="391"/>
      <c r="B355" s="140" t="s">
        <v>930</v>
      </c>
      <c r="C355" s="385"/>
      <c r="D355" s="389"/>
      <c r="E355" s="169"/>
      <c r="F355" s="169"/>
      <c r="G355" s="169"/>
      <c r="H355" s="385"/>
      <c r="I355" s="389"/>
      <c r="J355" s="169"/>
      <c r="K355" s="169"/>
      <c r="L355" s="169"/>
      <c r="M355" s="385"/>
      <c r="N355" s="389"/>
      <c r="O355" s="170"/>
      <c r="P355" s="170"/>
      <c r="Q355" s="170"/>
      <c r="R355" s="382"/>
      <c r="S355" s="379"/>
      <c r="T355" s="170"/>
      <c r="U355" s="170"/>
      <c r="V355" s="170"/>
      <c r="W355" s="382"/>
      <c r="X355" s="379"/>
      <c r="Y355" s="170"/>
      <c r="Z355" s="170"/>
      <c r="AA355" s="170"/>
      <c r="AB355" s="382"/>
    </row>
    <row r="356" spans="1:28" ht="16.149999999999999" customHeight="1" x14ac:dyDescent="0.2">
      <c r="A356" s="391"/>
      <c r="B356" s="140" t="s">
        <v>931</v>
      </c>
      <c r="C356" s="385"/>
      <c r="D356" s="389"/>
      <c r="E356" s="169"/>
      <c r="F356" s="169"/>
      <c r="G356" s="169"/>
      <c r="H356" s="385"/>
      <c r="I356" s="389"/>
      <c r="J356" s="169"/>
      <c r="K356" s="169"/>
      <c r="L356" s="169"/>
      <c r="M356" s="171"/>
      <c r="N356" s="173"/>
      <c r="O356" s="170"/>
      <c r="P356" s="170"/>
      <c r="Q356" s="170"/>
      <c r="R356" s="382"/>
      <c r="S356" s="379"/>
      <c r="T356" s="170"/>
      <c r="U356" s="170"/>
      <c r="V356" s="170"/>
      <c r="W356" s="382"/>
      <c r="X356" s="379"/>
      <c r="Y356" s="170"/>
      <c r="Z356" s="170"/>
      <c r="AA356" s="170"/>
      <c r="AB356" s="382"/>
    </row>
    <row r="357" spans="1:28" ht="16.149999999999999" customHeight="1" x14ac:dyDescent="0.2">
      <c r="A357" s="391"/>
      <c r="B357" s="140" t="s">
        <v>932</v>
      </c>
      <c r="C357" s="385"/>
      <c r="D357" s="389"/>
      <c r="E357" s="169"/>
      <c r="F357" s="169"/>
      <c r="G357" s="169"/>
      <c r="H357" s="385"/>
      <c r="I357" s="389"/>
      <c r="J357" s="169"/>
      <c r="K357" s="169"/>
      <c r="L357" s="169"/>
      <c r="M357" s="171"/>
      <c r="N357" s="173"/>
      <c r="O357" s="170"/>
      <c r="P357" s="170"/>
      <c r="Q357" s="170"/>
      <c r="R357" s="382"/>
      <c r="S357" s="379"/>
      <c r="T357" s="170"/>
      <c r="U357" s="170"/>
      <c r="V357" s="170"/>
      <c r="W357" s="382"/>
      <c r="X357" s="379"/>
      <c r="Y357" s="170"/>
      <c r="Z357" s="170"/>
      <c r="AA357" s="170"/>
      <c r="AB357" s="382"/>
    </row>
    <row r="358" spans="1:28" ht="16.149999999999999" customHeight="1" x14ac:dyDescent="0.2">
      <c r="A358" s="391"/>
      <c r="B358" s="140" t="s">
        <v>933</v>
      </c>
      <c r="C358" s="385"/>
      <c r="D358" s="389"/>
      <c r="E358" s="169"/>
      <c r="F358" s="169"/>
      <c r="G358" s="169"/>
      <c r="H358" s="385"/>
      <c r="I358" s="389"/>
      <c r="J358" s="169"/>
      <c r="K358" s="169"/>
      <c r="L358" s="169"/>
      <c r="M358" s="171"/>
      <c r="N358" s="173"/>
      <c r="O358" s="170"/>
      <c r="P358" s="170"/>
      <c r="Q358" s="170"/>
      <c r="R358" s="382"/>
      <c r="S358" s="379"/>
      <c r="T358" s="170"/>
      <c r="U358" s="170"/>
      <c r="V358" s="170"/>
      <c r="W358" s="382"/>
      <c r="X358" s="379"/>
      <c r="Y358" s="170"/>
      <c r="Z358" s="170"/>
      <c r="AA358" s="170"/>
      <c r="AB358" s="382"/>
    </row>
    <row r="359" spans="1:28" ht="16.149999999999999" customHeight="1" x14ac:dyDescent="0.2">
      <c r="A359" s="391"/>
      <c r="B359" s="140" t="s">
        <v>934</v>
      </c>
      <c r="C359" s="385"/>
      <c r="D359" s="389"/>
      <c r="E359" s="169"/>
      <c r="F359" s="169"/>
      <c r="G359" s="169"/>
      <c r="H359" s="385"/>
      <c r="I359" s="389"/>
      <c r="J359" s="169"/>
      <c r="K359" s="169"/>
      <c r="L359" s="169"/>
      <c r="M359" s="171"/>
      <c r="N359" s="173"/>
      <c r="O359" s="170"/>
      <c r="P359" s="170"/>
      <c r="Q359" s="170"/>
      <c r="R359" s="382"/>
      <c r="S359" s="379"/>
      <c r="T359" s="170"/>
      <c r="U359" s="170"/>
      <c r="V359" s="170"/>
      <c r="W359" s="382"/>
      <c r="X359" s="379"/>
      <c r="Y359" s="170"/>
      <c r="Z359" s="170"/>
      <c r="AA359" s="170"/>
      <c r="AB359" s="382"/>
    </row>
    <row r="360" spans="1:28" ht="16.149999999999999" customHeight="1" x14ac:dyDescent="0.2">
      <c r="A360" s="391"/>
      <c r="B360" s="140" t="s">
        <v>935</v>
      </c>
      <c r="C360" s="385"/>
      <c r="D360" s="389"/>
      <c r="E360" s="169"/>
      <c r="F360" s="169"/>
      <c r="G360" s="169"/>
      <c r="H360" s="385"/>
      <c r="I360" s="389"/>
      <c r="J360" s="169"/>
      <c r="K360" s="169"/>
      <c r="L360" s="169"/>
      <c r="M360" s="171"/>
      <c r="N360" s="173"/>
      <c r="O360" s="170"/>
      <c r="P360" s="170"/>
      <c r="Q360" s="170"/>
      <c r="R360" s="382"/>
      <c r="S360" s="379"/>
      <c r="T360" s="170"/>
      <c r="U360" s="170"/>
      <c r="V360" s="170"/>
      <c r="W360" s="382"/>
      <c r="X360" s="379"/>
      <c r="Y360" s="170"/>
      <c r="Z360" s="170"/>
      <c r="AA360" s="170"/>
      <c r="AB360" s="382"/>
    </row>
    <row r="361" spans="1:28" ht="16.149999999999999" customHeight="1" x14ac:dyDescent="0.2">
      <c r="A361" s="391"/>
      <c r="B361" s="140" t="s">
        <v>936</v>
      </c>
      <c r="C361" s="385"/>
      <c r="D361" s="389"/>
      <c r="E361" s="169"/>
      <c r="F361" s="169"/>
      <c r="G361" s="169"/>
      <c r="H361" s="385"/>
      <c r="I361" s="389"/>
      <c r="J361" s="169"/>
      <c r="K361" s="169"/>
      <c r="L361" s="169"/>
      <c r="M361" s="171"/>
      <c r="N361" s="173"/>
      <c r="O361" s="170"/>
      <c r="P361" s="170"/>
      <c r="Q361" s="170"/>
      <c r="R361" s="382"/>
      <c r="S361" s="379"/>
      <c r="T361" s="170"/>
      <c r="U361" s="170"/>
      <c r="V361" s="170"/>
      <c r="W361" s="382"/>
      <c r="X361" s="379"/>
      <c r="Y361" s="170"/>
      <c r="Z361" s="170"/>
      <c r="AA361" s="170"/>
      <c r="AB361" s="382"/>
    </row>
    <row r="362" spans="1:28" ht="16.149999999999999" customHeight="1" x14ac:dyDescent="0.2">
      <c r="A362" s="391"/>
      <c r="B362" s="140" t="s">
        <v>937</v>
      </c>
      <c r="C362" s="385"/>
      <c r="D362" s="389"/>
      <c r="E362" s="169"/>
      <c r="F362" s="169"/>
      <c r="G362" s="169"/>
      <c r="H362" s="385"/>
      <c r="I362" s="389"/>
      <c r="J362" s="169"/>
      <c r="K362" s="169"/>
      <c r="L362" s="169"/>
      <c r="M362" s="171"/>
      <c r="N362" s="173"/>
      <c r="O362" s="170"/>
      <c r="P362" s="170"/>
      <c r="Q362" s="170"/>
      <c r="R362" s="382"/>
      <c r="S362" s="379"/>
      <c r="T362" s="170"/>
      <c r="U362" s="170"/>
      <c r="V362" s="170"/>
      <c r="W362" s="382"/>
      <c r="X362" s="379"/>
      <c r="Y362" s="170"/>
      <c r="Z362" s="170"/>
      <c r="AA362" s="170"/>
      <c r="AB362" s="382"/>
    </row>
    <row r="363" spans="1:28" ht="16.149999999999999" customHeight="1" x14ac:dyDescent="0.2">
      <c r="A363" s="391"/>
      <c r="B363" s="140" t="s">
        <v>938</v>
      </c>
      <c r="C363" s="385"/>
      <c r="D363" s="389"/>
      <c r="E363" s="169"/>
      <c r="F363" s="169"/>
      <c r="G363" s="169"/>
      <c r="H363" s="385"/>
      <c r="I363" s="389"/>
      <c r="J363" s="169"/>
      <c r="K363" s="169"/>
      <c r="L363" s="169"/>
      <c r="M363" s="171"/>
      <c r="N363" s="173"/>
      <c r="O363" s="170"/>
      <c r="P363" s="170"/>
      <c r="Q363" s="170"/>
      <c r="R363" s="382"/>
      <c r="S363" s="379"/>
      <c r="T363" s="170"/>
      <c r="U363" s="170"/>
      <c r="V363" s="170"/>
      <c r="W363" s="382"/>
      <c r="X363" s="379"/>
      <c r="Y363" s="170"/>
      <c r="Z363" s="170"/>
      <c r="AA363" s="170"/>
      <c r="AB363" s="382"/>
    </row>
    <row r="364" spans="1:28" ht="16.149999999999999" customHeight="1" x14ac:dyDescent="0.2">
      <c r="A364" s="391"/>
      <c r="B364" s="140" t="s">
        <v>939</v>
      </c>
      <c r="C364" s="385"/>
      <c r="D364" s="389"/>
      <c r="E364" s="169"/>
      <c r="F364" s="169"/>
      <c r="G364" s="169"/>
      <c r="H364" s="385"/>
      <c r="I364" s="389"/>
      <c r="J364" s="169"/>
      <c r="K364" s="169"/>
      <c r="L364" s="169"/>
      <c r="M364" s="171"/>
      <c r="N364" s="173"/>
      <c r="O364" s="170"/>
      <c r="P364" s="170"/>
      <c r="Q364" s="170"/>
      <c r="R364" s="382"/>
      <c r="S364" s="379"/>
      <c r="T364" s="170"/>
      <c r="U364" s="170"/>
      <c r="V364" s="170"/>
      <c r="W364" s="382"/>
      <c r="X364" s="379"/>
      <c r="Y364" s="170"/>
      <c r="Z364" s="170"/>
      <c r="AA364" s="170"/>
      <c r="AB364" s="382"/>
    </row>
    <row r="365" spans="1:28" ht="16.149999999999999" customHeight="1" x14ac:dyDescent="0.2">
      <c r="A365" s="391"/>
      <c r="B365" s="140" t="s">
        <v>940</v>
      </c>
      <c r="C365" s="385"/>
      <c r="D365" s="389"/>
      <c r="E365" s="169"/>
      <c r="F365" s="169"/>
      <c r="G365" s="169"/>
      <c r="H365" s="385"/>
      <c r="I365" s="389"/>
      <c r="J365" s="169"/>
      <c r="K365" s="169"/>
      <c r="L365" s="169"/>
      <c r="M365" s="171"/>
      <c r="N365" s="173"/>
      <c r="O365" s="170"/>
      <c r="P365" s="170"/>
      <c r="Q365" s="170"/>
      <c r="R365" s="382"/>
      <c r="S365" s="379"/>
      <c r="T365" s="170"/>
      <c r="U365" s="170"/>
      <c r="V365" s="170"/>
      <c r="W365" s="382"/>
      <c r="X365" s="379"/>
      <c r="Y365" s="170"/>
      <c r="Z365" s="170"/>
      <c r="AA365" s="170"/>
      <c r="AB365" s="382"/>
    </row>
    <row r="366" spans="1:28" ht="16.149999999999999" customHeight="1" x14ac:dyDescent="0.2">
      <c r="A366" s="391"/>
      <c r="B366" s="140" t="s">
        <v>941</v>
      </c>
      <c r="C366" s="385"/>
      <c r="D366" s="389"/>
      <c r="E366" s="169"/>
      <c r="F366" s="169"/>
      <c r="G366" s="169"/>
      <c r="H366" s="385"/>
      <c r="I366" s="389"/>
      <c r="J366" s="169"/>
      <c r="K366" s="169"/>
      <c r="L366" s="169"/>
      <c r="M366" s="171"/>
      <c r="N366" s="173"/>
      <c r="O366" s="170"/>
      <c r="P366" s="170"/>
      <c r="Q366" s="170"/>
      <c r="R366" s="382"/>
      <c r="S366" s="379"/>
      <c r="T366" s="170"/>
      <c r="U366" s="170"/>
      <c r="V366" s="170"/>
      <c r="W366" s="382"/>
      <c r="X366" s="379"/>
      <c r="Y366" s="170"/>
      <c r="Z366" s="170"/>
      <c r="AA366" s="170"/>
      <c r="AB366" s="382"/>
    </row>
    <row r="367" spans="1:28" ht="16.149999999999999" customHeight="1" x14ac:dyDescent="0.2">
      <c r="A367" s="391"/>
      <c r="B367" s="140" t="s">
        <v>942</v>
      </c>
      <c r="C367" s="385"/>
      <c r="D367" s="389"/>
      <c r="E367" s="169"/>
      <c r="F367" s="169"/>
      <c r="G367" s="169"/>
      <c r="H367" s="385"/>
      <c r="I367" s="389"/>
      <c r="J367" s="169"/>
      <c r="K367" s="169"/>
      <c r="L367" s="169"/>
      <c r="M367" s="171"/>
      <c r="N367" s="173"/>
      <c r="O367" s="170"/>
      <c r="P367" s="170"/>
      <c r="Q367" s="170"/>
      <c r="R367" s="382"/>
      <c r="S367" s="379"/>
      <c r="T367" s="170"/>
      <c r="U367" s="170"/>
      <c r="V367" s="170"/>
      <c r="W367" s="382"/>
      <c r="X367" s="379"/>
      <c r="Y367" s="170"/>
      <c r="Z367" s="170"/>
      <c r="AA367" s="170"/>
      <c r="AB367" s="382"/>
    </row>
    <row r="368" spans="1:28" ht="16.149999999999999" customHeight="1" x14ac:dyDescent="0.2">
      <c r="A368" s="391"/>
      <c r="B368" s="140" t="s">
        <v>943</v>
      </c>
      <c r="C368" s="385"/>
      <c r="D368" s="389"/>
      <c r="E368" s="169"/>
      <c r="F368" s="169"/>
      <c r="G368" s="169"/>
      <c r="H368" s="385"/>
      <c r="I368" s="389"/>
      <c r="J368" s="169"/>
      <c r="K368" s="169"/>
      <c r="L368" s="169"/>
      <c r="M368" s="171"/>
      <c r="N368" s="173"/>
      <c r="O368" s="170"/>
      <c r="P368" s="170"/>
      <c r="Q368" s="170"/>
      <c r="R368" s="382"/>
      <c r="S368" s="379"/>
      <c r="T368" s="170"/>
      <c r="U368" s="170"/>
      <c r="V368" s="170"/>
      <c r="W368" s="382"/>
      <c r="X368" s="379"/>
      <c r="Y368" s="170"/>
      <c r="Z368" s="170"/>
      <c r="AA368" s="170"/>
      <c r="AB368" s="382"/>
    </row>
    <row r="369" spans="1:28" ht="16.149999999999999" customHeight="1" x14ac:dyDescent="0.2">
      <c r="A369" s="391"/>
      <c r="B369" s="140" t="s">
        <v>944</v>
      </c>
      <c r="C369" s="385"/>
      <c r="D369" s="389"/>
      <c r="E369" s="169"/>
      <c r="F369" s="169"/>
      <c r="G369" s="169"/>
      <c r="H369" s="385"/>
      <c r="I369" s="389"/>
      <c r="J369" s="169"/>
      <c r="K369" s="169"/>
      <c r="L369" s="169"/>
      <c r="M369" s="171"/>
      <c r="N369" s="173"/>
      <c r="O369" s="170"/>
      <c r="P369" s="170"/>
      <c r="Q369" s="170"/>
      <c r="R369" s="382"/>
      <c r="S369" s="379"/>
      <c r="T369" s="170"/>
      <c r="U369" s="170"/>
      <c r="V369" s="170"/>
      <c r="W369" s="382"/>
      <c r="X369" s="379"/>
      <c r="Y369" s="170"/>
      <c r="Z369" s="170"/>
      <c r="AA369" s="170"/>
      <c r="AB369" s="382"/>
    </row>
    <row r="370" spans="1:28" ht="16.149999999999999" customHeight="1" x14ac:dyDescent="0.2">
      <c r="A370" s="391"/>
      <c r="B370" s="140" t="s">
        <v>945</v>
      </c>
      <c r="C370" s="385"/>
      <c r="D370" s="389"/>
      <c r="E370" s="169"/>
      <c r="F370" s="169"/>
      <c r="G370" s="169"/>
      <c r="H370" s="385"/>
      <c r="I370" s="389"/>
      <c r="J370" s="169"/>
      <c r="K370" s="169"/>
      <c r="L370" s="169"/>
      <c r="M370" s="171"/>
      <c r="N370" s="173"/>
      <c r="O370" s="170"/>
      <c r="P370" s="170"/>
      <c r="Q370" s="170"/>
      <c r="R370" s="382"/>
      <c r="S370" s="379"/>
      <c r="T370" s="170"/>
      <c r="U370" s="170"/>
      <c r="V370" s="170"/>
      <c r="W370" s="382"/>
      <c r="X370" s="379"/>
      <c r="Y370" s="170"/>
      <c r="Z370" s="170"/>
      <c r="AA370" s="170"/>
      <c r="AB370" s="382"/>
    </row>
    <row r="371" spans="1:28" ht="16.149999999999999" customHeight="1" x14ac:dyDescent="0.2">
      <c r="A371" s="391"/>
      <c r="B371" s="140" t="s">
        <v>951</v>
      </c>
      <c r="C371" s="385"/>
      <c r="D371" s="389"/>
      <c r="E371" s="169"/>
      <c r="F371" s="169"/>
      <c r="G371" s="169"/>
      <c r="H371" s="385"/>
      <c r="I371" s="389"/>
      <c r="J371" s="169"/>
      <c r="K371" s="169"/>
      <c r="L371" s="169"/>
      <c r="M371" s="171"/>
      <c r="N371" s="173"/>
      <c r="O371" s="170"/>
      <c r="P371" s="170"/>
      <c r="Q371" s="170"/>
      <c r="R371" s="382"/>
      <c r="S371" s="379"/>
      <c r="T371" s="170"/>
      <c r="U371" s="170"/>
      <c r="V371" s="170"/>
      <c r="W371" s="382"/>
      <c r="X371" s="379"/>
      <c r="Y371" s="170"/>
      <c r="Z371" s="170"/>
      <c r="AA371" s="170"/>
      <c r="AB371" s="382"/>
    </row>
    <row r="372" spans="1:28" ht="16.149999999999999" customHeight="1" x14ac:dyDescent="0.2">
      <c r="A372" s="391"/>
      <c r="B372" s="140" t="s">
        <v>946</v>
      </c>
      <c r="C372" s="385"/>
      <c r="D372" s="389"/>
      <c r="E372" s="169"/>
      <c r="F372" s="169"/>
      <c r="G372" s="169"/>
      <c r="H372" s="385"/>
      <c r="I372" s="389"/>
      <c r="J372" s="169"/>
      <c r="K372" s="169"/>
      <c r="L372" s="169"/>
      <c r="M372" s="171"/>
      <c r="N372" s="173"/>
      <c r="O372" s="170"/>
      <c r="P372" s="170"/>
      <c r="Q372" s="170"/>
      <c r="R372" s="382"/>
      <c r="S372" s="379"/>
      <c r="T372" s="170"/>
      <c r="U372" s="170"/>
      <c r="V372" s="170"/>
      <c r="W372" s="382"/>
      <c r="X372" s="379"/>
      <c r="Y372" s="170"/>
      <c r="Z372" s="170"/>
      <c r="AA372" s="170"/>
      <c r="AB372" s="382"/>
    </row>
    <row r="373" spans="1:28" ht="16.149999999999999" customHeight="1" x14ac:dyDescent="0.2">
      <c r="A373" s="391"/>
      <c r="B373" s="140" t="s">
        <v>950</v>
      </c>
      <c r="C373" s="385"/>
      <c r="D373" s="389"/>
      <c r="E373" s="169"/>
      <c r="F373" s="169"/>
      <c r="G373" s="169"/>
      <c r="H373" s="385"/>
      <c r="I373" s="389"/>
      <c r="J373" s="169"/>
      <c r="K373" s="169"/>
      <c r="L373" s="169"/>
      <c r="M373" s="171"/>
      <c r="N373" s="173"/>
      <c r="O373" s="170"/>
      <c r="P373" s="170"/>
      <c r="Q373" s="170"/>
      <c r="R373" s="382"/>
      <c r="S373" s="379"/>
      <c r="T373" s="170"/>
      <c r="U373" s="170"/>
      <c r="V373" s="170"/>
      <c r="W373" s="382"/>
      <c r="X373" s="379"/>
      <c r="Y373" s="170"/>
      <c r="Z373" s="170"/>
      <c r="AA373" s="170"/>
      <c r="AB373" s="382"/>
    </row>
    <row r="374" spans="1:28" ht="16.149999999999999" customHeight="1" x14ac:dyDescent="0.2">
      <c r="A374" s="391"/>
      <c r="B374" s="140" t="s">
        <v>947</v>
      </c>
      <c r="C374" s="385"/>
      <c r="D374" s="389"/>
      <c r="E374" s="169"/>
      <c r="F374" s="169"/>
      <c r="G374" s="169"/>
      <c r="H374" s="385"/>
      <c r="I374" s="389"/>
      <c r="J374" s="169"/>
      <c r="K374" s="169"/>
      <c r="L374" s="169"/>
      <c r="M374" s="171"/>
      <c r="N374" s="173"/>
      <c r="O374" s="170"/>
      <c r="P374" s="170"/>
      <c r="Q374" s="170"/>
      <c r="R374" s="382"/>
      <c r="S374" s="379"/>
      <c r="T374" s="170"/>
      <c r="U374" s="170"/>
      <c r="V374" s="170"/>
      <c r="W374" s="382"/>
      <c r="X374" s="379"/>
      <c r="Y374" s="170"/>
      <c r="Z374" s="170"/>
      <c r="AA374" s="170"/>
      <c r="AB374" s="382"/>
    </row>
    <row r="375" spans="1:28" ht="16.149999999999999" customHeight="1" x14ac:dyDescent="0.2">
      <c r="A375" s="391"/>
      <c r="B375" s="140" t="s">
        <v>948</v>
      </c>
      <c r="C375" s="385"/>
      <c r="D375" s="389"/>
      <c r="E375" s="169"/>
      <c r="F375" s="169"/>
      <c r="G375" s="169"/>
      <c r="H375" s="385"/>
      <c r="I375" s="389"/>
      <c r="J375" s="169"/>
      <c r="K375" s="169"/>
      <c r="L375" s="169"/>
      <c r="M375" s="171"/>
      <c r="N375" s="173"/>
      <c r="O375" s="170"/>
      <c r="P375" s="170"/>
      <c r="Q375" s="170"/>
      <c r="R375" s="382"/>
      <c r="S375" s="379"/>
      <c r="T375" s="170"/>
      <c r="U375" s="170"/>
      <c r="V375" s="170"/>
      <c r="W375" s="382"/>
      <c r="X375" s="379"/>
      <c r="Y375" s="170"/>
      <c r="Z375" s="170"/>
      <c r="AA375" s="170"/>
      <c r="AB375" s="382"/>
    </row>
    <row r="376" spans="1:28" ht="16.149999999999999" customHeight="1" x14ac:dyDescent="0.2">
      <c r="A376" s="391"/>
      <c r="B376" s="140" t="s">
        <v>949</v>
      </c>
      <c r="C376" s="385"/>
      <c r="D376" s="389"/>
      <c r="E376" s="169"/>
      <c r="F376" s="169"/>
      <c r="G376" s="169"/>
      <c r="H376" s="385"/>
      <c r="I376" s="389"/>
      <c r="J376" s="169"/>
      <c r="K376" s="169"/>
      <c r="L376" s="169"/>
      <c r="M376" s="171"/>
      <c r="N376" s="173"/>
      <c r="O376" s="170"/>
      <c r="P376" s="170"/>
      <c r="Q376" s="170"/>
      <c r="R376" s="382"/>
      <c r="S376" s="379"/>
      <c r="T376" s="170"/>
      <c r="U376" s="170"/>
      <c r="V376" s="170"/>
      <c r="W376" s="382"/>
      <c r="X376" s="379"/>
      <c r="Y376" s="170"/>
      <c r="Z376" s="170"/>
      <c r="AA376" s="170"/>
      <c r="AB376" s="382"/>
    </row>
    <row r="377" spans="1:28" ht="16.149999999999999" customHeight="1" x14ac:dyDescent="0.2">
      <c r="A377" s="391"/>
      <c r="B377" s="140" t="s">
        <v>952</v>
      </c>
      <c r="C377" s="385"/>
      <c r="D377" s="389"/>
      <c r="E377" s="169"/>
      <c r="F377" s="169"/>
      <c r="G377" s="169"/>
      <c r="H377" s="385"/>
      <c r="I377" s="389"/>
      <c r="J377" s="169"/>
      <c r="K377" s="169"/>
      <c r="L377" s="169"/>
      <c r="M377" s="171"/>
      <c r="N377" s="173"/>
      <c r="O377" s="170"/>
      <c r="P377" s="170"/>
      <c r="Q377" s="170"/>
      <c r="R377" s="382"/>
      <c r="S377" s="379"/>
      <c r="T377" s="170"/>
      <c r="U377" s="170"/>
      <c r="V377" s="170"/>
      <c r="W377" s="382"/>
      <c r="X377" s="379"/>
      <c r="Y377" s="170"/>
      <c r="Z377" s="170"/>
      <c r="AA377" s="170"/>
      <c r="AB377" s="382"/>
    </row>
    <row r="378" spans="1:28" ht="16.149999999999999" customHeight="1" x14ac:dyDescent="0.2">
      <c r="A378" s="391"/>
      <c r="B378" s="140" t="s">
        <v>953</v>
      </c>
      <c r="C378" s="385"/>
      <c r="D378" s="389"/>
      <c r="E378" s="169"/>
      <c r="F378" s="169"/>
      <c r="G378" s="169"/>
      <c r="H378" s="385"/>
      <c r="I378" s="389"/>
      <c r="J378" s="169"/>
      <c r="K378" s="169"/>
      <c r="L378" s="169"/>
      <c r="M378" s="171"/>
      <c r="N378" s="173"/>
      <c r="O378" s="170"/>
      <c r="P378" s="170"/>
      <c r="Q378" s="170"/>
      <c r="R378" s="382"/>
      <c r="S378" s="379"/>
      <c r="T378" s="170"/>
      <c r="U378" s="170"/>
      <c r="V378" s="170"/>
      <c r="W378" s="382"/>
      <c r="X378" s="379"/>
      <c r="Y378" s="170"/>
      <c r="Z378" s="170"/>
      <c r="AA378" s="170"/>
      <c r="AB378" s="382"/>
    </row>
    <row r="379" spans="1:28" ht="16.149999999999999" customHeight="1" x14ac:dyDescent="0.2">
      <c r="A379" s="391"/>
      <c r="B379" s="140" t="s">
        <v>954</v>
      </c>
      <c r="C379" s="385"/>
      <c r="D379" s="389"/>
      <c r="E379" s="169"/>
      <c r="F379" s="169"/>
      <c r="G379" s="169"/>
      <c r="H379" s="385"/>
      <c r="I379" s="389"/>
      <c r="J379" s="169"/>
      <c r="K379" s="169"/>
      <c r="L379" s="169"/>
      <c r="M379" s="171"/>
      <c r="N379" s="173"/>
      <c r="O379" s="170"/>
      <c r="P379" s="170"/>
      <c r="Q379" s="170"/>
      <c r="R379" s="382"/>
      <c r="S379" s="379"/>
      <c r="T379" s="170"/>
      <c r="U379" s="170"/>
      <c r="V379" s="170"/>
      <c r="W379" s="382"/>
      <c r="X379" s="379"/>
      <c r="Y379" s="170"/>
      <c r="Z379" s="170"/>
      <c r="AA379" s="170"/>
      <c r="AB379" s="382"/>
    </row>
    <row r="380" spans="1:28" ht="16.149999999999999" customHeight="1" x14ac:dyDescent="0.2">
      <c r="A380" s="391"/>
      <c r="B380" s="140" t="s">
        <v>955</v>
      </c>
      <c r="C380" s="385"/>
      <c r="D380" s="389"/>
      <c r="E380" s="169"/>
      <c r="F380" s="169"/>
      <c r="G380" s="169"/>
      <c r="H380" s="385"/>
      <c r="I380" s="389"/>
      <c r="J380" s="169"/>
      <c r="K380" s="169"/>
      <c r="L380" s="169"/>
      <c r="M380" s="171"/>
      <c r="N380" s="173"/>
      <c r="O380" s="170"/>
      <c r="P380" s="170"/>
      <c r="Q380" s="170"/>
      <c r="R380" s="382"/>
      <c r="S380" s="379"/>
      <c r="T380" s="170"/>
      <c r="U380" s="170"/>
      <c r="V380" s="170"/>
      <c r="W380" s="382"/>
      <c r="X380" s="379"/>
      <c r="Y380" s="170"/>
      <c r="Z380" s="170"/>
      <c r="AA380" s="170"/>
      <c r="AB380" s="382"/>
    </row>
    <row r="381" spans="1:28" ht="16.149999999999999" customHeight="1" x14ac:dyDescent="0.2">
      <c r="A381" s="391"/>
      <c r="B381" s="140" t="s">
        <v>956</v>
      </c>
      <c r="C381" s="385"/>
      <c r="D381" s="389"/>
      <c r="E381" s="169"/>
      <c r="F381" s="169"/>
      <c r="G381" s="169"/>
      <c r="H381" s="385"/>
      <c r="I381" s="389"/>
      <c r="J381" s="169"/>
      <c r="K381" s="169"/>
      <c r="L381" s="169"/>
      <c r="M381" s="171"/>
      <c r="N381" s="173"/>
      <c r="O381" s="170"/>
      <c r="P381" s="170"/>
      <c r="Q381" s="170"/>
      <c r="R381" s="382"/>
      <c r="S381" s="379"/>
      <c r="T381" s="170"/>
      <c r="U381" s="170"/>
      <c r="V381" s="170"/>
      <c r="W381" s="382"/>
      <c r="X381" s="379"/>
      <c r="Y381" s="170"/>
      <c r="Z381" s="170"/>
      <c r="AA381" s="170"/>
      <c r="AB381" s="382"/>
    </row>
    <row r="382" spans="1:28" ht="16.149999999999999" customHeight="1" x14ac:dyDescent="0.2">
      <c r="A382" s="391"/>
      <c r="B382" s="140" t="s">
        <v>957</v>
      </c>
      <c r="C382" s="385"/>
      <c r="D382" s="389"/>
      <c r="E382" s="169"/>
      <c r="F382" s="169"/>
      <c r="G382" s="169"/>
      <c r="H382" s="385"/>
      <c r="I382" s="389"/>
      <c r="J382" s="169"/>
      <c r="K382" s="169"/>
      <c r="L382" s="169"/>
      <c r="M382" s="171"/>
      <c r="N382" s="173"/>
      <c r="O382" s="170"/>
      <c r="P382" s="170"/>
      <c r="Q382" s="170"/>
      <c r="R382" s="382"/>
      <c r="S382" s="379"/>
      <c r="T382" s="170"/>
      <c r="U382" s="170"/>
      <c r="V382" s="170"/>
      <c r="W382" s="382"/>
      <c r="X382" s="379"/>
      <c r="Y382" s="170"/>
      <c r="Z382" s="170"/>
      <c r="AA382" s="170"/>
      <c r="AB382" s="382"/>
    </row>
    <row r="383" spans="1:28" ht="16.149999999999999" customHeight="1" x14ac:dyDescent="0.2">
      <c r="A383" s="391"/>
      <c r="B383" s="139" t="s">
        <v>373</v>
      </c>
      <c r="C383" s="385"/>
      <c r="D383" s="389"/>
      <c r="E383" s="169"/>
      <c r="F383" s="169"/>
      <c r="G383" s="169"/>
      <c r="H383" s="385"/>
      <c r="I383" s="389"/>
      <c r="J383" s="169"/>
      <c r="K383" s="169"/>
      <c r="L383" s="169"/>
      <c r="M383" s="171"/>
      <c r="N383" s="173"/>
      <c r="O383" s="170"/>
      <c r="P383" s="170"/>
      <c r="Q383" s="170"/>
      <c r="R383" s="382"/>
      <c r="S383" s="379"/>
      <c r="T383" s="170"/>
      <c r="U383" s="170"/>
      <c r="V383" s="170"/>
      <c r="W383" s="382"/>
      <c r="X383" s="379"/>
      <c r="Y383" s="170"/>
      <c r="Z383" s="170"/>
      <c r="AA383" s="170"/>
      <c r="AB383" s="382"/>
    </row>
    <row r="384" spans="1:28" ht="16.149999999999999" customHeight="1" x14ac:dyDescent="0.2">
      <c r="A384" s="391"/>
      <c r="B384" s="140" t="s">
        <v>958</v>
      </c>
      <c r="C384" s="385"/>
      <c r="D384" s="389"/>
      <c r="E384" s="169"/>
      <c r="F384" s="169"/>
      <c r="G384" s="169"/>
      <c r="H384" s="385"/>
      <c r="I384" s="389"/>
      <c r="J384" s="169"/>
      <c r="K384" s="169"/>
      <c r="L384" s="169"/>
      <c r="M384" s="171"/>
      <c r="N384" s="173"/>
      <c r="O384" s="170"/>
      <c r="P384" s="170"/>
      <c r="Q384" s="170"/>
      <c r="R384" s="382"/>
      <c r="S384" s="379"/>
      <c r="T384" s="170"/>
      <c r="U384" s="170"/>
      <c r="V384" s="170"/>
      <c r="W384" s="382"/>
      <c r="X384" s="379"/>
      <c r="Y384" s="170"/>
      <c r="Z384" s="170"/>
      <c r="AA384" s="170"/>
      <c r="AB384" s="382"/>
    </row>
    <row r="385" spans="1:28" ht="16.149999999999999" customHeight="1" x14ac:dyDescent="0.2">
      <c r="A385" s="391"/>
      <c r="B385" s="140" t="s">
        <v>959</v>
      </c>
      <c r="C385" s="385"/>
      <c r="D385" s="389"/>
      <c r="E385" s="169"/>
      <c r="F385" s="169"/>
      <c r="G385" s="169"/>
      <c r="H385" s="385"/>
      <c r="I385" s="389"/>
      <c r="J385" s="169"/>
      <c r="K385" s="169"/>
      <c r="L385" s="169"/>
      <c r="M385" s="171"/>
      <c r="N385" s="173"/>
      <c r="O385" s="170"/>
      <c r="P385" s="170"/>
      <c r="Q385" s="170"/>
      <c r="R385" s="382"/>
      <c r="S385" s="379"/>
      <c r="T385" s="170"/>
      <c r="U385" s="170"/>
      <c r="V385" s="170"/>
      <c r="W385" s="382"/>
      <c r="X385" s="379"/>
      <c r="Y385" s="170"/>
      <c r="Z385" s="170"/>
      <c r="AA385" s="170"/>
      <c r="AB385" s="382"/>
    </row>
    <row r="386" spans="1:28" ht="16.149999999999999" customHeight="1" x14ac:dyDescent="0.2">
      <c r="A386" s="391"/>
      <c r="B386" s="140" t="s">
        <v>960</v>
      </c>
      <c r="C386" s="385"/>
      <c r="D386" s="389"/>
      <c r="E386" s="169"/>
      <c r="F386" s="169"/>
      <c r="G386" s="169"/>
      <c r="H386" s="385"/>
      <c r="I386" s="389"/>
      <c r="J386" s="169"/>
      <c r="K386" s="169"/>
      <c r="L386" s="169"/>
      <c r="M386" s="171"/>
      <c r="N386" s="173"/>
      <c r="O386" s="170"/>
      <c r="P386" s="170"/>
      <c r="Q386" s="170"/>
      <c r="R386" s="382"/>
      <c r="S386" s="379"/>
      <c r="T386" s="170"/>
      <c r="U386" s="170"/>
      <c r="V386" s="170"/>
      <c r="W386" s="382"/>
      <c r="X386" s="379"/>
      <c r="Y386" s="170"/>
      <c r="Z386" s="170"/>
      <c r="AA386" s="170"/>
      <c r="AB386" s="382"/>
    </row>
    <row r="387" spans="1:28" ht="16.149999999999999" customHeight="1" x14ac:dyDescent="0.2">
      <c r="A387" s="391"/>
      <c r="B387" s="140" t="s">
        <v>961</v>
      </c>
      <c r="C387" s="385"/>
      <c r="D387" s="389"/>
      <c r="E387" s="169"/>
      <c r="F387" s="169"/>
      <c r="G387" s="169"/>
      <c r="H387" s="385"/>
      <c r="I387" s="389"/>
      <c r="J387" s="169"/>
      <c r="K387" s="169"/>
      <c r="L387" s="169"/>
      <c r="M387" s="171"/>
      <c r="N387" s="173"/>
      <c r="O387" s="170"/>
      <c r="P387" s="170"/>
      <c r="Q387" s="170"/>
      <c r="R387" s="382"/>
      <c r="S387" s="379"/>
      <c r="T387" s="170"/>
      <c r="U387" s="170"/>
      <c r="V387" s="170"/>
      <c r="W387" s="382"/>
      <c r="X387" s="379"/>
      <c r="Y387" s="170"/>
      <c r="Z387" s="170"/>
      <c r="AA387" s="170"/>
      <c r="AB387" s="382"/>
    </row>
    <row r="388" spans="1:28" ht="16.149999999999999" customHeight="1" x14ac:dyDescent="0.2">
      <c r="A388" s="391"/>
      <c r="B388" s="140" t="s">
        <v>962</v>
      </c>
      <c r="C388" s="385"/>
      <c r="D388" s="389"/>
      <c r="E388" s="169"/>
      <c r="F388" s="169"/>
      <c r="G388" s="169"/>
      <c r="H388" s="385"/>
      <c r="I388" s="389"/>
      <c r="J388" s="169"/>
      <c r="K388" s="169"/>
      <c r="L388" s="169"/>
      <c r="M388" s="171"/>
      <c r="N388" s="173"/>
      <c r="O388" s="170"/>
      <c r="P388" s="170"/>
      <c r="Q388" s="170"/>
      <c r="R388" s="382"/>
      <c r="S388" s="379"/>
      <c r="T388" s="170"/>
      <c r="U388" s="170"/>
      <c r="V388" s="170"/>
      <c r="W388" s="382"/>
      <c r="X388" s="379"/>
      <c r="Y388" s="170"/>
      <c r="Z388" s="170"/>
      <c r="AA388" s="170"/>
      <c r="AB388" s="382"/>
    </row>
    <row r="389" spans="1:28" ht="16.149999999999999" customHeight="1" x14ac:dyDescent="0.2">
      <c r="A389" s="391"/>
      <c r="B389" s="140" t="s">
        <v>963</v>
      </c>
      <c r="C389" s="385"/>
      <c r="D389" s="389"/>
      <c r="E389" s="169"/>
      <c r="F389" s="169"/>
      <c r="G389" s="169"/>
      <c r="H389" s="385"/>
      <c r="I389" s="389"/>
      <c r="J389" s="169"/>
      <c r="K389" s="169"/>
      <c r="L389" s="169"/>
      <c r="M389" s="171"/>
      <c r="N389" s="173"/>
      <c r="O389" s="170"/>
      <c r="P389" s="170"/>
      <c r="Q389" s="170"/>
      <c r="R389" s="382"/>
      <c r="S389" s="379"/>
      <c r="T389" s="170"/>
      <c r="U389" s="170"/>
      <c r="V389" s="170"/>
      <c r="W389" s="382"/>
      <c r="X389" s="379"/>
      <c r="Y389" s="170"/>
      <c r="Z389" s="170"/>
      <c r="AA389" s="170"/>
      <c r="AB389" s="382"/>
    </row>
    <row r="390" spans="1:28" ht="16.149999999999999" customHeight="1" x14ac:dyDescent="0.2">
      <c r="A390" s="391"/>
      <c r="B390" s="140" t="s">
        <v>964</v>
      </c>
      <c r="C390" s="385"/>
      <c r="D390" s="389"/>
      <c r="E390" s="169"/>
      <c r="F390" s="169"/>
      <c r="G390" s="169"/>
      <c r="H390" s="385"/>
      <c r="I390" s="389"/>
      <c r="J390" s="169"/>
      <c r="K390" s="169"/>
      <c r="L390" s="169"/>
      <c r="M390" s="171"/>
      <c r="N390" s="173"/>
      <c r="O390" s="170"/>
      <c r="P390" s="170"/>
      <c r="Q390" s="170"/>
      <c r="R390" s="382"/>
      <c r="S390" s="379"/>
      <c r="T390" s="170"/>
      <c r="U390" s="170"/>
      <c r="V390" s="170"/>
      <c r="W390" s="382"/>
      <c r="X390" s="379"/>
      <c r="Y390" s="170"/>
      <c r="Z390" s="170"/>
      <c r="AA390" s="170"/>
      <c r="AB390" s="382"/>
    </row>
    <row r="391" spans="1:28" ht="16.149999999999999" customHeight="1" x14ac:dyDescent="0.2">
      <c r="A391" s="391"/>
      <c r="B391" s="140" t="s">
        <v>965</v>
      </c>
      <c r="C391" s="385"/>
      <c r="D391" s="389"/>
      <c r="E391" s="169"/>
      <c r="F391" s="169"/>
      <c r="G391" s="169"/>
      <c r="H391" s="385"/>
      <c r="I391" s="389"/>
      <c r="J391" s="169"/>
      <c r="K391" s="169"/>
      <c r="L391" s="169"/>
      <c r="M391" s="171"/>
      <c r="N391" s="173"/>
      <c r="O391" s="170"/>
      <c r="P391" s="170"/>
      <c r="Q391" s="170"/>
      <c r="R391" s="382"/>
      <c r="S391" s="379"/>
      <c r="T391" s="170"/>
      <c r="U391" s="170"/>
      <c r="V391" s="170"/>
      <c r="W391" s="382"/>
      <c r="X391" s="379"/>
      <c r="Y391" s="170"/>
      <c r="Z391" s="170"/>
      <c r="AA391" s="170"/>
      <c r="AB391" s="382"/>
    </row>
    <row r="392" spans="1:28" ht="16.149999999999999" customHeight="1" x14ac:dyDescent="0.2">
      <c r="A392" s="391"/>
      <c r="B392" s="140" t="s">
        <v>966</v>
      </c>
      <c r="C392" s="385"/>
      <c r="D392" s="389"/>
      <c r="E392" s="169"/>
      <c r="F392" s="169"/>
      <c r="G392" s="169"/>
      <c r="H392" s="385"/>
      <c r="I392" s="389"/>
      <c r="J392" s="169"/>
      <c r="K392" s="169"/>
      <c r="L392" s="169"/>
      <c r="M392" s="171"/>
      <c r="N392" s="173"/>
      <c r="O392" s="170"/>
      <c r="P392" s="170"/>
      <c r="Q392" s="170"/>
      <c r="R392" s="382"/>
      <c r="S392" s="379"/>
      <c r="T392" s="170"/>
      <c r="U392" s="170"/>
      <c r="V392" s="170"/>
      <c r="W392" s="382"/>
      <c r="X392" s="379"/>
      <c r="Y392" s="170"/>
      <c r="Z392" s="170"/>
      <c r="AA392" s="170"/>
      <c r="AB392" s="382"/>
    </row>
    <row r="393" spans="1:28" ht="16.149999999999999" customHeight="1" x14ac:dyDescent="0.2">
      <c r="A393" s="391"/>
      <c r="B393" s="140" t="s">
        <v>967</v>
      </c>
      <c r="C393" s="385"/>
      <c r="D393" s="389"/>
      <c r="E393" s="169"/>
      <c r="F393" s="169"/>
      <c r="G393" s="169"/>
      <c r="H393" s="385"/>
      <c r="I393" s="389"/>
      <c r="J393" s="169"/>
      <c r="K393" s="169"/>
      <c r="L393" s="169"/>
      <c r="M393" s="171"/>
      <c r="N393" s="173"/>
      <c r="O393" s="170"/>
      <c r="P393" s="170"/>
      <c r="Q393" s="170"/>
      <c r="R393" s="382"/>
      <c r="S393" s="379"/>
      <c r="T393" s="170"/>
      <c r="U393" s="170"/>
      <c r="V393" s="170"/>
      <c r="W393" s="382"/>
      <c r="X393" s="379"/>
      <c r="Y393" s="170"/>
      <c r="Z393" s="170"/>
      <c r="AA393" s="170"/>
      <c r="AB393" s="382"/>
    </row>
    <row r="394" spans="1:28" ht="16.149999999999999" customHeight="1" x14ac:dyDescent="0.2">
      <c r="A394" s="391"/>
      <c r="B394" s="140" t="s">
        <v>968</v>
      </c>
      <c r="C394" s="385"/>
      <c r="D394" s="389"/>
      <c r="E394" s="169"/>
      <c r="F394" s="169"/>
      <c r="G394" s="169"/>
      <c r="H394" s="385"/>
      <c r="I394" s="389"/>
      <c r="J394" s="169"/>
      <c r="K394" s="169"/>
      <c r="L394" s="169"/>
      <c r="M394" s="171"/>
      <c r="N394" s="173"/>
      <c r="O394" s="170"/>
      <c r="P394" s="170"/>
      <c r="Q394" s="170"/>
      <c r="R394" s="382"/>
      <c r="S394" s="379"/>
      <c r="T394" s="170"/>
      <c r="U394" s="170"/>
      <c r="V394" s="170"/>
      <c r="W394" s="382"/>
      <c r="X394" s="379"/>
      <c r="Y394" s="170"/>
      <c r="Z394" s="170"/>
      <c r="AA394" s="170"/>
      <c r="AB394" s="382"/>
    </row>
    <row r="395" spans="1:28" ht="16.149999999999999" customHeight="1" x14ac:dyDescent="0.2">
      <c r="A395" s="391"/>
      <c r="B395" s="140" t="s">
        <v>969</v>
      </c>
      <c r="C395" s="385"/>
      <c r="D395" s="389"/>
      <c r="E395" s="169"/>
      <c r="F395" s="169"/>
      <c r="G395" s="169"/>
      <c r="H395" s="385"/>
      <c r="I395" s="389"/>
      <c r="J395" s="169"/>
      <c r="K395" s="169"/>
      <c r="L395" s="169"/>
      <c r="M395" s="171"/>
      <c r="N395" s="173"/>
      <c r="O395" s="170"/>
      <c r="P395" s="170"/>
      <c r="Q395" s="170"/>
      <c r="R395" s="382"/>
      <c r="S395" s="379"/>
      <c r="T395" s="170"/>
      <c r="U395" s="170"/>
      <c r="V395" s="170"/>
      <c r="W395" s="382"/>
      <c r="X395" s="379"/>
      <c r="Y395" s="170"/>
      <c r="Z395" s="170"/>
      <c r="AA395" s="170"/>
      <c r="AB395" s="382"/>
    </row>
    <row r="396" spans="1:28" ht="16.149999999999999" customHeight="1" x14ac:dyDescent="0.2">
      <c r="A396" s="391"/>
      <c r="B396" s="140" t="s">
        <v>970</v>
      </c>
      <c r="C396" s="385"/>
      <c r="D396" s="389"/>
      <c r="E396" s="169"/>
      <c r="F396" s="169"/>
      <c r="G396" s="169"/>
      <c r="H396" s="385"/>
      <c r="I396" s="389"/>
      <c r="J396" s="169"/>
      <c r="K396" s="169"/>
      <c r="L396" s="169"/>
      <c r="M396" s="171"/>
      <c r="N396" s="173"/>
      <c r="O396" s="170"/>
      <c r="P396" s="170"/>
      <c r="Q396" s="170"/>
      <c r="R396" s="382"/>
      <c r="S396" s="379"/>
      <c r="T396" s="170"/>
      <c r="U396" s="170"/>
      <c r="V396" s="170"/>
      <c r="W396" s="382"/>
      <c r="X396" s="379"/>
      <c r="Y396" s="170"/>
      <c r="Z396" s="170"/>
      <c r="AA396" s="170"/>
      <c r="AB396" s="382"/>
    </row>
    <row r="397" spans="1:28" ht="16.149999999999999" customHeight="1" x14ac:dyDescent="0.2">
      <c r="A397" s="391"/>
      <c r="B397" s="140" t="s">
        <v>971</v>
      </c>
      <c r="C397" s="385"/>
      <c r="D397" s="389"/>
      <c r="E397" s="169"/>
      <c r="F397" s="169"/>
      <c r="G397" s="169"/>
      <c r="H397" s="385"/>
      <c r="I397" s="389"/>
      <c r="J397" s="169"/>
      <c r="K397" s="169"/>
      <c r="L397" s="169"/>
      <c r="M397" s="171"/>
      <c r="N397" s="173"/>
      <c r="O397" s="170"/>
      <c r="P397" s="170"/>
      <c r="Q397" s="170"/>
      <c r="R397" s="382"/>
      <c r="S397" s="379"/>
      <c r="T397" s="170"/>
      <c r="U397" s="170"/>
      <c r="V397" s="170"/>
      <c r="W397" s="382"/>
      <c r="X397" s="379"/>
      <c r="Y397" s="170"/>
      <c r="Z397" s="170"/>
      <c r="AA397" s="170"/>
      <c r="AB397" s="382"/>
    </row>
    <row r="398" spans="1:28" ht="16.149999999999999" customHeight="1" x14ac:dyDescent="0.2">
      <c r="A398" s="391"/>
      <c r="B398" s="140" t="s">
        <v>972</v>
      </c>
      <c r="C398" s="385"/>
      <c r="D398" s="389"/>
      <c r="E398" s="169"/>
      <c r="F398" s="169"/>
      <c r="G398" s="169"/>
      <c r="H398" s="385"/>
      <c r="I398" s="389"/>
      <c r="J398" s="169"/>
      <c r="K398" s="169"/>
      <c r="L398" s="169"/>
      <c r="M398" s="171"/>
      <c r="N398" s="173"/>
      <c r="O398" s="170"/>
      <c r="P398" s="170"/>
      <c r="Q398" s="170"/>
      <c r="R398" s="382"/>
      <c r="S398" s="379"/>
      <c r="T398" s="170"/>
      <c r="U398" s="170"/>
      <c r="V398" s="170"/>
      <c r="W398" s="382"/>
      <c r="X398" s="379"/>
      <c r="Y398" s="170"/>
      <c r="Z398" s="170"/>
      <c r="AA398" s="170"/>
      <c r="AB398" s="382"/>
    </row>
    <row r="399" spans="1:28" ht="16.149999999999999" customHeight="1" x14ac:dyDescent="0.2">
      <c r="A399" s="391"/>
      <c r="B399" s="140" t="s">
        <v>973</v>
      </c>
      <c r="C399" s="385"/>
      <c r="D399" s="389"/>
      <c r="E399" s="169"/>
      <c r="F399" s="169"/>
      <c r="G399" s="169"/>
      <c r="H399" s="385"/>
      <c r="I399" s="389"/>
      <c r="J399" s="169"/>
      <c r="K399" s="169"/>
      <c r="L399" s="169"/>
      <c r="M399" s="171"/>
      <c r="N399" s="173"/>
      <c r="O399" s="170"/>
      <c r="P399" s="170"/>
      <c r="Q399" s="170"/>
      <c r="R399" s="382"/>
      <c r="S399" s="379"/>
      <c r="T399" s="170"/>
      <c r="U399" s="170"/>
      <c r="V399" s="170"/>
      <c r="W399" s="382"/>
      <c r="X399" s="379"/>
      <c r="Y399" s="170"/>
      <c r="Z399" s="170"/>
      <c r="AA399" s="170"/>
      <c r="AB399" s="382"/>
    </row>
    <row r="400" spans="1:28" ht="16.149999999999999" customHeight="1" x14ac:dyDescent="0.2">
      <c r="A400" s="391"/>
      <c r="B400" s="140" t="s">
        <v>974</v>
      </c>
      <c r="C400" s="385"/>
      <c r="D400" s="389"/>
      <c r="E400" s="169"/>
      <c r="F400" s="169"/>
      <c r="G400" s="169"/>
      <c r="H400" s="385"/>
      <c r="I400" s="389"/>
      <c r="J400" s="169"/>
      <c r="K400" s="169"/>
      <c r="L400" s="169"/>
      <c r="M400" s="171"/>
      <c r="N400" s="173"/>
      <c r="O400" s="170"/>
      <c r="P400" s="170"/>
      <c r="Q400" s="170"/>
      <c r="R400" s="382"/>
      <c r="S400" s="379"/>
      <c r="T400" s="170"/>
      <c r="U400" s="170"/>
      <c r="V400" s="170"/>
      <c r="W400" s="382"/>
      <c r="X400" s="379"/>
      <c r="Y400" s="170"/>
      <c r="Z400" s="170"/>
      <c r="AA400" s="170"/>
      <c r="AB400" s="382"/>
    </row>
    <row r="401" spans="1:28" ht="16.149999999999999" customHeight="1" x14ac:dyDescent="0.2">
      <c r="A401" s="391"/>
      <c r="B401" s="140" t="s">
        <v>975</v>
      </c>
      <c r="C401" s="385"/>
      <c r="D401" s="389"/>
      <c r="E401" s="169"/>
      <c r="F401" s="169"/>
      <c r="G401" s="169"/>
      <c r="H401" s="385"/>
      <c r="I401" s="389"/>
      <c r="J401" s="169"/>
      <c r="K401" s="169"/>
      <c r="L401" s="169"/>
      <c r="M401" s="171"/>
      <c r="N401" s="173"/>
      <c r="O401" s="170"/>
      <c r="P401" s="170"/>
      <c r="Q401" s="170"/>
      <c r="R401" s="382"/>
      <c r="S401" s="379"/>
      <c r="T401" s="170"/>
      <c r="U401" s="170"/>
      <c r="V401" s="170"/>
      <c r="W401" s="382"/>
      <c r="X401" s="379"/>
      <c r="Y401" s="170"/>
      <c r="Z401" s="170"/>
      <c r="AA401" s="170"/>
      <c r="AB401" s="382"/>
    </row>
    <row r="402" spans="1:28" ht="16.149999999999999" customHeight="1" x14ac:dyDescent="0.2">
      <c r="A402" s="391"/>
      <c r="B402" s="140" t="s">
        <v>976</v>
      </c>
      <c r="C402" s="385"/>
      <c r="D402" s="389"/>
      <c r="E402" s="169"/>
      <c r="F402" s="169"/>
      <c r="G402" s="169"/>
      <c r="H402" s="385"/>
      <c r="I402" s="389"/>
      <c r="J402" s="169"/>
      <c r="K402" s="169"/>
      <c r="L402" s="169"/>
      <c r="M402" s="171"/>
      <c r="N402" s="173"/>
      <c r="O402" s="170"/>
      <c r="P402" s="170"/>
      <c r="Q402" s="170"/>
      <c r="R402" s="382"/>
      <c r="S402" s="379"/>
      <c r="T402" s="170"/>
      <c r="U402" s="170"/>
      <c r="V402" s="170"/>
      <c r="W402" s="382"/>
      <c r="X402" s="379"/>
      <c r="Y402" s="170"/>
      <c r="Z402" s="170"/>
      <c r="AA402" s="170"/>
      <c r="AB402" s="382"/>
    </row>
    <row r="403" spans="1:28" ht="16.149999999999999" customHeight="1" x14ac:dyDescent="0.2">
      <c r="A403" s="391"/>
      <c r="B403" s="140" t="s">
        <v>977</v>
      </c>
      <c r="C403" s="385"/>
      <c r="D403" s="389"/>
      <c r="E403" s="169"/>
      <c r="F403" s="169"/>
      <c r="G403" s="169"/>
      <c r="H403" s="385"/>
      <c r="I403" s="389"/>
      <c r="J403" s="169"/>
      <c r="K403" s="169"/>
      <c r="L403" s="169"/>
      <c r="M403" s="171"/>
      <c r="N403" s="173"/>
      <c r="O403" s="170"/>
      <c r="P403" s="170"/>
      <c r="Q403" s="170"/>
      <c r="R403" s="382"/>
      <c r="S403" s="379"/>
      <c r="T403" s="170"/>
      <c r="U403" s="170"/>
      <c r="V403" s="170"/>
      <c r="W403" s="382"/>
      <c r="X403" s="379"/>
      <c r="Y403" s="170"/>
      <c r="Z403" s="170"/>
      <c r="AA403" s="170"/>
      <c r="AB403" s="382"/>
    </row>
    <row r="404" spans="1:28" ht="16.149999999999999" customHeight="1" x14ac:dyDescent="0.2">
      <c r="A404" s="391"/>
      <c r="B404" s="140" t="s">
        <v>978</v>
      </c>
      <c r="C404" s="385"/>
      <c r="D404" s="389"/>
      <c r="E404" s="169"/>
      <c r="F404" s="169"/>
      <c r="G404" s="169"/>
      <c r="H404" s="385"/>
      <c r="I404" s="389"/>
      <c r="J404" s="169"/>
      <c r="K404" s="169"/>
      <c r="L404" s="169"/>
      <c r="M404" s="171"/>
      <c r="N404" s="173"/>
      <c r="O404" s="170"/>
      <c r="P404" s="170"/>
      <c r="Q404" s="170"/>
      <c r="R404" s="382"/>
      <c r="S404" s="379"/>
      <c r="T404" s="170"/>
      <c r="U404" s="170"/>
      <c r="V404" s="170"/>
      <c r="W404" s="382"/>
      <c r="X404" s="379"/>
      <c r="Y404" s="170"/>
      <c r="Z404" s="170"/>
      <c r="AA404" s="170"/>
      <c r="AB404" s="382"/>
    </row>
    <row r="405" spans="1:28" ht="16.149999999999999" customHeight="1" x14ac:dyDescent="0.2">
      <c r="A405" s="391"/>
      <c r="B405" s="140" t="s">
        <v>979</v>
      </c>
      <c r="C405" s="385"/>
      <c r="D405" s="389"/>
      <c r="E405" s="169"/>
      <c r="F405" s="169"/>
      <c r="G405" s="169"/>
      <c r="H405" s="385"/>
      <c r="I405" s="389"/>
      <c r="J405" s="169"/>
      <c r="K405" s="169"/>
      <c r="L405" s="169"/>
      <c r="M405" s="171"/>
      <c r="N405" s="173"/>
      <c r="O405" s="170"/>
      <c r="P405" s="170"/>
      <c r="Q405" s="170"/>
      <c r="R405" s="382"/>
      <c r="S405" s="379"/>
      <c r="T405" s="170"/>
      <c r="U405" s="170"/>
      <c r="V405" s="170"/>
      <c r="W405" s="382"/>
      <c r="X405" s="379"/>
      <c r="Y405" s="170"/>
      <c r="Z405" s="170"/>
      <c r="AA405" s="170"/>
      <c r="AB405" s="382"/>
    </row>
    <row r="406" spans="1:28" ht="16.149999999999999" customHeight="1" x14ac:dyDescent="0.2">
      <c r="A406" s="391"/>
      <c r="B406" s="140" t="s">
        <v>980</v>
      </c>
      <c r="C406" s="385"/>
      <c r="D406" s="389"/>
      <c r="E406" s="169"/>
      <c r="F406" s="169"/>
      <c r="G406" s="169"/>
      <c r="H406" s="385"/>
      <c r="I406" s="389"/>
      <c r="J406" s="169"/>
      <c r="K406" s="169"/>
      <c r="L406" s="169"/>
      <c r="M406" s="171"/>
      <c r="N406" s="173"/>
      <c r="O406" s="170"/>
      <c r="P406" s="170"/>
      <c r="Q406" s="170"/>
      <c r="R406" s="382"/>
      <c r="S406" s="379"/>
      <c r="T406" s="170"/>
      <c r="U406" s="170"/>
      <c r="V406" s="170"/>
      <c r="W406" s="382"/>
      <c r="X406" s="379"/>
      <c r="Y406" s="170"/>
      <c r="Z406" s="170"/>
      <c r="AA406" s="170"/>
      <c r="AB406" s="382"/>
    </row>
    <row r="407" spans="1:28" ht="16.149999999999999" customHeight="1" x14ac:dyDescent="0.2">
      <c r="A407" s="391"/>
      <c r="B407" s="140" t="s">
        <v>981</v>
      </c>
      <c r="C407" s="385"/>
      <c r="D407" s="389"/>
      <c r="E407" s="169"/>
      <c r="F407" s="169"/>
      <c r="G407" s="169"/>
      <c r="H407" s="385"/>
      <c r="I407" s="389"/>
      <c r="J407" s="169"/>
      <c r="K407" s="169"/>
      <c r="L407" s="169"/>
      <c r="M407" s="171"/>
      <c r="N407" s="173"/>
      <c r="O407" s="170"/>
      <c r="P407" s="170"/>
      <c r="Q407" s="170"/>
      <c r="R407" s="382"/>
      <c r="S407" s="379"/>
      <c r="T407" s="170"/>
      <c r="U407" s="170"/>
      <c r="V407" s="170"/>
      <c r="W407" s="382"/>
      <c r="X407" s="379"/>
      <c r="Y407" s="170"/>
      <c r="Z407" s="170"/>
      <c r="AA407" s="170"/>
      <c r="AB407" s="382"/>
    </row>
    <row r="408" spans="1:28" ht="16.149999999999999" customHeight="1" x14ac:dyDescent="0.2">
      <c r="A408" s="391"/>
      <c r="B408" s="140" t="s">
        <v>982</v>
      </c>
      <c r="C408" s="385"/>
      <c r="D408" s="389"/>
      <c r="E408" s="169"/>
      <c r="F408" s="169"/>
      <c r="G408" s="169"/>
      <c r="H408" s="385"/>
      <c r="I408" s="389"/>
      <c r="J408" s="169"/>
      <c r="K408" s="169"/>
      <c r="L408" s="169"/>
      <c r="M408" s="171"/>
      <c r="N408" s="173"/>
      <c r="O408" s="170"/>
      <c r="P408" s="170"/>
      <c r="Q408" s="170"/>
      <c r="R408" s="382"/>
      <c r="S408" s="379"/>
      <c r="T408" s="170"/>
      <c r="U408" s="170"/>
      <c r="V408" s="170"/>
      <c r="W408" s="382"/>
      <c r="X408" s="379"/>
      <c r="Y408" s="170"/>
      <c r="Z408" s="170"/>
      <c r="AA408" s="170"/>
      <c r="AB408" s="382"/>
    </row>
    <row r="409" spans="1:28" ht="16.149999999999999" customHeight="1" x14ac:dyDescent="0.2">
      <c r="A409" s="391"/>
      <c r="B409" s="140" t="s">
        <v>983</v>
      </c>
      <c r="C409" s="385"/>
      <c r="D409" s="389"/>
      <c r="E409" s="169"/>
      <c r="F409" s="169"/>
      <c r="G409" s="169"/>
      <c r="H409" s="385"/>
      <c r="I409" s="389"/>
      <c r="J409" s="169"/>
      <c r="K409" s="169"/>
      <c r="L409" s="169"/>
      <c r="M409" s="171"/>
      <c r="N409" s="173"/>
      <c r="O409" s="170"/>
      <c r="P409" s="170"/>
      <c r="Q409" s="170"/>
      <c r="R409" s="382"/>
      <c r="S409" s="379"/>
      <c r="T409" s="170"/>
      <c r="U409" s="170"/>
      <c r="V409" s="170"/>
      <c r="W409" s="382"/>
      <c r="X409" s="379"/>
      <c r="Y409" s="170"/>
      <c r="Z409" s="170"/>
      <c r="AA409" s="170"/>
      <c r="AB409" s="382"/>
    </row>
    <row r="410" spans="1:28" ht="16.149999999999999" customHeight="1" x14ac:dyDescent="0.2">
      <c r="A410" s="391"/>
      <c r="B410" s="140" t="s">
        <v>984</v>
      </c>
      <c r="C410" s="385"/>
      <c r="D410" s="389"/>
      <c r="E410" s="169"/>
      <c r="F410" s="169"/>
      <c r="G410" s="169"/>
      <c r="H410" s="385"/>
      <c r="I410" s="389"/>
      <c r="J410" s="169"/>
      <c r="K410" s="169"/>
      <c r="L410" s="169"/>
      <c r="M410" s="171"/>
      <c r="N410" s="173"/>
      <c r="O410" s="170"/>
      <c r="P410" s="170"/>
      <c r="Q410" s="170"/>
      <c r="R410" s="382"/>
      <c r="S410" s="379"/>
      <c r="T410" s="170"/>
      <c r="U410" s="170"/>
      <c r="V410" s="170"/>
      <c r="W410" s="382"/>
      <c r="X410" s="379"/>
      <c r="Y410" s="170"/>
      <c r="Z410" s="170"/>
      <c r="AA410" s="170"/>
      <c r="AB410" s="382"/>
    </row>
    <row r="411" spans="1:28" ht="16.149999999999999" customHeight="1" x14ac:dyDescent="0.2">
      <c r="A411" s="391"/>
      <c r="B411" s="140" t="s">
        <v>985</v>
      </c>
      <c r="C411" s="385"/>
      <c r="D411" s="389"/>
      <c r="E411" s="169"/>
      <c r="F411" s="169"/>
      <c r="G411" s="169"/>
      <c r="H411" s="385"/>
      <c r="I411" s="389"/>
      <c r="J411" s="169"/>
      <c r="K411" s="169"/>
      <c r="L411" s="169"/>
      <c r="M411" s="171"/>
      <c r="N411" s="173"/>
      <c r="O411" s="170"/>
      <c r="P411" s="170"/>
      <c r="Q411" s="170"/>
      <c r="R411" s="382"/>
      <c r="S411" s="379"/>
      <c r="T411" s="170"/>
      <c r="U411" s="170"/>
      <c r="V411" s="170"/>
      <c r="W411" s="382"/>
      <c r="X411" s="379"/>
      <c r="Y411" s="170"/>
      <c r="Z411" s="170"/>
      <c r="AA411" s="170"/>
      <c r="AB411" s="382"/>
    </row>
    <row r="412" spans="1:28" ht="16.149999999999999" customHeight="1" x14ac:dyDescent="0.2">
      <c r="A412" s="391"/>
      <c r="B412" s="140" t="s">
        <v>986</v>
      </c>
      <c r="C412" s="385"/>
      <c r="D412" s="389"/>
      <c r="E412" s="169"/>
      <c r="F412" s="169"/>
      <c r="G412" s="169"/>
      <c r="H412" s="385"/>
      <c r="I412" s="389"/>
      <c r="J412" s="169"/>
      <c r="K412" s="169"/>
      <c r="L412" s="169"/>
      <c r="M412" s="171"/>
      <c r="N412" s="173"/>
      <c r="O412" s="170"/>
      <c r="P412" s="170"/>
      <c r="Q412" s="170"/>
      <c r="R412" s="382"/>
      <c r="S412" s="379"/>
      <c r="T412" s="170"/>
      <c r="U412" s="170"/>
      <c r="V412" s="170"/>
      <c r="W412" s="382"/>
      <c r="X412" s="379"/>
      <c r="Y412" s="170"/>
      <c r="Z412" s="170"/>
      <c r="AA412" s="170"/>
      <c r="AB412" s="382"/>
    </row>
    <row r="413" spans="1:28" ht="16.149999999999999" customHeight="1" x14ac:dyDescent="0.2">
      <c r="A413" s="391"/>
      <c r="B413" s="140" t="s">
        <v>987</v>
      </c>
      <c r="C413" s="385"/>
      <c r="D413" s="389"/>
      <c r="E413" s="169"/>
      <c r="F413" s="169"/>
      <c r="G413" s="169"/>
      <c r="H413" s="385"/>
      <c r="I413" s="389"/>
      <c r="J413" s="169"/>
      <c r="K413" s="169"/>
      <c r="L413" s="169"/>
      <c r="M413" s="171"/>
      <c r="N413" s="173"/>
      <c r="O413" s="170"/>
      <c r="P413" s="170"/>
      <c r="Q413" s="170"/>
      <c r="R413" s="382"/>
      <c r="S413" s="379"/>
      <c r="T413" s="170"/>
      <c r="U413" s="170"/>
      <c r="V413" s="170"/>
      <c r="W413" s="382"/>
      <c r="X413" s="379"/>
      <c r="Y413" s="170"/>
      <c r="Z413" s="170"/>
      <c r="AA413" s="170"/>
      <c r="AB413" s="382"/>
    </row>
    <row r="414" spans="1:28" ht="16.149999999999999" customHeight="1" x14ac:dyDescent="0.2">
      <c r="A414" s="391"/>
      <c r="B414" s="140" t="s">
        <v>988</v>
      </c>
      <c r="C414" s="385"/>
      <c r="D414" s="389"/>
      <c r="E414" s="169"/>
      <c r="F414" s="169"/>
      <c r="G414" s="169"/>
      <c r="H414" s="385"/>
      <c r="I414" s="389"/>
      <c r="J414" s="169"/>
      <c r="K414" s="169"/>
      <c r="L414" s="169"/>
      <c r="M414" s="171"/>
      <c r="N414" s="173"/>
      <c r="O414" s="170"/>
      <c r="P414" s="170"/>
      <c r="Q414" s="170"/>
      <c r="R414" s="382"/>
      <c r="S414" s="379"/>
      <c r="T414" s="170"/>
      <c r="U414" s="170"/>
      <c r="V414" s="170"/>
      <c r="W414" s="382"/>
      <c r="X414" s="379"/>
      <c r="Y414" s="170"/>
      <c r="Z414" s="170"/>
      <c r="AA414" s="170"/>
      <c r="AB414" s="382"/>
    </row>
    <row r="415" spans="1:28" ht="16.149999999999999" customHeight="1" x14ac:dyDescent="0.2">
      <c r="A415" s="391"/>
      <c r="B415" s="140" t="s">
        <v>989</v>
      </c>
      <c r="C415" s="385"/>
      <c r="D415" s="389"/>
      <c r="E415" s="169"/>
      <c r="F415" s="169"/>
      <c r="G415" s="169"/>
      <c r="H415" s="385"/>
      <c r="I415" s="389"/>
      <c r="J415" s="169"/>
      <c r="K415" s="169"/>
      <c r="L415" s="169"/>
      <c r="M415" s="171"/>
      <c r="N415" s="173"/>
      <c r="O415" s="170"/>
      <c r="P415" s="170"/>
      <c r="Q415" s="170"/>
      <c r="R415" s="382"/>
      <c r="S415" s="379"/>
      <c r="T415" s="170"/>
      <c r="U415" s="170"/>
      <c r="V415" s="170"/>
      <c r="W415" s="382"/>
      <c r="X415" s="379"/>
      <c r="Y415" s="170"/>
      <c r="Z415" s="170"/>
      <c r="AA415" s="170"/>
      <c r="AB415" s="382"/>
    </row>
    <row r="416" spans="1:28" ht="16.149999999999999" customHeight="1" x14ac:dyDescent="0.2">
      <c r="A416" s="391"/>
      <c r="B416" s="140" t="s">
        <v>990</v>
      </c>
      <c r="C416" s="385"/>
      <c r="D416" s="389"/>
      <c r="E416" s="169"/>
      <c r="F416" s="169"/>
      <c r="G416" s="169"/>
      <c r="H416" s="385"/>
      <c r="I416" s="389"/>
      <c r="J416" s="169"/>
      <c r="K416" s="169"/>
      <c r="L416" s="169"/>
      <c r="M416" s="171"/>
      <c r="N416" s="173"/>
      <c r="O416" s="170"/>
      <c r="P416" s="170"/>
      <c r="Q416" s="170"/>
      <c r="R416" s="382"/>
      <c r="S416" s="379"/>
      <c r="T416" s="170"/>
      <c r="U416" s="170"/>
      <c r="V416" s="170"/>
      <c r="W416" s="382"/>
      <c r="X416" s="379"/>
      <c r="Y416" s="170"/>
      <c r="Z416" s="170"/>
      <c r="AA416" s="170"/>
      <c r="AB416" s="382"/>
    </row>
    <row r="417" spans="1:28" ht="16.149999999999999" customHeight="1" x14ac:dyDescent="0.2">
      <c r="A417" s="391"/>
      <c r="B417" s="140" t="s">
        <v>991</v>
      </c>
      <c r="C417" s="385"/>
      <c r="D417" s="389"/>
      <c r="E417" s="169"/>
      <c r="F417" s="169"/>
      <c r="G417" s="169"/>
      <c r="H417" s="385"/>
      <c r="I417" s="389"/>
      <c r="J417" s="169"/>
      <c r="K417" s="169"/>
      <c r="L417" s="169"/>
      <c r="M417" s="171"/>
      <c r="N417" s="173"/>
      <c r="O417" s="170"/>
      <c r="P417" s="170"/>
      <c r="Q417" s="170"/>
      <c r="R417" s="382"/>
      <c r="S417" s="379"/>
      <c r="T417" s="170"/>
      <c r="U417" s="170"/>
      <c r="V417" s="170"/>
      <c r="W417" s="382"/>
      <c r="X417" s="379"/>
      <c r="Y417" s="170"/>
      <c r="Z417" s="170"/>
      <c r="AA417" s="170"/>
      <c r="AB417" s="382"/>
    </row>
    <row r="418" spans="1:28" ht="16.149999999999999" customHeight="1" x14ac:dyDescent="0.2">
      <c r="A418" s="391"/>
      <c r="B418" s="140" t="s">
        <v>992</v>
      </c>
      <c r="C418" s="385"/>
      <c r="D418" s="389"/>
      <c r="E418" s="169"/>
      <c r="F418" s="169"/>
      <c r="G418" s="169"/>
      <c r="H418" s="385"/>
      <c r="I418" s="389"/>
      <c r="J418" s="169"/>
      <c r="K418" s="169"/>
      <c r="L418" s="169"/>
      <c r="M418" s="171"/>
      <c r="N418" s="173"/>
      <c r="O418" s="170"/>
      <c r="P418" s="170"/>
      <c r="Q418" s="170"/>
      <c r="R418" s="382"/>
      <c r="S418" s="379"/>
      <c r="T418" s="170"/>
      <c r="U418" s="170"/>
      <c r="V418" s="170"/>
      <c r="W418" s="382"/>
      <c r="X418" s="379"/>
      <c r="Y418" s="170"/>
      <c r="Z418" s="170"/>
      <c r="AA418" s="170"/>
      <c r="AB418" s="382"/>
    </row>
    <row r="419" spans="1:28" ht="16.149999999999999" customHeight="1" x14ac:dyDescent="0.2">
      <c r="A419" s="391"/>
      <c r="B419" s="140" t="s">
        <v>994</v>
      </c>
      <c r="C419" s="385"/>
      <c r="D419" s="389"/>
      <c r="E419" s="169"/>
      <c r="F419" s="169"/>
      <c r="G419" s="169"/>
      <c r="H419" s="385"/>
      <c r="I419" s="389"/>
      <c r="J419" s="169"/>
      <c r="K419" s="169"/>
      <c r="L419" s="169"/>
      <c r="M419" s="171"/>
      <c r="N419" s="173"/>
      <c r="O419" s="170"/>
      <c r="P419" s="170"/>
      <c r="Q419" s="170"/>
      <c r="R419" s="382"/>
      <c r="S419" s="379"/>
      <c r="T419" s="170"/>
      <c r="U419" s="170"/>
      <c r="V419" s="170"/>
      <c r="W419" s="382"/>
      <c r="X419" s="379"/>
      <c r="Y419" s="170"/>
      <c r="Z419" s="170"/>
      <c r="AA419" s="170"/>
      <c r="AB419" s="382"/>
    </row>
    <row r="420" spans="1:28" ht="16.149999999999999" customHeight="1" x14ac:dyDescent="0.2">
      <c r="A420" s="391"/>
      <c r="B420" s="140" t="s">
        <v>993</v>
      </c>
      <c r="C420" s="385"/>
      <c r="D420" s="389"/>
      <c r="E420" s="169"/>
      <c r="F420" s="169"/>
      <c r="G420" s="169"/>
      <c r="H420" s="385"/>
      <c r="I420" s="389"/>
      <c r="J420" s="169"/>
      <c r="K420" s="169"/>
      <c r="L420" s="169"/>
      <c r="M420" s="171"/>
      <c r="N420" s="173"/>
      <c r="O420" s="170"/>
      <c r="P420" s="170"/>
      <c r="Q420" s="170"/>
      <c r="R420" s="382"/>
      <c r="S420" s="379"/>
      <c r="T420" s="170"/>
      <c r="U420" s="170"/>
      <c r="V420" s="170"/>
      <c r="W420" s="382"/>
      <c r="X420" s="379"/>
      <c r="Y420" s="170"/>
      <c r="Z420" s="170"/>
      <c r="AA420" s="170"/>
      <c r="AB420" s="382"/>
    </row>
    <row r="421" spans="1:28" ht="16.149999999999999" customHeight="1" x14ac:dyDescent="0.2">
      <c r="A421" s="391"/>
      <c r="B421" s="140" t="s">
        <v>995</v>
      </c>
      <c r="C421" s="385"/>
      <c r="D421" s="389"/>
      <c r="E421" s="169"/>
      <c r="F421" s="169"/>
      <c r="G421" s="169"/>
      <c r="H421" s="385"/>
      <c r="I421" s="389"/>
      <c r="J421" s="169"/>
      <c r="K421" s="169"/>
      <c r="L421" s="169"/>
      <c r="M421" s="171"/>
      <c r="N421" s="173"/>
      <c r="O421" s="170"/>
      <c r="P421" s="170"/>
      <c r="Q421" s="170"/>
      <c r="R421" s="382"/>
      <c r="S421" s="379"/>
      <c r="T421" s="170"/>
      <c r="U421" s="170"/>
      <c r="V421" s="170"/>
      <c r="W421" s="382"/>
      <c r="X421" s="379"/>
      <c r="Y421" s="170"/>
      <c r="Z421" s="170"/>
      <c r="AA421" s="170"/>
      <c r="AB421" s="382"/>
    </row>
    <row r="422" spans="1:28" ht="16.149999999999999" customHeight="1" x14ac:dyDescent="0.2">
      <c r="A422" s="391"/>
      <c r="B422" s="140" t="s">
        <v>996</v>
      </c>
      <c r="C422" s="385"/>
      <c r="D422" s="389"/>
      <c r="E422" s="169"/>
      <c r="F422" s="169"/>
      <c r="G422" s="169"/>
      <c r="H422" s="385"/>
      <c r="I422" s="389"/>
      <c r="J422" s="169"/>
      <c r="K422" s="169"/>
      <c r="L422" s="169"/>
      <c r="M422" s="171"/>
      <c r="N422" s="173"/>
      <c r="O422" s="170"/>
      <c r="P422" s="170"/>
      <c r="Q422" s="170"/>
      <c r="R422" s="382"/>
      <c r="S422" s="379"/>
      <c r="T422" s="170"/>
      <c r="U422" s="170"/>
      <c r="V422" s="170"/>
      <c r="W422" s="382"/>
      <c r="X422" s="379"/>
      <c r="Y422" s="170"/>
      <c r="Z422" s="170"/>
      <c r="AA422" s="170"/>
      <c r="AB422" s="382"/>
    </row>
    <row r="423" spans="1:28" ht="16.149999999999999" customHeight="1" x14ac:dyDescent="0.2">
      <c r="A423" s="391"/>
      <c r="B423" s="140" t="s">
        <v>997</v>
      </c>
      <c r="C423" s="385"/>
      <c r="D423" s="389"/>
      <c r="E423" s="169"/>
      <c r="F423" s="169"/>
      <c r="G423" s="169"/>
      <c r="H423" s="385"/>
      <c r="I423" s="389"/>
      <c r="J423" s="169"/>
      <c r="K423" s="169"/>
      <c r="L423" s="169"/>
      <c r="M423" s="171"/>
      <c r="N423" s="173"/>
      <c r="O423" s="170"/>
      <c r="P423" s="170"/>
      <c r="Q423" s="170"/>
      <c r="R423" s="382"/>
      <c r="S423" s="379"/>
      <c r="T423" s="170"/>
      <c r="U423" s="170"/>
      <c r="V423" s="170"/>
      <c r="W423" s="382"/>
      <c r="X423" s="379"/>
      <c r="Y423" s="170"/>
      <c r="Z423" s="170"/>
      <c r="AA423" s="170"/>
      <c r="AB423" s="382"/>
    </row>
    <row r="424" spans="1:28" ht="16.149999999999999" customHeight="1" x14ac:dyDescent="0.2">
      <c r="A424" s="391"/>
      <c r="B424" s="140" t="s">
        <v>998</v>
      </c>
      <c r="C424" s="385"/>
      <c r="D424" s="389"/>
      <c r="E424" s="169"/>
      <c r="F424" s="169"/>
      <c r="G424" s="169"/>
      <c r="H424" s="385"/>
      <c r="I424" s="389"/>
      <c r="J424" s="169"/>
      <c r="K424" s="169"/>
      <c r="L424" s="169"/>
      <c r="M424" s="171"/>
      <c r="N424" s="173"/>
      <c r="O424" s="170"/>
      <c r="P424" s="170"/>
      <c r="Q424" s="170"/>
      <c r="R424" s="382"/>
      <c r="S424" s="379"/>
      <c r="T424" s="170"/>
      <c r="U424" s="170"/>
      <c r="V424" s="170"/>
      <c r="W424" s="382"/>
      <c r="X424" s="379"/>
      <c r="Y424" s="170"/>
      <c r="Z424" s="170"/>
      <c r="AA424" s="170"/>
      <c r="AB424" s="382"/>
    </row>
    <row r="425" spans="1:28" ht="16.149999999999999" customHeight="1" x14ac:dyDescent="0.2">
      <c r="A425" s="391"/>
      <c r="B425" s="140" t="s">
        <v>1004</v>
      </c>
      <c r="C425" s="385"/>
      <c r="D425" s="389"/>
      <c r="E425" s="169"/>
      <c r="F425" s="169"/>
      <c r="G425" s="169"/>
      <c r="H425" s="385"/>
      <c r="I425" s="389"/>
      <c r="J425" s="169"/>
      <c r="K425" s="169"/>
      <c r="L425" s="169"/>
      <c r="M425" s="171"/>
      <c r="N425" s="173"/>
      <c r="O425" s="170"/>
      <c r="P425" s="170"/>
      <c r="Q425" s="170"/>
      <c r="R425" s="382"/>
      <c r="S425" s="379"/>
      <c r="T425" s="170"/>
      <c r="U425" s="170"/>
      <c r="V425" s="170"/>
      <c r="W425" s="382"/>
      <c r="X425" s="379"/>
      <c r="Y425" s="170"/>
      <c r="Z425" s="170"/>
      <c r="AA425" s="170"/>
      <c r="AB425" s="382"/>
    </row>
    <row r="426" spans="1:28" ht="16.149999999999999" customHeight="1" x14ac:dyDescent="0.2">
      <c r="A426" s="391"/>
      <c r="B426" s="140" t="s">
        <v>999</v>
      </c>
      <c r="C426" s="385"/>
      <c r="D426" s="389"/>
      <c r="E426" s="169"/>
      <c r="F426" s="169"/>
      <c r="G426" s="169"/>
      <c r="H426" s="385"/>
      <c r="I426" s="389"/>
      <c r="J426" s="169"/>
      <c r="K426" s="169"/>
      <c r="L426" s="169"/>
      <c r="M426" s="171"/>
      <c r="N426" s="173"/>
      <c r="O426" s="170"/>
      <c r="P426" s="170"/>
      <c r="Q426" s="170"/>
      <c r="R426" s="382"/>
      <c r="S426" s="379"/>
      <c r="T426" s="170"/>
      <c r="U426" s="170"/>
      <c r="V426" s="170"/>
      <c r="W426" s="382"/>
      <c r="X426" s="379"/>
      <c r="Y426" s="170"/>
      <c r="Z426" s="170"/>
      <c r="AA426" s="170"/>
      <c r="AB426" s="382"/>
    </row>
    <row r="427" spans="1:28" ht="16.149999999999999" customHeight="1" x14ac:dyDescent="0.2">
      <c r="A427" s="391"/>
      <c r="B427" s="140" t="s">
        <v>1000</v>
      </c>
      <c r="C427" s="385"/>
      <c r="D427" s="389"/>
      <c r="E427" s="169"/>
      <c r="F427" s="169"/>
      <c r="G427" s="169"/>
      <c r="H427" s="385"/>
      <c r="I427" s="389"/>
      <c r="J427" s="169"/>
      <c r="K427" s="169"/>
      <c r="L427" s="169"/>
      <c r="M427" s="171"/>
      <c r="N427" s="173"/>
      <c r="O427" s="170"/>
      <c r="P427" s="170"/>
      <c r="Q427" s="170"/>
      <c r="R427" s="382"/>
      <c r="S427" s="379"/>
      <c r="T427" s="170"/>
      <c r="U427" s="170"/>
      <c r="V427" s="170"/>
      <c r="W427" s="382"/>
      <c r="X427" s="379"/>
      <c r="Y427" s="170"/>
      <c r="Z427" s="170"/>
      <c r="AA427" s="170"/>
      <c r="AB427" s="382"/>
    </row>
    <row r="428" spans="1:28" ht="16.149999999999999" customHeight="1" x14ac:dyDescent="0.2">
      <c r="A428" s="391"/>
      <c r="B428" s="140" t="s">
        <v>1005</v>
      </c>
      <c r="C428" s="385"/>
      <c r="D428" s="389"/>
      <c r="E428" s="169"/>
      <c r="F428" s="169"/>
      <c r="G428" s="169"/>
      <c r="H428" s="385"/>
      <c r="I428" s="389"/>
      <c r="J428" s="169"/>
      <c r="K428" s="169"/>
      <c r="L428" s="169"/>
      <c r="M428" s="171"/>
      <c r="N428" s="173"/>
      <c r="O428" s="170"/>
      <c r="P428" s="170"/>
      <c r="Q428" s="170"/>
      <c r="R428" s="382"/>
      <c r="S428" s="379"/>
      <c r="T428" s="170"/>
      <c r="U428" s="170"/>
      <c r="V428" s="170"/>
      <c r="W428" s="382"/>
      <c r="X428" s="379"/>
      <c r="Y428" s="170"/>
      <c r="Z428" s="170"/>
      <c r="AA428" s="170"/>
      <c r="AB428" s="382"/>
    </row>
    <row r="429" spans="1:28" ht="16.149999999999999" customHeight="1" x14ac:dyDescent="0.2">
      <c r="A429" s="391"/>
      <c r="B429" s="140" t="s">
        <v>1001</v>
      </c>
      <c r="C429" s="385"/>
      <c r="D429" s="389"/>
      <c r="E429" s="169"/>
      <c r="F429" s="169"/>
      <c r="G429" s="169"/>
      <c r="H429" s="385"/>
      <c r="I429" s="389"/>
      <c r="J429" s="169"/>
      <c r="K429" s="169"/>
      <c r="L429" s="169"/>
      <c r="M429" s="171"/>
      <c r="N429" s="173"/>
      <c r="O429" s="170"/>
      <c r="P429" s="170"/>
      <c r="Q429" s="170"/>
      <c r="R429" s="382"/>
      <c r="S429" s="379"/>
      <c r="T429" s="170"/>
      <c r="U429" s="170"/>
      <c r="V429" s="170"/>
      <c r="W429" s="382"/>
      <c r="X429" s="379"/>
      <c r="Y429" s="170"/>
      <c r="Z429" s="170"/>
      <c r="AA429" s="170"/>
      <c r="AB429" s="382"/>
    </row>
    <row r="430" spans="1:28" ht="16.149999999999999" customHeight="1" x14ac:dyDescent="0.2">
      <c r="A430" s="391"/>
      <c r="B430" s="140" t="s">
        <v>1006</v>
      </c>
      <c r="C430" s="385"/>
      <c r="D430" s="389"/>
      <c r="E430" s="169"/>
      <c r="F430" s="169"/>
      <c r="G430" s="169"/>
      <c r="H430" s="385"/>
      <c r="I430" s="389"/>
      <c r="J430" s="169"/>
      <c r="K430" s="169"/>
      <c r="L430" s="169"/>
      <c r="M430" s="171"/>
      <c r="N430" s="173"/>
      <c r="O430" s="170"/>
      <c r="P430" s="170"/>
      <c r="Q430" s="170"/>
      <c r="R430" s="382"/>
      <c r="S430" s="379"/>
      <c r="T430" s="170"/>
      <c r="U430" s="170"/>
      <c r="V430" s="170"/>
      <c r="W430" s="382"/>
      <c r="X430" s="379"/>
      <c r="Y430" s="170"/>
      <c r="Z430" s="170"/>
      <c r="AA430" s="170"/>
      <c r="AB430" s="382"/>
    </row>
    <row r="431" spans="1:28" ht="16.149999999999999" customHeight="1" x14ac:dyDescent="0.2">
      <c r="A431" s="391"/>
      <c r="B431" s="140" t="s">
        <v>1002</v>
      </c>
      <c r="C431" s="385"/>
      <c r="D431" s="389"/>
      <c r="E431" s="169"/>
      <c r="F431" s="169"/>
      <c r="G431" s="169"/>
      <c r="H431" s="385"/>
      <c r="I431" s="389"/>
      <c r="J431" s="169"/>
      <c r="K431" s="169"/>
      <c r="L431" s="169"/>
      <c r="M431" s="171"/>
      <c r="N431" s="173"/>
      <c r="O431" s="170"/>
      <c r="P431" s="170"/>
      <c r="Q431" s="170"/>
      <c r="R431" s="382"/>
      <c r="S431" s="379"/>
      <c r="T431" s="170"/>
      <c r="U431" s="170"/>
      <c r="V431" s="170"/>
      <c r="W431" s="382"/>
      <c r="X431" s="379"/>
      <c r="Y431" s="170"/>
      <c r="Z431" s="170"/>
      <c r="AA431" s="170"/>
      <c r="AB431" s="382"/>
    </row>
    <row r="432" spans="1:28" ht="16.149999999999999" customHeight="1" x14ac:dyDescent="0.2">
      <c r="A432" s="391"/>
      <c r="B432" s="140" t="s">
        <v>1007</v>
      </c>
      <c r="C432" s="385"/>
      <c r="D432" s="389"/>
      <c r="E432" s="169"/>
      <c r="F432" s="169"/>
      <c r="G432" s="169"/>
      <c r="H432" s="385"/>
      <c r="I432" s="389"/>
      <c r="J432" s="169"/>
      <c r="K432" s="169"/>
      <c r="L432" s="169"/>
      <c r="M432" s="171"/>
      <c r="N432" s="173"/>
      <c r="O432" s="170"/>
      <c r="P432" s="170"/>
      <c r="Q432" s="170"/>
      <c r="R432" s="382"/>
      <c r="S432" s="379"/>
      <c r="T432" s="170"/>
      <c r="U432" s="170"/>
      <c r="V432" s="170"/>
      <c r="W432" s="382"/>
      <c r="X432" s="379"/>
      <c r="Y432" s="170"/>
      <c r="Z432" s="170"/>
      <c r="AA432" s="170"/>
      <c r="AB432" s="382"/>
    </row>
    <row r="433" spans="1:28" ht="16.149999999999999" customHeight="1" x14ac:dyDescent="0.2">
      <c r="A433" s="391"/>
      <c r="B433" s="140" t="s">
        <v>1008</v>
      </c>
      <c r="C433" s="385"/>
      <c r="D433" s="389"/>
      <c r="E433" s="169"/>
      <c r="F433" s="169"/>
      <c r="G433" s="169"/>
      <c r="H433" s="385"/>
      <c r="I433" s="389"/>
      <c r="J433" s="169"/>
      <c r="K433" s="169"/>
      <c r="L433" s="169"/>
      <c r="M433" s="171"/>
      <c r="N433" s="173"/>
      <c r="O433" s="170"/>
      <c r="P433" s="170"/>
      <c r="Q433" s="170"/>
      <c r="R433" s="382"/>
      <c r="S433" s="379"/>
      <c r="T433" s="170"/>
      <c r="U433" s="170"/>
      <c r="V433" s="170"/>
      <c r="W433" s="382"/>
      <c r="X433" s="379"/>
      <c r="Y433" s="170"/>
      <c r="Z433" s="170"/>
      <c r="AA433" s="170"/>
      <c r="AB433" s="382"/>
    </row>
    <row r="434" spans="1:28" ht="16.149999999999999" customHeight="1" x14ac:dyDescent="0.2">
      <c r="A434" s="391"/>
      <c r="B434" s="140" t="s">
        <v>1009</v>
      </c>
      <c r="C434" s="385"/>
      <c r="D434" s="389"/>
      <c r="E434" s="169"/>
      <c r="F434" s="169"/>
      <c r="G434" s="169"/>
      <c r="H434" s="385"/>
      <c r="I434" s="389"/>
      <c r="J434" s="169"/>
      <c r="K434" s="169"/>
      <c r="L434" s="169"/>
      <c r="M434" s="171"/>
      <c r="N434" s="173"/>
      <c r="O434" s="170"/>
      <c r="P434" s="170"/>
      <c r="Q434" s="170"/>
      <c r="R434" s="382"/>
      <c r="S434" s="379"/>
      <c r="T434" s="170"/>
      <c r="U434" s="170"/>
      <c r="V434" s="170"/>
      <c r="W434" s="382"/>
      <c r="X434" s="379"/>
      <c r="Y434" s="170"/>
      <c r="Z434" s="170"/>
      <c r="AA434" s="170"/>
      <c r="AB434" s="382"/>
    </row>
    <row r="435" spans="1:28" ht="16.149999999999999" customHeight="1" x14ac:dyDescent="0.2">
      <c r="A435" s="391"/>
      <c r="B435" s="140" t="s">
        <v>1003</v>
      </c>
      <c r="C435" s="385"/>
      <c r="D435" s="389"/>
      <c r="E435" s="169"/>
      <c r="F435" s="169"/>
      <c r="G435" s="169"/>
      <c r="H435" s="385"/>
      <c r="I435" s="389"/>
      <c r="J435" s="169"/>
      <c r="K435" s="169"/>
      <c r="L435" s="169"/>
      <c r="M435" s="171"/>
      <c r="N435" s="173"/>
      <c r="O435" s="170"/>
      <c r="P435" s="170"/>
      <c r="Q435" s="170"/>
      <c r="R435" s="382"/>
      <c r="S435" s="379"/>
      <c r="T435" s="170"/>
      <c r="U435" s="170"/>
      <c r="V435" s="170"/>
      <c r="W435" s="382"/>
      <c r="X435" s="379"/>
      <c r="Y435" s="170"/>
      <c r="Z435" s="170"/>
      <c r="AA435" s="170"/>
      <c r="AB435" s="382"/>
    </row>
    <row r="436" spans="1:28" ht="16.149999999999999" customHeight="1" x14ac:dyDescent="0.2">
      <c r="A436" s="391"/>
      <c r="B436" s="140" t="s">
        <v>1010</v>
      </c>
      <c r="C436" s="385"/>
      <c r="D436" s="389"/>
      <c r="E436" s="169"/>
      <c r="F436" s="169"/>
      <c r="G436" s="169"/>
      <c r="H436" s="385"/>
      <c r="I436" s="389"/>
      <c r="J436" s="169"/>
      <c r="K436" s="169"/>
      <c r="L436" s="169"/>
      <c r="M436" s="171"/>
      <c r="N436" s="173"/>
      <c r="O436" s="170"/>
      <c r="P436" s="170"/>
      <c r="Q436" s="170"/>
      <c r="R436" s="382"/>
      <c r="S436" s="379"/>
      <c r="T436" s="170"/>
      <c r="U436" s="170"/>
      <c r="V436" s="170"/>
      <c r="W436" s="382"/>
      <c r="X436" s="379"/>
      <c r="Y436" s="170"/>
      <c r="Z436" s="170"/>
      <c r="AA436" s="170"/>
      <c r="AB436" s="382"/>
    </row>
    <row r="437" spans="1:28" ht="16.149999999999999" customHeight="1" x14ac:dyDescent="0.2">
      <c r="A437" s="391"/>
      <c r="B437" s="140" t="s">
        <v>1011</v>
      </c>
      <c r="C437" s="385"/>
      <c r="D437" s="389"/>
      <c r="E437" s="169"/>
      <c r="F437" s="169"/>
      <c r="G437" s="169"/>
      <c r="H437" s="385"/>
      <c r="I437" s="389"/>
      <c r="J437" s="169"/>
      <c r="K437" s="169"/>
      <c r="L437" s="169"/>
      <c r="M437" s="171"/>
      <c r="N437" s="173"/>
      <c r="O437" s="170"/>
      <c r="P437" s="170"/>
      <c r="Q437" s="170"/>
      <c r="R437" s="382"/>
      <c r="S437" s="379"/>
      <c r="T437" s="170"/>
      <c r="U437" s="170"/>
      <c r="V437" s="170"/>
      <c r="W437" s="382"/>
      <c r="X437" s="379"/>
      <c r="Y437" s="170"/>
      <c r="Z437" s="170"/>
      <c r="AA437" s="170"/>
      <c r="AB437" s="382"/>
    </row>
    <row r="438" spans="1:28" ht="16.149999999999999" customHeight="1" x14ac:dyDescent="0.2">
      <c r="A438" s="391"/>
      <c r="B438" s="140" t="s">
        <v>1012</v>
      </c>
      <c r="C438" s="385"/>
      <c r="D438" s="389"/>
      <c r="E438" s="169"/>
      <c r="F438" s="169"/>
      <c r="G438" s="169"/>
      <c r="H438" s="385"/>
      <c r="I438" s="389"/>
      <c r="J438" s="169"/>
      <c r="K438" s="169"/>
      <c r="L438" s="169"/>
      <c r="M438" s="171"/>
      <c r="N438" s="173"/>
      <c r="O438" s="170"/>
      <c r="P438" s="170"/>
      <c r="Q438" s="170"/>
      <c r="R438" s="382"/>
      <c r="S438" s="379"/>
      <c r="T438" s="170"/>
      <c r="U438" s="170"/>
      <c r="V438" s="170"/>
      <c r="W438" s="382"/>
      <c r="X438" s="379"/>
      <c r="Y438" s="170"/>
      <c r="Z438" s="170"/>
      <c r="AA438" s="170"/>
      <c r="AB438" s="382"/>
    </row>
    <row r="439" spans="1:28" ht="16.149999999999999" customHeight="1" x14ac:dyDescent="0.2">
      <c r="A439" s="391"/>
      <c r="B439" s="140" t="s">
        <v>1013</v>
      </c>
      <c r="C439" s="385"/>
      <c r="D439" s="389"/>
      <c r="E439" s="169"/>
      <c r="F439" s="169"/>
      <c r="G439" s="169"/>
      <c r="H439" s="385"/>
      <c r="I439" s="389"/>
      <c r="J439" s="169"/>
      <c r="K439" s="169"/>
      <c r="L439" s="169"/>
      <c r="M439" s="171"/>
      <c r="N439" s="173"/>
      <c r="O439" s="170"/>
      <c r="P439" s="170"/>
      <c r="Q439" s="170"/>
      <c r="R439" s="382"/>
      <c r="S439" s="379"/>
      <c r="T439" s="170"/>
      <c r="U439" s="170"/>
      <c r="V439" s="170"/>
      <c r="W439" s="382"/>
      <c r="X439" s="379"/>
      <c r="Y439" s="170"/>
      <c r="Z439" s="170"/>
      <c r="AA439" s="170"/>
      <c r="AB439" s="382"/>
    </row>
    <row r="440" spans="1:28" ht="16.149999999999999" customHeight="1" x14ac:dyDescent="0.2">
      <c r="A440" s="391"/>
      <c r="B440" s="140" t="s">
        <v>1014</v>
      </c>
      <c r="C440" s="385"/>
      <c r="D440" s="389"/>
      <c r="E440" s="169"/>
      <c r="F440" s="169"/>
      <c r="G440" s="169"/>
      <c r="H440" s="385"/>
      <c r="I440" s="389"/>
      <c r="J440" s="169"/>
      <c r="K440" s="169"/>
      <c r="L440" s="169"/>
      <c r="M440" s="171"/>
      <c r="N440" s="173"/>
      <c r="O440" s="170"/>
      <c r="P440" s="170"/>
      <c r="Q440" s="170"/>
      <c r="R440" s="382"/>
      <c r="S440" s="379"/>
      <c r="T440" s="170"/>
      <c r="U440" s="170"/>
      <c r="V440" s="170"/>
      <c r="W440" s="382"/>
      <c r="X440" s="379"/>
      <c r="Y440" s="170"/>
      <c r="Z440" s="170"/>
      <c r="AA440" s="170"/>
      <c r="AB440" s="382"/>
    </row>
    <row r="441" spans="1:28" ht="16.149999999999999" customHeight="1" x14ac:dyDescent="0.2">
      <c r="A441" s="391"/>
      <c r="B441" s="140" t="s">
        <v>1015</v>
      </c>
      <c r="C441" s="385"/>
      <c r="D441" s="389"/>
      <c r="E441" s="169"/>
      <c r="F441" s="169"/>
      <c r="G441" s="169"/>
      <c r="H441" s="385"/>
      <c r="I441" s="389"/>
      <c r="J441" s="169"/>
      <c r="K441" s="169"/>
      <c r="L441" s="169"/>
      <c r="M441" s="171"/>
      <c r="N441" s="173"/>
      <c r="O441" s="170"/>
      <c r="P441" s="170"/>
      <c r="Q441" s="170"/>
      <c r="R441" s="382"/>
      <c r="S441" s="379"/>
      <c r="T441" s="170"/>
      <c r="U441" s="170"/>
      <c r="V441" s="170"/>
      <c r="W441" s="382"/>
      <c r="X441" s="379"/>
      <c r="Y441" s="170"/>
      <c r="Z441" s="170"/>
      <c r="AA441" s="170"/>
      <c r="AB441" s="382"/>
    </row>
    <row r="442" spans="1:28" ht="16.149999999999999" customHeight="1" x14ac:dyDescent="0.2">
      <c r="A442" s="391"/>
      <c r="B442" s="140" t="s">
        <v>1016</v>
      </c>
      <c r="C442" s="385"/>
      <c r="D442" s="389"/>
      <c r="E442" s="169"/>
      <c r="F442" s="169"/>
      <c r="G442" s="169"/>
      <c r="H442" s="385"/>
      <c r="I442" s="389"/>
      <c r="J442" s="169"/>
      <c r="K442" s="169"/>
      <c r="L442" s="169"/>
      <c r="M442" s="171"/>
      <c r="N442" s="173"/>
      <c r="O442" s="170"/>
      <c r="P442" s="170"/>
      <c r="Q442" s="170"/>
      <c r="R442" s="382"/>
      <c r="S442" s="379"/>
      <c r="T442" s="170"/>
      <c r="U442" s="170"/>
      <c r="V442" s="170"/>
      <c r="W442" s="382"/>
      <c r="X442" s="379"/>
      <c r="Y442" s="170"/>
      <c r="Z442" s="170"/>
      <c r="AA442" s="170"/>
      <c r="AB442" s="382"/>
    </row>
    <row r="443" spans="1:28" ht="16.149999999999999" customHeight="1" x14ac:dyDescent="0.2">
      <c r="A443" s="391"/>
      <c r="B443" s="140" t="s">
        <v>873</v>
      </c>
      <c r="C443" s="385"/>
      <c r="D443" s="389"/>
      <c r="E443" s="169"/>
      <c r="F443" s="169"/>
      <c r="G443" s="169"/>
      <c r="H443" s="385"/>
      <c r="I443" s="389"/>
      <c r="J443" s="169"/>
      <c r="K443" s="169"/>
      <c r="L443" s="169"/>
      <c r="M443" s="171"/>
      <c r="N443" s="173"/>
      <c r="O443" s="170"/>
      <c r="P443" s="170"/>
      <c r="Q443" s="170"/>
      <c r="R443" s="382"/>
      <c r="S443" s="379"/>
      <c r="T443" s="170"/>
      <c r="U443" s="170"/>
      <c r="V443" s="170"/>
      <c r="W443" s="382"/>
      <c r="X443" s="379"/>
      <c r="Y443" s="170"/>
      <c r="Z443" s="170"/>
      <c r="AA443" s="170"/>
      <c r="AB443" s="382"/>
    </row>
    <row r="444" spans="1:28" ht="16.149999999999999" customHeight="1" x14ac:dyDescent="0.2">
      <c r="A444" s="391"/>
      <c r="B444" s="140" t="s">
        <v>876</v>
      </c>
      <c r="C444" s="385"/>
      <c r="D444" s="389"/>
      <c r="E444" s="169"/>
      <c r="F444" s="169"/>
      <c r="G444" s="169"/>
      <c r="H444" s="385"/>
      <c r="I444" s="389"/>
      <c r="J444" s="169"/>
      <c r="K444" s="169"/>
      <c r="L444" s="169"/>
      <c r="M444" s="171"/>
      <c r="N444" s="173"/>
      <c r="O444" s="170"/>
      <c r="P444" s="170"/>
      <c r="Q444" s="170"/>
      <c r="R444" s="382"/>
      <c r="S444" s="379"/>
      <c r="T444" s="170"/>
      <c r="U444" s="170"/>
      <c r="V444" s="170"/>
      <c r="W444" s="382"/>
      <c r="X444" s="379"/>
      <c r="Y444" s="170"/>
      <c r="Z444" s="170"/>
      <c r="AA444" s="170"/>
      <c r="AB444" s="382"/>
    </row>
    <row r="445" spans="1:28" ht="16.149999999999999" customHeight="1" x14ac:dyDescent="0.2">
      <c r="A445" s="391"/>
      <c r="B445" s="140" t="s">
        <v>1017</v>
      </c>
      <c r="C445" s="385"/>
      <c r="D445" s="389"/>
      <c r="E445" s="169"/>
      <c r="F445" s="169"/>
      <c r="G445" s="169"/>
      <c r="H445" s="385"/>
      <c r="I445" s="389"/>
      <c r="J445" s="169"/>
      <c r="K445" s="169"/>
      <c r="L445" s="169"/>
      <c r="M445" s="171"/>
      <c r="N445" s="173"/>
      <c r="O445" s="170"/>
      <c r="P445" s="170"/>
      <c r="Q445" s="170"/>
      <c r="R445" s="382"/>
      <c r="S445" s="379"/>
      <c r="T445" s="170"/>
      <c r="U445" s="170"/>
      <c r="V445" s="170"/>
      <c r="W445" s="382"/>
      <c r="X445" s="379"/>
      <c r="Y445" s="170"/>
      <c r="Z445" s="170"/>
      <c r="AA445" s="170"/>
      <c r="AB445" s="382"/>
    </row>
    <row r="446" spans="1:28" ht="16.149999999999999" customHeight="1" x14ac:dyDescent="0.2">
      <c r="A446" s="391"/>
      <c r="B446" s="140" t="s">
        <v>1018</v>
      </c>
      <c r="C446" s="385"/>
      <c r="D446" s="389"/>
      <c r="E446" s="169"/>
      <c r="F446" s="169"/>
      <c r="G446" s="169"/>
      <c r="H446" s="385"/>
      <c r="I446" s="389"/>
      <c r="J446" s="169"/>
      <c r="K446" s="169"/>
      <c r="L446" s="169"/>
      <c r="M446" s="171"/>
      <c r="N446" s="173"/>
      <c r="O446" s="170"/>
      <c r="P446" s="170"/>
      <c r="Q446" s="170"/>
      <c r="R446" s="382"/>
      <c r="S446" s="379"/>
      <c r="T446" s="170"/>
      <c r="U446" s="170"/>
      <c r="V446" s="170"/>
      <c r="W446" s="382"/>
      <c r="X446" s="379"/>
      <c r="Y446" s="170"/>
      <c r="Z446" s="170"/>
      <c r="AA446" s="170"/>
      <c r="AB446" s="382"/>
    </row>
    <row r="447" spans="1:28" ht="16.149999999999999" customHeight="1" x14ac:dyDescent="0.2">
      <c r="A447" s="391"/>
      <c r="B447" s="140" t="s">
        <v>1019</v>
      </c>
      <c r="C447" s="385"/>
      <c r="D447" s="389"/>
      <c r="E447" s="169"/>
      <c r="F447" s="169"/>
      <c r="G447" s="169"/>
      <c r="H447" s="385"/>
      <c r="I447" s="389"/>
      <c r="J447" s="169"/>
      <c r="K447" s="169"/>
      <c r="L447" s="169"/>
      <c r="M447" s="171"/>
      <c r="N447" s="173"/>
      <c r="O447" s="170"/>
      <c r="P447" s="170"/>
      <c r="Q447" s="170"/>
      <c r="R447" s="382"/>
      <c r="S447" s="379"/>
      <c r="T447" s="170"/>
      <c r="U447" s="170"/>
      <c r="V447" s="170"/>
      <c r="W447" s="382"/>
      <c r="X447" s="379"/>
      <c r="Y447" s="170"/>
      <c r="Z447" s="170"/>
      <c r="AA447" s="170"/>
      <c r="AB447" s="382"/>
    </row>
    <row r="448" spans="1:28" ht="16.149999999999999" customHeight="1" x14ac:dyDescent="0.2">
      <c r="A448" s="391"/>
      <c r="B448" s="140" t="s">
        <v>1020</v>
      </c>
      <c r="C448" s="385"/>
      <c r="D448" s="389"/>
      <c r="E448" s="169"/>
      <c r="F448" s="169"/>
      <c r="G448" s="169"/>
      <c r="H448" s="385"/>
      <c r="I448" s="389"/>
      <c r="J448" s="169"/>
      <c r="K448" s="169"/>
      <c r="L448" s="169"/>
      <c r="M448" s="171"/>
      <c r="N448" s="173"/>
      <c r="O448" s="170"/>
      <c r="P448" s="170"/>
      <c r="Q448" s="170"/>
      <c r="R448" s="382"/>
      <c r="S448" s="379"/>
      <c r="T448" s="170"/>
      <c r="U448" s="170"/>
      <c r="V448" s="170"/>
      <c r="W448" s="382"/>
      <c r="X448" s="379"/>
      <c r="Y448" s="170"/>
      <c r="Z448" s="170"/>
      <c r="AA448" s="170"/>
      <c r="AB448" s="382"/>
    </row>
    <row r="449" spans="1:28" ht="16.149999999999999" customHeight="1" x14ac:dyDescent="0.2">
      <c r="A449" s="391"/>
      <c r="B449" s="140" t="s">
        <v>1021</v>
      </c>
      <c r="C449" s="385"/>
      <c r="D449" s="389"/>
      <c r="E449" s="169"/>
      <c r="F449" s="169"/>
      <c r="G449" s="169"/>
      <c r="H449" s="385"/>
      <c r="I449" s="389"/>
      <c r="J449" s="169"/>
      <c r="K449" s="169"/>
      <c r="L449" s="169"/>
      <c r="M449" s="171"/>
      <c r="N449" s="173"/>
      <c r="O449" s="170"/>
      <c r="P449" s="170"/>
      <c r="Q449" s="170"/>
      <c r="R449" s="382"/>
      <c r="S449" s="379"/>
      <c r="T449" s="170"/>
      <c r="U449" s="170"/>
      <c r="V449" s="170"/>
      <c r="W449" s="382"/>
      <c r="X449" s="379"/>
      <c r="Y449" s="170"/>
      <c r="Z449" s="170"/>
      <c r="AA449" s="170"/>
      <c r="AB449" s="382"/>
    </row>
    <row r="450" spans="1:28" ht="16.149999999999999" customHeight="1" x14ac:dyDescent="0.2">
      <c r="A450" s="391"/>
      <c r="B450" s="140" t="s">
        <v>1022</v>
      </c>
      <c r="C450" s="385"/>
      <c r="D450" s="389"/>
      <c r="E450" s="169"/>
      <c r="F450" s="169"/>
      <c r="G450" s="169"/>
      <c r="H450" s="385"/>
      <c r="I450" s="389"/>
      <c r="J450" s="169"/>
      <c r="K450" s="169"/>
      <c r="L450" s="169"/>
      <c r="M450" s="171"/>
      <c r="N450" s="173"/>
      <c r="O450" s="170"/>
      <c r="P450" s="170"/>
      <c r="Q450" s="170"/>
      <c r="R450" s="382"/>
      <c r="S450" s="379"/>
      <c r="T450" s="170"/>
      <c r="U450" s="170"/>
      <c r="V450" s="170"/>
      <c r="W450" s="382"/>
      <c r="X450" s="379"/>
      <c r="Y450" s="170"/>
      <c r="Z450" s="170"/>
      <c r="AA450" s="170"/>
      <c r="AB450" s="382"/>
    </row>
    <row r="451" spans="1:28" ht="16.149999999999999" customHeight="1" x14ac:dyDescent="0.2">
      <c r="A451" s="391"/>
      <c r="B451" s="140" t="s">
        <v>1023</v>
      </c>
      <c r="C451" s="385"/>
      <c r="D451" s="389"/>
      <c r="E451" s="169"/>
      <c r="F451" s="169"/>
      <c r="G451" s="169"/>
      <c r="H451" s="385"/>
      <c r="I451" s="389"/>
      <c r="J451" s="169"/>
      <c r="K451" s="169"/>
      <c r="L451" s="169"/>
      <c r="M451" s="171"/>
      <c r="N451" s="173"/>
      <c r="O451" s="170"/>
      <c r="P451" s="170"/>
      <c r="Q451" s="170"/>
      <c r="R451" s="382"/>
      <c r="S451" s="379"/>
      <c r="T451" s="170"/>
      <c r="U451" s="170"/>
      <c r="V451" s="170"/>
      <c r="W451" s="382"/>
      <c r="X451" s="379"/>
      <c r="Y451" s="170"/>
      <c r="Z451" s="170"/>
      <c r="AA451" s="170"/>
      <c r="AB451" s="382"/>
    </row>
    <row r="452" spans="1:28" ht="16.149999999999999" customHeight="1" x14ac:dyDescent="0.2">
      <c r="A452" s="391"/>
      <c r="B452" s="140" t="s">
        <v>1024</v>
      </c>
      <c r="C452" s="385"/>
      <c r="D452" s="389"/>
      <c r="E452" s="169"/>
      <c r="F452" s="169"/>
      <c r="G452" s="169"/>
      <c r="H452" s="385"/>
      <c r="I452" s="389"/>
      <c r="J452" s="169"/>
      <c r="K452" s="169"/>
      <c r="L452" s="169"/>
      <c r="M452" s="171"/>
      <c r="N452" s="173"/>
      <c r="O452" s="170"/>
      <c r="P452" s="170"/>
      <c r="Q452" s="170"/>
      <c r="R452" s="382"/>
      <c r="S452" s="379"/>
      <c r="T452" s="170"/>
      <c r="U452" s="170"/>
      <c r="V452" s="170"/>
      <c r="W452" s="382"/>
      <c r="X452" s="379"/>
      <c r="Y452" s="170"/>
      <c r="Z452" s="170"/>
      <c r="AA452" s="170"/>
      <c r="AB452" s="382"/>
    </row>
    <row r="453" spans="1:28" ht="16.149999999999999" customHeight="1" x14ac:dyDescent="0.2">
      <c r="A453" s="391"/>
      <c r="B453" s="140" t="s">
        <v>1409</v>
      </c>
      <c r="C453" s="385"/>
      <c r="D453" s="389"/>
      <c r="E453" s="169"/>
      <c r="F453" s="169"/>
      <c r="G453" s="169"/>
      <c r="H453" s="385"/>
      <c r="I453" s="389"/>
      <c r="J453" s="169"/>
      <c r="K453" s="169"/>
      <c r="L453" s="169"/>
      <c r="M453" s="171"/>
      <c r="N453" s="173"/>
      <c r="O453" s="170"/>
      <c r="P453" s="170"/>
      <c r="Q453" s="170"/>
      <c r="R453" s="382"/>
      <c r="S453" s="379"/>
      <c r="T453" s="170"/>
      <c r="U453" s="170"/>
      <c r="V453" s="170"/>
      <c r="W453" s="382"/>
      <c r="X453" s="379"/>
      <c r="Y453" s="170"/>
      <c r="Z453" s="170"/>
      <c r="AA453" s="170"/>
      <c r="AB453" s="382"/>
    </row>
    <row r="454" spans="1:28" ht="16.149999999999999" customHeight="1" x14ac:dyDescent="0.2">
      <c r="A454" s="391"/>
      <c r="B454" s="140" t="s">
        <v>1413</v>
      </c>
      <c r="C454" s="385"/>
      <c r="D454" s="389"/>
      <c r="E454" s="169"/>
      <c r="F454" s="169"/>
      <c r="G454" s="169"/>
      <c r="H454" s="385"/>
      <c r="I454" s="389"/>
      <c r="J454" s="169"/>
      <c r="K454" s="169"/>
      <c r="L454" s="169"/>
      <c r="M454" s="171"/>
      <c r="N454" s="173"/>
      <c r="O454" s="170"/>
      <c r="P454" s="170"/>
      <c r="Q454" s="170"/>
      <c r="R454" s="382"/>
      <c r="S454" s="379"/>
      <c r="T454" s="170"/>
      <c r="U454" s="170"/>
      <c r="V454" s="170"/>
      <c r="W454" s="382"/>
      <c r="X454" s="379"/>
      <c r="Y454" s="170"/>
      <c r="Z454" s="170"/>
      <c r="AA454" s="170"/>
      <c r="AB454" s="382"/>
    </row>
    <row r="455" spans="1:28" ht="16.149999999999999" customHeight="1" x14ac:dyDescent="0.2">
      <c r="A455" s="391"/>
      <c r="B455" s="140" t="s">
        <v>1414</v>
      </c>
      <c r="C455" s="385"/>
      <c r="D455" s="389"/>
      <c r="E455" s="169"/>
      <c r="F455" s="169"/>
      <c r="G455" s="169"/>
      <c r="H455" s="385"/>
      <c r="I455" s="389"/>
      <c r="J455" s="169"/>
      <c r="K455" s="169"/>
      <c r="L455" s="169"/>
      <c r="M455" s="171"/>
      <c r="N455" s="173"/>
      <c r="O455" s="170"/>
      <c r="P455" s="170"/>
      <c r="Q455" s="170"/>
      <c r="R455" s="382"/>
      <c r="S455" s="379"/>
      <c r="T455" s="170"/>
      <c r="U455" s="170"/>
      <c r="V455" s="170"/>
      <c r="W455" s="382"/>
      <c r="X455" s="379"/>
      <c r="Y455" s="170"/>
      <c r="Z455" s="170"/>
      <c r="AA455" s="170"/>
      <c r="AB455" s="382"/>
    </row>
    <row r="456" spans="1:28" ht="16.149999999999999" customHeight="1" x14ac:dyDescent="0.2">
      <c r="A456" s="391"/>
      <c r="B456" s="139" t="s">
        <v>411</v>
      </c>
      <c r="C456" s="385"/>
      <c r="D456" s="389"/>
      <c r="E456" s="169"/>
      <c r="F456" s="169"/>
      <c r="G456" s="169"/>
      <c r="H456" s="385"/>
      <c r="I456" s="389"/>
      <c r="J456" s="169"/>
      <c r="K456" s="169"/>
      <c r="L456" s="169"/>
      <c r="M456" s="171"/>
      <c r="N456" s="173"/>
      <c r="O456" s="170"/>
      <c r="P456" s="170"/>
      <c r="Q456" s="170"/>
      <c r="R456" s="382"/>
      <c r="S456" s="379"/>
      <c r="T456" s="170"/>
      <c r="U456" s="170"/>
      <c r="V456" s="170"/>
      <c r="W456" s="382"/>
      <c r="X456" s="379"/>
      <c r="Y456" s="170"/>
      <c r="Z456" s="170"/>
      <c r="AA456" s="170"/>
      <c r="AB456" s="382"/>
    </row>
    <row r="457" spans="1:28" ht="16.149999999999999" customHeight="1" x14ac:dyDescent="0.2">
      <c r="A457" s="391"/>
      <c r="B457" s="140" t="s">
        <v>1025</v>
      </c>
      <c r="C457" s="385"/>
      <c r="D457" s="389"/>
      <c r="E457" s="169"/>
      <c r="F457" s="169"/>
      <c r="G457" s="169"/>
      <c r="H457" s="385"/>
      <c r="I457" s="389"/>
      <c r="J457" s="169"/>
      <c r="K457" s="169"/>
      <c r="L457" s="169"/>
      <c r="M457" s="171"/>
      <c r="N457" s="173"/>
      <c r="O457" s="170"/>
      <c r="P457" s="170"/>
      <c r="Q457" s="170"/>
      <c r="R457" s="382"/>
      <c r="S457" s="379"/>
      <c r="T457" s="170"/>
      <c r="U457" s="170"/>
      <c r="V457" s="170"/>
      <c r="W457" s="382"/>
      <c r="X457" s="379"/>
      <c r="Y457" s="170"/>
      <c r="Z457" s="170"/>
      <c r="AA457" s="170"/>
      <c r="AB457" s="382"/>
    </row>
    <row r="458" spans="1:28" ht="16.149999999999999" customHeight="1" x14ac:dyDescent="0.2">
      <c r="A458" s="391"/>
      <c r="B458" s="140" t="s">
        <v>1026</v>
      </c>
      <c r="C458" s="385"/>
      <c r="D458" s="389"/>
      <c r="E458" s="169"/>
      <c r="F458" s="169"/>
      <c r="G458" s="169"/>
      <c r="H458" s="385"/>
      <c r="I458" s="389"/>
      <c r="J458" s="169"/>
      <c r="K458" s="169"/>
      <c r="L458" s="169"/>
      <c r="M458" s="171"/>
      <c r="N458" s="173"/>
      <c r="O458" s="170"/>
      <c r="P458" s="170"/>
      <c r="Q458" s="170"/>
      <c r="R458" s="382"/>
      <c r="S458" s="379"/>
      <c r="T458" s="170"/>
      <c r="U458" s="170"/>
      <c r="V458" s="170"/>
      <c r="W458" s="382"/>
      <c r="X458" s="379"/>
      <c r="Y458" s="170"/>
      <c r="Z458" s="170"/>
      <c r="AA458" s="170"/>
      <c r="AB458" s="382"/>
    </row>
    <row r="459" spans="1:28" ht="16.149999999999999" customHeight="1" x14ac:dyDescent="0.2">
      <c r="A459" s="391"/>
      <c r="B459" s="140" t="s">
        <v>1027</v>
      </c>
      <c r="C459" s="385"/>
      <c r="D459" s="389"/>
      <c r="E459" s="169"/>
      <c r="F459" s="169"/>
      <c r="G459" s="169"/>
      <c r="H459" s="385"/>
      <c r="I459" s="389"/>
      <c r="J459" s="169"/>
      <c r="K459" s="169"/>
      <c r="L459" s="169"/>
      <c r="M459" s="171"/>
      <c r="N459" s="173"/>
      <c r="O459" s="170"/>
      <c r="P459" s="170"/>
      <c r="Q459" s="170"/>
      <c r="R459" s="382"/>
      <c r="S459" s="379"/>
      <c r="T459" s="170"/>
      <c r="U459" s="170"/>
      <c r="V459" s="170"/>
      <c r="W459" s="382"/>
      <c r="X459" s="379"/>
      <c r="Y459" s="170"/>
      <c r="Z459" s="170"/>
      <c r="AA459" s="170"/>
      <c r="AB459" s="382"/>
    </row>
    <row r="460" spans="1:28" ht="16.149999999999999" customHeight="1" x14ac:dyDescent="0.2">
      <c r="A460" s="391"/>
      <c r="B460" s="140" t="s">
        <v>1028</v>
      </c>
      <c r="C460" s="385"/>
      <c r="D460" s="389"/>
      <c r="E460" s="169"/>
      <c r="F460" s="169"/>
      <c r="G460" s="169"/>
      <c r="H460" s="385"/>
      <c r="I460" s="389"/>
      <c r="J460" s="169"/>
      <c r="K460" s="169"/>
      <c r="L460" s="169"/>
      <c r="M460" s="171"/>
      <c r="N460" s="173"/>
      <c r="O460" s="170"/>
      <c r="P460" s="170"/>
      <c r="Q460" s="170"/>
      <c r="R460" s="382"/>
      <c r="S460" s="379"/>
      <c r="T460" s="170"/>
      <c r="U460" s="170"/>
      <c r="V460" s="170"/>
      <c r="W460" s="382"/>
      <c r="X460" s="379"/>
      <c r="Y460" s="170"/>
      <c r="Z460" s="170"/>
      <c r="AA460" s="170"/>
      <c r="AB460" s="382"/>
    </row>
    <row r="461" spans="1:28" ht="16.149999999999999" customHeight="1" x14ac:dyDescent="0.2">
      <c r="A461" s="391"/>
      <c r="B461" s="140" t="s">
        <v>1029</v>
      </c>
      <c r="C461" s="385"/>
      <c r="D461" s="389"/>
      <c r="E461" s="169"/>
      <c r="F461" s="169"/>
      <c r="G461" s="169"/>
      <c r="H461" s="385"/>
      <c r="I461" s="389"/>
      <c r="J461" s="169"/>
      <c r="K461" s="169"/>
      <c r="L461" s="169"/>
      <c r="M461" s="171"/>
      <c r="N461" s="173"/>
      <c r="O461" s="170"/>
      <c r="P461" s="170"/>
      <c r="Q461" s="170"/>
      <c r="R461" s="382"/>
      <c r="S461" s="379"/>
      <c r="T461" s="170"/>
      <c r="U461" s="170"/>
      <c r="V461" s="170"/>
      <c r="W461" s="382"/>
      <c r="X461" s="379"/>
      <c r="Y461" s="170"/>
      <c r="Z461" s="170"/>
      <c r="AA461" s="170"/>
      <c r="AB461" s="382"/>
    </row>
    <row r="462" spans="1:28" ht="16.149999999999999" customHeight="1" x14ac:dyDescent="0.2">
      <c r="A462" s="391"/>
      <c r="B462" s="140" t="s">
        <v>1030</v>
      </c>
      <c r="C462" s="385"/>
      <c r="D462" s="389"/>
      <c r="E462" s="169"/>
      <c r="F462" s="169"/>
      <c r="G462" s="169"/>
      <c r="H462" s="385"/>
      <c r="I462" s="389"/>
      <c r="J462" s="169"/>
      <c r="K462" s="169"/>
      <c r="L462" s="169"/>
      <c r="M462" s="171"/>
      <c r="N462" s="173"/>
      <c r="O462" s="170"/>
      <c r="P462" s="170"/>
      <c r="Q462" s="170"/>
      <c r="R462" s="382"/>
      <c r="S462" s="379"/>
      <c r="T462" s="170"/>
      <c r="U462" s="170"/>
      <c r="V462" s="170"/>
      <c r="W462" s="382"/>
      <c r="X462" s="379"/>
      <c r="Y462" s="170"/>
      <c r="Z462" s="170"/>
      <c r="AA462" s="170"/>
      <c r="AB462" s="382"/>
    </row>
    <row r="463" spans="1:28" ht="16.149999999999999" customHeight="1" x14ac:dyDescent="0.2">
      <c r="A463" s="391"/>
      <c r="B463" s="140" t="s">
        <v>1031</v>
      </c>
      <c r="C463" s="385"/>
      <c r="D463" s="389"/>
      <c r="E463" s="169"/>
      <c r="F463" s="169"/>
      <c r="G463" s="169"/>
      <c r="H463" s="385"/>
      <c r="I463" s="389"/>
      <c r="J463" s="169"/>
      <c r="K463" s="169"/>
      <c r="L463" s="169"/>
      <c r="M463" s="171"/>
      <c r="N463" s="173"/>
      <c r="O463" s="170"/>
      <c r="P463" s="170"/>
      <c r="Q463" s="170"/>
      <c r="R463" s="382"/>
      <c r="S463" s="379"/>
      <c r="T463" s="170"/>
      <c r="U463" s="170"/>
      <c r="V463" s="170"/>
      <c r="W463" s="382"/>
      <c r="X463" s="379"/>
      <c r="Y463" s="170"/>
      <c r="Z463" s="170"/>
      <c r="AA463" s="170"/>
      <c r="AB463" s="382"/>
    </row>
    <row r="464" spans="1:28" ht="16.149999999999999" customHeight="1" x14ac:dyDescent="0.2">
      <c r="A464" s="391"/>
      <c r="B464" s="140" t="s">
        <v>1032</v>
      </c>
      <c r="C464" s="385"/>
      <c r="D464" s="389"/>
      <c r="E464" s="169"/>
      <c r="F464" s="169"/>
      <c r="G464" s="169"/>
      <c r="H464" s="385"/>
      <c r="I464" s="389"/>
      <c r="J464" s="169"/>
      <c r="K464" s="169"/>
      <c r="L464" s="169"/>
      <c r="M464" s="171"/>
      <c r="N464" s="173"/>
      <c r="O464" s="170"/>
      <c r="P464" s="170"/>
      <c r="Q464" s="170"/>
      <c r="R464" s="382"/>
      <c r="S464" s="379"/>
      <c r="T464" s="170"/>
      <c r="U464" s="170"/>
      <c r="V464" s="170"/>
      <c r="W464" s="382"/>
      <c r="X464" s="379"/>
      <c r="Y464" s="170"/>
      <c r="Z464" s="170"/>
      <c r="AA464" s="170"/>
      <c r="AB464" s="382"/>
    </row>
    <row r="465" spans="1:28" ht="16.149999999999999" customHeight="1" x14ac:dyDescent="0.2">
      <c r="A465" s="391"/>
      <c r="B465" s="140" t="s">
        <v>1033</v>
      </c>
      <c r="C465" s="385"/>
      <c r="D465" s="389"/>
      <c r="E465" s="169"/>
      <c r="F465" s="169"/>
      <c r="G465" s="169"/>
      <c r="H465" s="385"/>
      <c r="I465" s="389"/>
      <c r="J465" s="169"/>
      <c r="K465" s="169"/>
      <c r="L465" s="169"/>
      <c r="M465" s="171"/>
      <c r="N465" s="173"/>
      <c r="O465" s="170"/>
      <c r="P465" s="170"/>
      <c r="Q465" s="170"/>
      <c r="R465" s="382"/>
      <c r="S465" s="379"/>
      <c r="T465" s="170"/>
      <c r="U465" s="170"/>
      <c r="V465" s="170"/>
      <c r="W465" s="382"/>
      <c r="X465" s="379"/>
      <c r="Y465" s="170"/>
      <c r="Z465" s="170"/>
      <c r="AA465" s="170"/>
      <c r="AB465" s="382"/>
    </row>
    <row r="466" spans="1:28" ht="16.149999999999999" customHeight="1" x14ac:dyDescent="0.2">
      <c r="A466" s="391"/>
      <c r="B466" s="140" t="s">
        <v>1034</v>
      </c>
      <c r="C466" s="385"/>
      <c r="D466" s="389"/>
      <c r="E466" s="169"/>
      <c r="F466" s="169"/>
      <c r="G466" s="169"/>
      <c r="H466" s="385"/>
      <c r="I466" s="389"/>
      <c r="J466" s="169"/>
      <c r="K466" s="169"/>
      <c r="L466" s="169"/>
      <c r="M466" s="171"/>
      <c r="N466" s="173"/>
      <c r="O466" s="170"/>
      <c r="P466" s="170"/>
      <c r="Q466" s="170"/>
      <c r="R466" s="382"/>
      <c r="S466" s="379"/>
      <c r="T466" s="170"/>
      <c r="U466" s="170"/>
      <c r="V466" s="170"/>
      <c r="W466" s="382"/>
      <c r="X466" s="379"/>
      <c r="Y466" s="170"/>
      <c r="Z466" s="170"/>
      <c r="AA466" s="170"/>
      <c r="AB466" s="382"/>
    </row>
    <row r="467" spans="1:28" ht="16.149999999999999" customHeight="1" x14ac:dyDescent="0.2">
      <c r="A467" s="391"/>
      <c r="B467" s="140" t="s">
        <v>1035</v>
      </c>
      <c r="C467" s="385"/>
      <c r="D467" s="389"/>
      <c r="E467" s="169"/>
      <c r="F467" s="169"/>
      <c r="G467" s="169"/>
      <c r="H467" s="385"/>
      <c r="I467" s="389"/>
      <c r="J467" s="169"/>
      <c r="K467" s="169"/>
      <c r="L467" s="169"/>
      <c r="M467" s="171"/>
      <c r="N467" s="173"/>
      <c r="O467" s="170"/>
      <c r="P467" s="170"/>
      <c r="Q467" s="170"/>
      <c r="R467" s="382"/>
      <c r="S467" s="379"/>
      <c r="T467" s="170"/>
      <c r="U467" s="170"/>
      <c r="V467" s="170"/>
      <c r="W467" s="382"/>
      <c r="X467" s="379"/>
      <c r="Y467" s="170"/>
      <c r="Z467" s="170"/>
      <c r="AA467" s="170"/>
      <c r="AB467" s="382"/>
    </row>
    <row r="468" spans="1:28" ht="16.149999999999999" customHeight="1" x14ac:dyDescent="0.2">
      <c r="A468" s="391"/>
      <c r="B468" s="140" t="s">
        <v>1036</v>
      </c>
      <c r="C468" s="385"/>
      <c r="D468" s="389"/>
      <c r="E468" s="169"/>
      <c r="F468" s="169"/>
      <c r="G468" s="169"/>
      <c r="H468" s="385"/>
      <c r="I468" s="389"/>
      <c r="J468" s="169"/>
      <c r="K468" s="169"/>
      <c r="L468" s="169"/>
      <c r="M468" s="171"/>
      <c r="N468" s="173"/>
      <c r="O468" s="170"/>
      <c r="P468" s="170"/>
      <c r="Q468" s="170"/>
      <c r="R468" s="382"/>
      <c r="S468" s="379"/>
      <c r="T468" s="170"/>
      <c r="U468" s="170"/>
      <c r="V468" s="170"/>
      <c r="W468" s="382"/>
      <c r="X468" s="379"/>
      <c r="Y468" s="170"/>
      <c r="Z468" s="170"/>
      <c r="AA468" s="170"/>
      <c r="AB468" s="382"/>
    </row>
    <row r="469" spans="1:28" ht="16.149999999999999" customHeight="1" x14ac:dyDescent="0.2">
      <c r="A469" s="391"/>
      <c r="B469" s="140" t="s">
        <v>1049</v>
      </c>
      <c r="C469" s="385"/>
      <c r="D469" s="389"/>
      <c r="E469" s="169"/>
      <c r="F469" s="169"/>
      <c r="G469" s="169"/>
      <c r="H469" s="385"/>
      <c r="I469" s="389"/>
      <c r="J469" s="169"/>
      <c r="K469" s="169"/>
      <c r="L469" s="169"/>
      <c r="M469" s="171"/>
      <c r="N469" s="173"/>
      <c r="O469" s="170"/>
      <c r="P469" s="170"/>
      <c r="Q469" s="170"/>
      <c r="R469" s="382"/>
      <c r="S469" s="379"/>
      <c r="T469" s="170"/>
      <c r="U469" s="170"/>
      <c r="V469" s="170"/>
      <c r="W469" s="382"/>
      <c r="X469" s="379"/>
      <c r="Y469" s="170"/>
      <c r="Z469" s="170"/>
      <c r="AA469" s="170"/>
      <c r="AB469" s="382"/>
    </row>
    <row r="470" spans="1:28" ht="16.149999999999999" customHeight="1" x14ac:dyDescent="0.2">
      <c r="A470" s="391"/>
      <c r="B470" s="140" t="s">
        <v>1037</v>
      </c>
      <c r="C470" s="385"/>
      <c r="D470" s="389"/>
      <c r="E470" s="169"/>
      <c r="F470" s="169"/>
      <c r="G470" s="169"/>
      <c r="H470" s="385"/>
      <c r="I470" s="389"/>
      <c r="J470" s="169"/>
      <c r="K470" s="169"/>
      <c r="L470" s="169"/>
      <c r="M470" s="171"/>
      <c r="N470" s="173"/>
      <c r="O470" s="170"/>
      <c r="P470" s="170"/>
      <c r="Q470" s="170"/>
      <c r="R470" s="382"/>
      <c r="S470" s="379"/>
      <c r="T470" s="170"/>
      <c r="U470" s="170"/>
      <c r="V470" s="170"/>
      <c r="W470" s="382"/>
      <c r="X470" s="379"/>
      <c r="Y470" s="170"/>
      <c r="Z470" s="170"/>
      <c r="AA470" s="170"/>
      <c r="AB470" s="382"/>
    </row>
    <row r="471" spans="1:28" ht="16.149999999999999" customHeight="1" x14ac:dyDescent="0.2">
      <c r="A471" s="391"/>
      <c r="B471" s="140" t="s">
        <v>1038</v>
      </c>
      <c r="C471" s="385"/>
      <c r="D471" s="389"/>
      <c r="E471" s="169"/>
      <c r="F471" s="169"/>
      <c r="G471" s="169"/>
      <c r="H471" s="385"/>
      <c r="I471" s="389"/>
      <c r="J471" s="169"/>
      <c r="K471" s="169"/>
      <c r="L471" s="169"/>
      <c r="M471" s="171"/>
      <c r="N471" s="173"/>
      <c r="O471" s="170"/>
      <c r="P471" s="170"/>
      <c r="Q471" s="170"/>
      <c r="R471" s="382"/>
      <c r="S471" s="379"/>
      <c r="T471" s="170"/>
      <c r="U471" s="170"/>
      <c r="V471" s="170"/>
      <c r="W471" s="382"/>
      <c r="X471" s="379"/>
      <c r="Y471" s="170"/>
      <c r="Z471" s="170"/>
      <c r="AA471" s="170"/>
      <c r="AB471" s="382"/>
    </row>
    <row r="472" spans="1:28" ht="16.149999999999999" customHeight="1" x14ac:dyDescent="0.2">
      <c r="A472" s="391"/>
      <c r="B472" s="140" t="s">
        <v>1048</v>
      </c>
      <c r="C472" s="385"/>
      <c r="D472" s="389"/>
      <c r="E472" s="169"/>
      <c r="F472" s="169"/>
      <c r="G472" s="169"/>
      <c r="H472" s="385"/>
      <c r="I472" s="389"/>
      <c r="J472" s="169"/>
      <c r="K472" s="169"/>
      <c r="L472" s="169"/>
      <c r="M472" s="171"/>
      <c r="N472" s="173"/>
      <c r="O472" s="170"/>
      <c r="P472" s="170"/>
      <c r="Q472" s="170"/>
      <c r="R472" s="382"/>
      <c r="S472" s="379"/>
      <c r="T472" s="170"/>
      <c r="U472" s="170"/>
      <c r="V472" s="170"/>
      <c r="W472" s="382"/>
      <c r="X472" s="379"/>
      <c r="Y472" s="170"/>
      <c r="Z472" s="170"/>
      <c r="AA472" s="170"/>
      <c r="AB472" s="382"/>
    </row>
    <row r="473" spans="1:28" ht="16.149999999999999" customHeight="1" x14ac:dyDescent="0.2">
      <c r="A473" s="391"/>
      <c r="B473" s="140" t="s">
        <v>1047</v>
      </c>
      <c r="C473" s="385"/>
      <c r="D473" s="389"/>
      <c r="E473" s="169"/>
      <c r="F473" s="169"/>
      <c r="G473" s="169"/>
      <c r="H473" s="385"/>
      <c r="I473" s="389"/>
      <c r="J473" s="169"/>
      <c r="K473" s="169"/>
      <c r="L473" s="169"/>
      <c r="M473" s="171"/>
      <c r="N473" s="173"/>
      <c r="O473" s="170"/>
      <c r="P473" s="170"/>
      <c r="Q473" s="170"/>
      <c r="R473" s="382"/>
      <c r="S473" s="379"/>
      <c r="T473" s="170"/>
      <c r="U473" s="170"/>
      <c r="V473" s="170"/>
      <c r="W473" s="382"/>
      <c r="X473" s="379"/>
      <c r="Y473" s="170"/>
      <c r="Z473" s="170"/>
      <c r="AA473" s="170"/>
      <c r="AB473" s="382"/>
    </row>
    <row r="474" spans="1:28" ht="16.149999999999999" customHeight="1" x14ac:dyDescent="0.2">
      <c r="A474" s="391"/>
      <c r="B474" s="140" t="s">
        <v>1039</v>
      </c>
      <c r="C474" s="385"/>
      <c r="D474" s="389"/>
      <c r="E474" s="169"/>
      <c r="F474" s="169"/>
      <c r="G474" s="169"/>
      <c r="H474" s="385"/>
      <c r="I474" s="389"/>
      <c r="J474" s="169"/>
      <c r="K474" s="169"/>
      <c r="L474" s="169"/>
      <c r="M474" s="171"/>
      <c r="N474" s="173"/>
      <c r="O474" s="170"/>
      <c r="P474" s="170"/>
      <c r="Q474" s="170"/>
      <c r="R474" s="382"/>
      <c r="S474" s="379"/>
      <c r="T474" s="170"/>
      <c r="U474" s="170"/>
      <c r="V474" s="170"/>
      <c r="W474" s="382"/>
      <c r="X474" s="379"/>
      <c r="Y474" s="170"/>
      <c r="Z474" s="170"/>
      <c r="AA474" s="170"/>
      <c r="AB474" s="382"/>
    </row>
    <row r="475" spans="1:28" ht="16.149999999999999" customHeight="1" x14ac:dyDescent="0.2">
      <c r="A475" s="391"/>
      <c r="B475" s="140" t="s">
        <v>1040</v>
      </c>
      <c r="C475" s="385"/>
      <c r="D475" s="389"/>
      <c r="E475" s="169"/>
      <c r="F475" s="169"/>
      <c r="G475" s="169"/>
      <c r="H475" s="385"/>
      <c r="I475" s="389"/>
      <c r="J475" s="169"/>
      <c r="K475" s="169"/>
      <c r="L475" s="169"/>
      <c r="M475" s="171"/>
      <c r="N475" s="173"/>
      <c r="O475" s="170"/>
      <c r="P475" s="170"/>
      <c r="Q475" s="170"/>
      <c r="R475" s="382"/>
      <c r="S475" s="379"/>
      <c r="T475" s="170"/>
      <c r="U475" s="170"/>
      <c r="V475" s="170"/>
      <c r="W475" s="382"/>
      <c r="X475" s="379"/>
      <c r="Y475" s="170"/>
      <c r="Z475" s="170"/>
      <c r="AA475" s="170"/>
      <c r="AB475" s="382"/>
    </row>
    <row r="476" spans="1:28" ht="16.149999999999999" customHeight="1" x14ac:dyDescent="0.2">
      <c r="A476" s="391"/>
      <c r="B476" s="140" t="s">
        <v>1041</v>
      </c>
      <c r="C476" s="385"/>
      <c r="D476" s="389"/>
      <c r="E476" s="169"/>
      <c r="F476" s="169"/>
      <c r="G476" s="169"/>
      <c r="H476" s="385"/>
      <c r="I476" s="389"/>
      <c r="J476" s="169"/>
      <c r="K476" s="169"/>
      <c r="L476" s="169"/>
      <c r="M476" s="171"/>
      <c r="N476" s="173"/>
      <c r="O476" s="170"/>
      <c r="P476" s="170"/>
      <c r="Q476" s="170"/>
      <c r="R476" s="382"/>
      <c r="S476" s="379"/>
      <c r="T476" s="170"/>
      <c r="U476" s="170"/>
      <c r="V476" s="170"/>
      <c r="W476" s="382"/>
      <c r="X476" s="379"/>
      <c r="Y476" s="170"/>
      <c r="Z476" s="170"/>
      <c r="AA476" s="170"/>
      <c r="AB476" s="382"/>
    </row>
    <row r="477" spans="1:28" ht="16.149999999999999" customHeight="1" x14ac:dyDescent="0.2">
      <c r="A477" s="391"/>
      <c r="B477" s="140" t="s">
        <v>1042</v>
      </c>
      <c r="C477" s="385"/>
      <c r="D477" s="389"/>
      <c r="E477" s="169"/>
      <c r="F477" s="169"/>
      <c r="G477" s="169"/>
      <c r="H477" s="385"/>
      <c r="I477" s="389"/>
      <c r="J477" s="169"/>
      <c r="K477" s="169"/>
      <c r="L477" s="169"/>
      <c r="M477" s="171"/>
      <c r="N477" s="173"/>
      <c r="O477" s="170"/>
      <c r="P477" s="170"/>
      <c r="Q477" s="170"/>
      <c r="R477" s="382"/>
      <c r="S477" s="379"/>
      <c r="T477" s="170"/>
      <c r="U477" s="170"/>
      <c r="V477" s="170"/>
      <c r="W477" s="382"/>
      <c r="X477" s="379"/>
      <c r="Y477" s="170"/>
      <c r="Z477" s="170"/>
      <c r="AA477" s="170"/>
      <c r="AB477" s="382"/>
    </row>
    <row r="478" spans="1:28" ht="16.149999999999999" customHeight="1" x14ac:dyDescent="0.2">
      <c r="A478" s="391"/>
      <c r="B478" s="140" t="s">
        <v>1043</v>
      </c>
      <c r="C478" s="385"/>
      <c r="D478" s="389"/>
      <c r="E478" s="169"/>
      <c r="F478" s="169"/>
      <c r="G478" s="169"/>
      <c r="H478" s="385"/>
      <c r="I478" s="389"/>
      <c r="J478" s="169"/>
      <c r="K478" s="169"/>
      <c r="L478" s="169"/>
      <c r="M478" s="171"/>
      <c r="N478" s="173"/>
      <c r="O478" s="170"/>
      <c r="P478" s="170"/>
      <c r="Q478" s="170"/>
      <c r="R478" s="382"/>
      <c r="S478" s="379"/>
      <c r="T478" s="170"/>
      <c r="U478" s="170"/>
      <c r="V478" s="170"/>
      <c r="W478" s="382"/>
      <c r="X478" s="379"/>
      <c r="Y478" s="170"/>
      <c r="Z478" s="170"/>
      <c r="AA478" s="170"/>
      <c r="AB478" s="382"/>
    </row>
    <row r="479" spans="1:28" ht="16.149999999999999" customHeight="1" x14ac:dyDescent="0.2">
      <c r="A479" s="391"/>
      <c r="B479" s="140" t="s">
        <v>1044</v>
      </c>
      <c r="C479" s="385"/>
      <c r="D479" s="389"/>
      <c r="E479" s="169"/>
      <c r="F479" s="169"/>
      <c r="G479" s="169"/>
      <c r="H479" s="385"/>
      <c r="I479" s="389"/>
      <c r="J479" s="169"/>
      <c r="K479" s="169"/>
      <c r="L479" s="169"/>
      <c r="M479" s="171"/>
      <c r="N479" s="173"/>
      <c r="O479" s="170"/>
      <c r="P479" s="170"/>
      <c r="Q479" s="170"/>
      <c r="R479" s="382"/>
      <c r="S479" s="379"/>
      <c r="T479" s="170"/>
      <c r="U479" s="170"/>
      <c r="V479" s="170"/>
      <c r="W479" s="382"/>
      <c r="X479" s="379"/>
      <c r="Y479" s="170"/>
      <c r="Z479" s="170"/>
      <c r="AA479" s="170"/>
      <c r="AB479" s="382"/>
    </row>
    <row r="480" spans="1:28" ht="16.149999999999999" customHeight="1" x14ac:dyDescent="0.2">
      <c r="A480" s="391"/>
      <c r="B480" s="140" t="s">
        <v>1045</v>
      </c>
      <c r="C480" s="385"/>
      <c r="D480" s="389"/>
      <c r="E480" s="169"/>
      <c r="F480" s="169"/>
      <c r="G480" s="169"/>
      <c r="H480" s="385"/>
      <c r="I480" s="389"/>
      <c r="J480" s="169"/>
      <c r="K480" s="169"/>
      <c r="L480" s="169"/>
      <c r="M480" s="171"/>
      <c r="N480" s="173"/>
      <c r="O480" s="170"/>
      <c r="P480" s="170"/>
      <c r="Q480" s="170"/>
      <c r="R480" s="382"/>
      <c r="S480" s="379"/>
      <c r="T480" s="170"/>
      <c r="U480" s="170"/>
      <c r="V480" s="170"/>
      <c r="W480" s="382"/>
      <c r="X480" s="379"/>
      <c r="Y480" s="170"/>
      <c r="Z480" s="170"/>
      <c r="AA480" s="170"/>
      <c r="AB480" s="382"/>
    </row>
    <row r="481" spans="1:28" ht="16.149999999999999" customHeight="1" x14ac:dyDescent="0.2">
      <c r="A481" s="391"/>
      <c r="B481" s="140" t="s">
        <v>1046</v>
      </c>
      <c r="C481" s="385"/>
      <c r="D481" s="389"/>
      <c r="E481" s="169"/>
      <c r="F481" s="169"/>
      <c r="G481" s="169"/>
      <c r="H481" s="385"/>
      <c r="I481" s="389"/>
      <c r="J481" s="169"/>
      <c r="K481" s="169"/>
      <c r="L481" s="169"/>
      <c r="M481" s="171"/>
      <c r="N481" s="173"/>
      <c r="O481" s="170"/>
      <c r="P481" s="170"/>
      <c r="Q481" s="170"/>
      <c r="R481" s="382"/>
      <c r="S481" s="379"/>
      <c r="T481" s="170"/>
      <c r="U481" s="170"/>
      <c r="V481" s="170"/>
      <c r="W481" s="382"/>
      <c r="X481" s="379"/>
      <c r="Y481" s="170"/>
      <c r="Z481" s="170"/>
      <c r="AA481" s="170"/>
      <c r="AB481" s="382"/>
    </row>
    <row r="482" spans="1:28" ht="16.149999999999999" customHeight="1" x14ac:dyDescent="0.2">
      <c r="A482" s="391"/>
      <c r="B482" s="140" t="s">
        <v>632</v>
      </c>
      <c r="C482" s="385"/>
      <c r="D482" s="389"/>
      <c r="E482" s="169"/>
      <c r="F482" s="169"/>
      <c r="G482" s="169"/>
      <c r="H482" s="385"/>
      <c r="I482" s="389"/>
      <c r="J482" s="169"/>
      <c r="K482" s="169"/>
      <c r="L482" s="169"/>
      <c r="M482" s="171"/>
      <c r="N482" s="173"/>
      <c r="O482" s="170"/>
      <c r="P482" s="170"/>
      <c r="Q482" s="170"/>
      <c r="R482" s="382"/>
      <c r="S482" s="379"/>
      <c r="T482" s="170"/>
      <c r="U482" s="170"/>
      <c r="V482" s="170"/>
      <c r="W482" s="382"/>
      <c r="X482" s="379"/>
      <c r="Y482" s="170"/>
      <c r="Z482" s="170"/>
      <c r="AA482" s="170"/>
      <c r="AB482" s="382"/>
    </row>
    <row r="483" spans="1:28" ht="32.25" customHeight="1" x14ac:dyDescent="0.2">
      <c r="A483" s="395" t="s">
        <v>12</v>
      </c>
      <c r="B483" s="138" t="s">
        <v>154</v>
      </c>
      <c r="C483" s="384">
        <f>D483+E483+F483+G483</f>
        <v>0</v>
      </c>
      <c r="D483" s="388">
        <v>0</v>
      </c>
      <c r="E483" s="332">
        <v>0</v>
      </c>
      <c r="F483" s="332">
        <v>0</v>
      </c>
      <c r="G483" s="332">
        <v>0</v>
      </c>
      <c r="H483" s="384">
        <f>I483+J483+K483+L483</f>
        <v>0</v>
      </c>
      <c r="I483" s="388">
        <v>0</v>
      </c>
      <c r="J483" s="332">
        <v>0</v>
      </c>
      <c r="K483" s="332">
        <v>0</v>
      </c>
      <c r="L483" s="332">
        <v>0</v>
      </c>
      <c r="M483" s="384">
        <f>N483</f>
        <v>0</v>
      </c>
      <c r="N483" s="388">
        <f>1417-578-583-29-214-13</f>
        <v>0</v>
      </c>
      <c r="O483" s="338">
        <v>0</v>
      </c>
      <c r="P483" s="338">
        <v>0</v>
      </c>
      <c r="Q483" s="338">
        <v>0</v>
      </c>
      <c r="R483" s="384">
        <f>S483</f>
        <v>821</v>
      </c>
      <c r="S483" s="388">
        <f>1417+3469-4281-10+271-22-23</f>
        <v>821</v>
      </c>
      <c r="T483" s="332">
        <v>0</v>
      </c>
      <c r="U483" s="332">
        <v>0</v>
      </c>
      <c r="V483" s="332">
        <v>0</v>
      </c>
      <c r="W483" s="384">
        <f>X483</f>
        <v>187</v>
      </c>
      <c r="X483" s="388">
        <f>256-69</f>
        <v>187</v>
      </c>
      <c r="Y483" s="332">
        <v>0</v>
      </c>
      <c r="Z483" s="332">
        <v>0</v>
      </c>
      <c r="AA483" s="332">
        <v>0</v>
      </c>
      <c r="AB483" s="384">
        <f>C483+H483+M483+R483+W483</f>
        <v>1008</v>
      </c>
    </row>
    <row r="484" spans="1:28" ht="18" customHeight="1" x14ac:dyDescent="0.2">
      <c r="A484" s="396"/>
      <c r="B484" s="139" t="s">
        <v>373</v>
      </c>
      <c r="C484" s="385"/>
      <c r="D484" s="389"/>
      <c r="E484" s="332"/>
      <c r="F484" s="332"/>
      <c r="G484" s="332"/>
      <c r="H484" s="385"/>
      <c r="I484" s="389"/>
      <c r="J484" s="332"/>
      <c r="K484" s="332"/>
      <c r="L484" s="332"/>
      <c r="M484" s="385"/>
      <c r="N484" s="389"/>
      <c r="O484" s="338"/>
      <c r="P484" s="338"/>
      <c r="Q484" s="338"/>
      <c r="R484" s="385"/>
      <c r="S484" s="389"/>
      <c r="T484" s="332"/>
      <c r="U484" s="332"/>
      <c r="V484" s="332"/>
      <c r="W484" s="385"/>
      <c r="X484" s="389"/>
      <c r="Y484" s="332"/>
      <c r="Z484" s="332"/>
      <c r="AA484" s="332"/>
      <c r="AB484" s="385"/>
    </row>
    <row r="485" spans="1:28" ht="15.75" customHeight="1" x14ac:dyDescent="0.2">
      <c r="A485" s="396"/>
      <c r="B485" s="140" t="s">
        <v>1050</v>
      </c>
      <c r="C485" s="385"/>
      <c r="D485" s="389"/>
      <c r="E485" s="332"/>
      <c r="F485" s="332"/>
      <c r="G485" s="332"/>
      <c r="H485" s="385"/>
      <c r="I485" s="389"/>
      <c r="J485" s="332"/>
      <c r="K485" s="332"/>
      <c r="L485" s="332"/>
      <c r="M485" s="385"/>
      <c r="N485" s="389"/>
      <c r="O485" s="338"/>
      <c r="P485" s="338"/>
      <c r="Q485" s="338"/>
      <c r="R485" s="385"/>
      <c r="S485" s="389"/>
      <c r="T485" s="332"/>
      <c r="U485" s="332"/>
      <c r="V485" s="332"/>
      <c r="W485" s="385"/>
      <c r="X485" s="389"/>
      <c r="Y485" s="332"/>
      <c r="Z485" s="332"/>
      <c r="AA485" s="332"/>
      <c r="AB485" s="385"/>
    </row>
    <row r="486" spans="1:28" ht="15.75" customHeight="1" x14ac:dyDescent="0.2">
      <c r="A486" s="396"/>
      <c r="B486" s="140" t="s">
        <v>1051</v>
      </c>
      <c r="C486" s="385"/>
      <c r="D486" s="389"/>
      <c r="E486" s="332"/>
      <c r="F486" s="332"/>
      <c r="G486" s="332"/>
      <c r="H486" s="385"/>
      <c r="I486" s="389"/>
      <c r="J486" s="332"/>
      <c r="K486" s="332"/>
      <c r="L486" s="332"/>
      <c r="M486" s="385"/>
      <c r="N486" s="389"/>
      <c r="O486" s="338"/>
      <c r="P486" s="338"/>
      <c r="Q486" s="338"/>
      <c r="R486" s="385"/>
      <c r="S486" s="389"/>
      <c r="T486" s="332"/>
      <c r="U486" s="332"/>
      <c r="V486" s="332"/>
      <c r="W486" s="385"/>
      <c r="X486" s="389"/>
      <c r="Y486" s="332"/>
      <c r="Z486" s="332"/>
      <c r="AA486" s="332"/>
      <c r="AB486" s="385"/>
    </row>
    <row r="487" spans="1:28" ht="15.75" customHeight="1" x14ac:dyDescent="0.2">
      <c r="A487" s="396"/>
      <c r="B487" s="140" t="s">
        <v>1052</v>
      </c>
      <c r="C487" s="385"/>
      <c r="D487" s="389"/>
      <c r="E487" s="332"/>
      <c r="F487" s="332"/>
      <c r="G487" s="332"/>
      <c r="H487" s="385"/>
      <c r="I487" s="389"/>
      <c r="J487" s="332"/>
      <c r="K487" s="332"/>
      <c r="L487" s="332"/>
      <c r="M487" s="385"/>
      <c r="N487" s="389"/>
      <c r="O487" s="338"/>
      <c r="P487" s="338"/>
      <c r="Q487" s="338"/>
      <c r="R487" s="385"/>
      <c r="S487" s="389"/>
      <c r="T487" s="332"/>
      <c r="U487" s="332"/>
      <c r="V487" s="332"/>
      <c r="W487" s="385"/>
      <c r="X487" s="389"/>
      <c r="Y487" s="332"/>
      <c r="Z487" s="332"/>
      <c r="AA487" s="332"/>
      <c r="AB487" s="385"/>
    </row>
    <row r="488" spans="1:28" ht="15.75" customHeight="1" x14ac:dyDescent="0.2">
      <c r="A488" s="329"/>
      <c r="B488" s="140" t="s">
        <v>1125</v>
      </c>
      <c r="C488" s="326"/>
      <c r="D488" s="325"/>
      <c r="E488" s="332"/>
      <c r="F488" s="332"/>
      <c r="G488" s="332"/>
      <c r="H488" s="326"/>
      <c r="I488" s="325"/>
      <c r="J488" s="332"/>
      <c r="K488" s="332"/>
      <c r="L488" s="332"/>
      <c r="M488" s="326"/>
      <c r="N488" s="325"/>
      <c r="O488" s="338"/>
      <c r="P488" s="338"/>
      <c r="Q488" s="338"/>
      <c r="R488" s="326"/>
      <c r="S488" s="325"/>
      <c r="T488" s="332"/>
      <c r="U488" s="332"/>
      <c r="V488" s="332"/>
      <c r="W488" s="326"/>
      <c r="X488" s="325"/>
      <c r="Y488" s="332"/>
      <c r="Z488" s="332"/>
      <c r="AA488" s="332"/>
      <c r="AB488" s="326"/>
    </row>
    <row r="489" spans="1:28" ht="14.25" customHeight="1" x14ac:dyDescent="0.2">
      <c r="A489" s="391"/>
      <c r="B489" s="139" t="s">
        <v>411</v>
      </c>
      <c r="C489" s="385"/>
      <c r="D489" s="389"/>
      <c r="E489" s="332"/>
      <c r="F489" s="332"/>
      <c r="G489" s="332"/>
      <c r="H489" s="385"/>
      <c r="I489" s="389"/>
      <c r="J489" s="332"/>
      <c r="K489" s="332"/>
      <c r="L489" s="332"/>
      <c r="M489" s="385"/>
      <c r="N489" s="389"/>
      <c r="O489" s="338"/>
      <c r="P489" s="338"/>
      <c r="Q489" s="338"/>
      <c r="R489" s="382"/>
      <c r="S489" s="379"/>
      <c r="T489" s="338"/>
      <c r="U489" s="338"/>
      <c r="V489" s="338"/>
      <c r="W489" s="382"/>
      <c r="X489" s="379"/>
      <c r="Y489" s="338"/>
      <c r="Z489" s="338"/>
      <c r="AA489" s="338"/>
      <c r="AB489" s="382"/>
    </row>
    <row r="490" spans="1:28" ht="18" customHeight="1" x14ac:dyDescent="0.2">
      <c r="A490" s="406"/>
      <c r="B490" s="140" t="s">
        <v>608</v>
      </c>
      <c r="C490" s="386"/>
      <c r="D490" s="390"/>
      <c r="E490" s="332"/>
      <c r="F490" s="332"/>
      <c r="G490" s="332"/>
      <c r="H490" s="386"/>
      <c r="I490" s="390"/>
      <c r="J490" s="332"/>
      <c r="K490" s="332"/>
      <c r="L490" s="332"/>
      <c r="M490" s="386"/>
      <c r="N490" s="390"/>
      <c r="O490" s="338"/>
      <c r="P490" s="338"/>
      <c r="Q490" s="338"/>
      <c r="R490" s="383"/>
      <c r="S490" s="380"/>
      <c r="T490" s="338"/>
      <c r="U490" s="338"/>
      <c r="V490" s="338"/>
      <c r="W490" s="383"/>
      <c r="X490" s="380"/>
      <c r="Y490" s="338"/>
      <c r="Z490" s="338"/>
      <c r="AA490" s="338"/>
      <c r="AB490" s="383"/>
    </row>
    <row r="491" spans="1:28" ht="36" customHeight="1" x14ac:dyDescent="0.2">
      <c r="A491" s="395" t="s">
        <v>17</v>
      </c>
      <c r="B491" s="138" t="s">
        <v>156</v>
      </c>
      <c r="C491" s="384">
        <f>D491+E491+F491+G491</f>
        <v>5379</v>
      </c>
      <c r="D491" s="388">
        <v>5379</v>
      </c>
      <c r="E491" s="332">
        <v>0</v>
      </c>
      <c r="F491" s="332">
        <v>0</v>
      </c>
      <c r="G491" s="332">
        <v>0</v>
      </c>
      <c r="H491" s="384">
        <f>I491+J491+K491+L491</f>
        <v>8539</v>
      </c>
      <c r="I491" s="388">
        <f>5209+3483-153</f>
        <v>8539</v>
      </c>
      <c r="J491" s="332">
        <v>0</v>
      </c>
      <c r="K491" s="332">
        <v>0</v>
      </c>
      <c r="L491" s="332">
        <v>0</v>
      </c>
      <c r="M491" s="384">
        <f>N491</f>
        <v>1149</v>
      </c>
      <c r="N491" s="388">
        <f>12265-10932-82-20-82</f>
        <v>1149</v>
      </c>
      <c r="O491" s="338">
        <v>0</v>
      </c>
      <c r="P491" s="338">
        <v>0</v>
      </c>
      <c r="Q491" s="338">
        <v>0</v>
      </c>
      <c r="R491" s="384">
        <f>S491</f>
        <v>0</v>
      </c>
      <c r="S491" s="388">
        <f>12265-12265+18810-8428-6805-3577</f>
        <v>0</v>
      </c>
      <c r="T491" s="332">
        <v>0</v>
      </c>
      <c r="U491" s="332">
        <v>0</v>
      </c>
      <c r="V491" s="332">
        <v>0</v>
      </c>
      <c r="W491" s="388">
        <v>0</v>
      </c>
      <c r="X491" s="388">
        <v>0</v>
      </c>
      <c r="Y491" s="332">
        <v>0</v>
      </c>
      <c r="Z491" s="332">
        <v>0</v>
      </c>
      <c r="AA491" s="332">
        <v>0</v>
      </c>
      <c r="AB491" s="384">
        <f>C491+H491+M491+R491+W491</f>
        <v>15067</v>
      </c>
    </row>
    <row r="492" spans="1:28" ht="18" customHeight="1" x14ac:dyDescent="0.2">
      <c r="A492" s="396"/>
      <c r="B492" s="139" t="s">
        <v>155</v>
      </c>
      <c r="C492" s="385"/>
      <c r="D492" s="389"/>
      <c r="E492" s="332"/>
      <c r="F492" s="332"/>
      <c r="G492" s="332"/>
      <c r="H492" s="385"/>
      <c r="I492" s="389"/>
      <c r="J492" s="332"/>
      <c r="K492" s="332"/>
      <c r="L492" s="332"/>
      <c r="M492" s="385"/>
      <c r="N492" s="389"/>
      <c r="O492" s="338"/>
      <c r="P492" s="338"/>
      <c r="Q492" s="338"/>
      <c r="R492" s="385"/>
      <c r="S492" s="389"/>
      <c r="T492" s="332"/>
      <c r="U492" s="332"/>
      <c r="V492" s="332"/>
      <c r="W492" s="389"/>
      <c r="X492" s="389"/>
      <c r="Y492" s="332"/>
      <c r="Z492" s="332"/>
      <c r="AA492" s="332"/>
      <c r="AB492" s="385"/>
    </row>
    <row r="493" spans="1:28" ht="18" customHeight="1" x14ac:dyDescent="0.2">
      <c r="A493" s="396"/>
      <c r="B493" s="140" t="s">
        <v>157</v>
      </c>
      <c r="C493" s="385"/>
      <c r="D493" s="389"/>
      <c r="E493" s="332"/>
      <c r="F493" s="332"/>
      <c r="G493" s="332"/>
      <c r="H493" s="385"/>
      <c r="I493" s="389"/>
      <c r="J493" s="332"/>
      <c r="K493" s="332"/>
      <c r="L493" s="332"/>
      <c r="M493" s="385"/>
      <c r="N493" s="389"/>
      <c r="O493" s="338"/>
      <c r="P493" s="338"/>
      <c r="Q493" s="338"/>
      <c r="R493" s="385"/>
      <c r="S493" s="389"/>
      <c r="T493" s="332"/>
      <c r="U493" s="332"/>
      <c r="V493" s="332"/>
      <c r="W493" s="389"/>
      <c r="X493" s="389"/>
      <c r="Y493" s="332"/>
      <c r="Z493" s="332"/>
      <c r="AA493" s="332"/>
      <c r="AB493" s="385"/>
    </row>
    <row r="494" spans="1:28" ht="18" customHeight="1" x14ac:dyDescent="0.2">
      <c r="A494" s="396"/>
      <c r="B494" s="140" t="s">
        <v>1053</v>
      </c>
      <c r="C494" s="385"/>
      <c r="D494" s="389"/>
      <c r="E494" s="332"/>
      <c r="F494" s="332"/>
      <c r="G494" s="332"/>
      <c r="H494" s="385"/>
      <c r="I494" s="389"/>
      <c r="J494" s="332"/>
      <c r="K494" s="332"/>
      <c r="L494" s="332"/>
      <c r="M494" s="385"/>
      <c r="N494" s="389"/>
      <c r="O494" s="338"/>
      <c r="P494" s="338"/>
      <c r="Q494" s="338"/>
      <c r="R494" s="385"/>
      <c r="S494" s="389"/>
      <c r="T494" s="332"/>
      <c r="U494" s="332"/>
      <c r="V494" s="332"/>
      <c r="W494" s="389"/>
      <c r="X494" s="389"/>
      <c r="Y494" s="332"/>
      <c r="Z494" s="332"/>
      <c r="AA494" s="332"/>
      <c r="AB494" s="385"/>
    </row>
    <row r="495" spans="1:28" ht="18" customHeight="1" x14ac:dyDescent="0.2">
      <c r="A495" s="396"/>
      <c r="B495" s="139" t="s">
        <v>147</v>
      </c>
      <c r="C495" s="385"/>
      <c r="D495" s="389"/>
      <c r="E495" s="332"/>
      <c r="F495" s="332"/>
      <c r="G495" s="332"/>
      <c r="H495" s="385"/>
      <c r="I495" s="389"/>
      <c r="J495" s="332"/>
      <c r="K495" s="332"/>
      <c r="L495" s="332"/>
      <c r="M495" s="385"/>
      <c r="N495" s="389"/>
      <c r="O495" s="338"/>
      <c r="P495" s="338"/>
      <c r="Q495" s="338"/>
      <c r="R495" s="385"/>
      <c r="S495" s="389"/>
      <c r="T495" s="332"/>
      <c r="U495" s="332"/>
      <c r="V495" s="332"/>
      <c r="W495" s="389"/>
      <c r="X495" s="389"/>
      <c r="Y495" s="332"/>
      <c r="Z495" s="332"/>
      <c r="AA495" s="332"/>
      <c r="AB495" s="385"/>
    </row>
    <row r="496" spans="1:28" ht="18" customHeight="1" x14ac:dyDescent="0.2">
      <c r="A496" s="396"/>
      <c r="B496" s="140" t="s">
        <v>1056</v>
      </c>
      <c r="C496" s="385"/>
      <c r="D496" s="389"/>
      <c r="E496" s="332"/>
      <c r="F496" s="332"/>
      <c r="G496" s="332"/>
      <c r="H496" s="385"/>
      <c r="I496" s="389"/>
      <c r="J496" s="332"/>
      <c r="K496" s="332"/>
      <c r="L496" s="332"/>
      <c r="M496" s="385"/>
      <c r="N496" s="389"/>
      <c r="O496" s="338"/>
      <c r="P496" s="338"/>
      <c r="Q496" s="338"/>
      <c r="R496" s="385"/>
      <c r="S496" s="389"/>
      <c r="T496" s="332"/>
      <c r="U496" s="332"/>
      <c r="V496" s="332"/>
      <c r="W496" s="389"/>
      <c r="X496" s="389"/>
      <c r="Y496" s="332"/>
      <c r="Z496" s="332"/>
      <c r="AA496" s="332"/>
      <c r="AB496" s="385"/>
    </row>
    <row r="497" spans="1:28" ht="18" customHeight="1" x14ac:dyDescent="0.2">
      <c r="A497" s="396"/>
      <c r="B497" s="140" t="s">
        <v>1054</v>
      </c>
      <c r="C497" s="385"/>
      <c r="D497" s="389"/>
      <c r="E497" s="332"/>
      <c r="F497" s="332"/>
      <c r="G497" s="332"/>
      <c r="H497" s="385"/>
      <c r="I497" s="389"/>
      <c r="J497" s="332"/>
      <c r="K497" s="332"/>
      <c r="L497" s="332"/>
      <c r="M497" s="385"/>
      <c r="N497" s="389"/>
      <c r="O497" s="338"/>
      <c r="P497" s="338"/>
      <c r="Q497" s="338"/>
      <c r="R497" s="385"/>
      <c r="S497" s="389"/>
      <c r="T497" s="332"/>
      <c r="U497" s="332"/>
      <c r="V497" s="332"/>
      <c r="W497" s="389"/>
      <c r="X497" s="389"/>
      <c r="Y497" s="332"/>
      <c r="Z497" s="332"/>
      <c r="AA497" s="332"/>
      <c r="AB497" s="385"/>
    </row>
    <row r="498" spans="1:28" ht="18" customHeight="1" x14ac:dyDescent="0.2">
      <c r="A498" s="396"/>
      <c r="B498" s="139" t="s">
        <v>322</v>
      </c>
      <c r="C498" s="385"/>
      <c r="D498" s="389"/>
      <c r="E498" s="332"/>
      <c r="F498" s="332"/>
      <c r="G498" s="332"/>
      <c r="H498" s="385"/>
      <c r="I498" s="389"/>
      <c r="J498" s="332"/>
      <c r="K498" s="332"/>
      <c r="L498" s="332"/>
      <c r="M498" s="385"/>
      <c r="N498" s="389"/>
      <c r="O498" s="338"/>
      <c r="P498" s="338"/>
      <c r="Q498" s="338"/>
      <c r="R498" s="385"/>
      <c r="S498" s="389"/>
      <c r="T498" s="332"/>
      <c r="U498" s="332"/>
      <c r="V498" s="332"/>
      <c r="W498" s="389"/>
      <c r="X498" s="389"/>
      <c r="Y498" s="332"/>
      <c r="Z498" s="332"/>
      <c r="AA498" s="332"/>
      <c r="AB498" s="385"/>
    </row>
    <row r="499" spans="1:28" ht="18" customHeight="1" x14ac:dyDescent="0.2">
      <c r="A499" s="396"/>
      <c r="B499" s="140" t="s">
        <v>1055</v>
      </c>
      <c r="C499" s="385"/>
      <c r="D499" s="389"/>
      <c r="E499" s="332"/>
      <c r="F499" s="332"/>
      <c r="G499" s="332"/>
      <c r="H499" s="385"/>
      <c r="I499" s="389"/>
      <c r="J499" s="332"/>
      <c r="K499" s="332"/>
      <c r="L499" s="332"/>
      <c r="M499" s="385"/>
      <c r="N499" s="389"/>
      <c r="O499" s="338"/>
      <c r="P499" s="338"/>
      <c r="Q499" s="338"/>
      <c r="R499" s="385"/>
      <c r="S499" s="389"/>
      <c r="T499" s="332"/>
      <c r="U499" s="332"/>
      <c r="V499" s="332"/>
      <c r="W499" s="389"/>
      <c r="X499" s="389"/>
      <c r="Y499" s="332"/>
      <c r="Z499" s="332"/>
      <c r="AA499" s="332"/>
      <c r="AB499" s="385"/>
    </row>
    <row r="500" spans="1:28" ht="18.75" customHeight="1" x14ac:dyDescent="0.2">
      <c r="A500" s="395" t="s">
        <v>461</v>
      </c>
      <c r="B500" s="138" t="s">
        <v>374</v>
      </c>
      <c r="C500" s="384">
        <v>0</v>
      </c>
      <c r="D500" s="388">
        <v>0</v>
      </c>
      <c r="E500" s="332"/>
      <c r="F500" s="332"/>
      <c r="G500" s="332"/>
      <c r="H500" s="384">
        <f>I500</f>
        <v>65</v>
      </c>
      <c r="I500" s="388">
        <v>65</v>
      </c>
      <c r="J500" s="332"/>
      <c r="K500" s="332"/>
      <c r="L500" s="332"/>
      <c r="M500" s="384">
        <f>N500</f>
        <v>1041</v>
      </c>
      <c r="N500" s="388">
        <f>1076-35</f>
        <v>1041</v>
      </c>
      <c r="O500" s="338"/>
      <c r="P500" s="338"/>
      <c r="Q500" s="338"/>
      <c r="R500" s="384">
        <f>S500</f>
        <v>0</v>
      </c>
      <c r="S500" s="388">
        <f>1752-1752</f>
        <v>0</v>
      </c>
      <c r="T500" s="332"/>
      <c r="U500" s="332"/>
      <c r="V500" s="332"/>
      <c r="W500" s="384">
        <f>X500</f>
        <v>0</v>
      </c>
      <c r="X500" s="388">
        <v>0</v>
      </c>
      <c r="Y500" s="332"/>
      <c r="Z500" s="332"/>
      <c r="AA500" s="332"/>
      <c r="AB500" s="384">
        <f>C500+H500+M500+R500+W500</f>
        <v>1106</v>
      </c>
    </row>
    <row r="501" spans="1:28" ht="18" customHeight="1" x14ac:dyDescent="0.2">
      <c r="A501" s="396"/>
      <c r="B501" s="139" t="s">
        <v>322</v>
      </c>
      <c r="C501" s="385"/>
      <c r="D501" s="389"/>
      <c r="E501" s="332"/>
      <c r="F501" s="332"/>
      <c r="G501" s="332"/>
      <c r="H501" s="385"/>
      <c r="I501" s="389"/>
      <c r="J501" s="332"/>
      <c r="K501" s="332"/>
      <c r="L501" s="332"/>
      <c r="M501" s="385"/>
      <c r="N501" s="389"/>
      <c r="O501" s="338"/>
      <c r="P501" s="338"/>
      <c r="Q501" s="338"/>
      <c r="R501" s="385"/>
      <c r="S501" s="389"/>
      <c r="T501" s="332"/>
      <c r="U501" s="332"/>
      <c r="V501" s="332"/>
      <c r="W501" s="385"/>
      <c r="X501" s="389"/>
      <c r="Y501" s="332"/>
      <c r="Z501" s="332"/>
      <c r="AA501" s="332"/>
      <c r="AB501" s="385"/>
    </row>
    <row r="502" spans="1:28" ht="18" customHeight="1" x14ac:dyDescent="0.2">
      <c r="A502" s="396"/>
      <c r="B502" s="140" t="s">
        <v>530</v>
      </c>
      <c r="C502" s="385"/>
      <c r="D502" s="389"/>
      <c r="E502" s="332"/>
      <c r="F502" s="332"/>
      <c r="G502" s="332"/>
      <c r="H502" s="385"/>
      <c r="I502" s="389"/>
      <c r="J502" s="332"/>
      <c r="K502" s="332"/>
      <c r="L502" s="332"/>
      <c r="M502" s="385"/>
      <c r="N502" s="389"/>
      <c r="O502" s="338"/>
      <c r="P502" s="338"/>
      <c r="Q502" s="338"/>
      <c r="R502" s="385"/>
      <c r="S502" s="389"/>
      <c r="T502" s="332"/>
      <c r="U502" s="332"/>
      <c r="V502" s="332"/>
      <c r="W502" s="385"/>
      <c r="X502" s="389"/>
      <c r="Y502" s="332"/>
      <c r="Z502" s="332"/>
      <c r="AA502" s="332"/>
      <c r="AB502" s="385"/>
    </row>
    <row r="503" spans="1:28" ht="13.5" customHeight="1" x14ac:dyDescent="0.2">
      <c r="A503" s="395" t="s">
        <v>462</v>
      </c>
      <c r="B503" s="138" t="s">
        <v>158</v>
      </c>
      <c r="C503" s="384">
        <f>D503+E503+F503+G503</f>
        <v>3478</v>
      </c>
      <c r="D503" s="388">
        <v>3478</v>
      </c>
      <c r="E503" s="332">
        <v>0</v>
      </c>
      <c r="F503" s="332">
        <v>0</v>
      </c>
      <c r="G503" s="332">
        <v>0</v>
      </c>
      <c r="H503" s="384">
        <f>I503+J503+K503+L503</f>
        <v>797</v>
      </c>
      <c r="I503" s="388">
        <f>4667-3870</f>
        <v>797</v>
      </c>
      <c r="J503" s="332">
        <v>0</v>
      </c>
      <c r="K503" s="332">
        <v>0</v>
      </c>
      <c r="L503" s="332">
        <v>0</v>
      </c>
      <c r="M503" s="384">
        <f>N503</f>
        <v>2723</v>
      </c>
      <c r="N503" s="388">
        <f>0+2619+104</f>
        <v>2723</v>
      </c>
      <c r="O503" s="338">
        <v>0</v>
      </c>
      <c r="P503" s="338">
        <v>0</v>
      </c>
      <c r="Q503" s="338">
        <v>0</v>
      </c>
      <c r="R503" s="384">
        <f>S503</f>
        <v>0</v>
      </c>
      <c r="S503" s="388">
        <v>0</v>
      </c>
      <c r="T503" s="332">
        <v>0</v>
      </c>
      <c r="U503" s="332">
        <v>0</v>
      </c>
      <c r="V503" s="332">
        <v>0</v>
      </c>
      <c r="W503" s="388">
        <v>0</v>
      </c>
      <c r="X503" s="388">
        <v>0</v>
      </c>
      <c r="Y503" s="332">
        <v>0</v>
      </c>
      <c r="Z503" s="332">
        <v>0</v>
      </c>
      <c r="AA503" s="332">
        <v>0</v>
      </c>
      <c r="AB503" s="384">
        <f>C503+H503+M503+R503+W503</f>
        <v>6998</v>
      </c>
    </row>
    <row r="504" spans="1:28" ht="15.75" customHeight="1" x14ac:dyDescent="0.2">
      <c r="A504" s="396"/>
      <c r="B504" s="139" t="s">
        <v>155</v>
      </c>
      <c r="C504" s="385"/>
      <c r="D504" s="389"/>
      <c r="E504" s="332"/>
      <c r="F504" s="332"/>
      <c r="G504" s="332"/>
      <c r="H504" s="385"/>
      <c r="I504" s="389"/>
      <c r="J504" s="332"/>
      <c r="K504" s="332"/>
      <c r="L504" s="332"/>
      <c r="M504" s="385"/>
      <c r="N504" s="389"/>
      <c r="O504" s="338"/>
      <c r="P504" s="338"/>
      <c r="Q504" s="338"/>
      <c r="R504" s="385"/>
      <c r="S504" s="389"/>
      <c r="T504" s="332"/>
      <c r="U504" s="332"/>
      <c r="V504" s="332"/>
      <c r="W504" s="389"/>
      <c r="X504" s="389"/>
      <c r="Y504" s="332"/>
      <c r="Z504" s="332"/>
      <c r="AA504" s="332"/>
      <c r="AB504" s="385"/>
    </row>
    <row r="505" spans="1:28" ht="15" customHeight="1" x14ac:dyDescent="0.2">
      <c r="A505" s="396"/>
      <c r="B505" s="140" t="s">
        <v>1057</v>
      </c>
      <c r="C505" s="385"/>
      <c r="D505" s="389"/>
      <c r="E505" s="332"/>
      <c r="F505" s="332"/>
      <c r="G505" s="332"/>
      <c r="H505" s="385"/>
      <c r="I505" s="389"/>
      <c r="J505" s="332"/>
      <c r="K505" s="332"/>
      <c r="L505" s="332"/>
      <c r="M505" s="385"/>
      <c r="N505" s="389"/>
      <c r="O505" s="338"/>
      <c r="P505" s="338"/>
      <c r="Q505" s="338"/>
      <c r="R505" s="385"/>
      <c r="S505" s="389"/>
      <c r="T505" s="332"/>
      <c r="U505" s="332"/>
      <c r="V505" s="332"/>
      <c r="W505" s="389"/>
      <c r="X505" s="389"/>
      <c r="Y505" s="332"/>
      <c r="Z505" s="332"/>
      <c r="AA505" s="332"/>
      <c r="AB505" s="385"/>
    </row>
    <row r="506" spans="1:28" ht="15.75" customHeight="1" x14ac:dyDescent="0.2">
      <c r="A506" s="396"/>
      <c r="B506" s="139" t="s">
        <v>147</v>
      </c>
      <c r="C506" s="385"/>
      <c r="D506" s="389"/>
      <c r="E506" s="325"/>
      <c r="F506" s="325"/>
      <c r="G506" s="325"/>
      <c r="H506" s="385"/>
      <c r="I506" s="389"/>
      <c r="J506" s="325"/>
      <c r="K506" s="325"/>
      <c r="L506" s="325"/>
      <c r="M506" s="385"/>
      <c r="N506" s="389"/>
      <c r="O506" s="322"/>
      <c r="P506" s="322"/>
      <c r="Q506" s="322"/>
      <c r="R506" s="385"/>
      <c r="S506" s="389"/>
      <c r="T506" s="325"/>
      <c r="U506" s="325"/>
      <c r="V506" s="325"/>
      <c r="W506" s="389"/>
      <c r="X506" s="389"/>
      <c r="Y506" s="325"/>
      <c r="Z506" s="325"/>
      <c r="AA506" s="325"/>
      <c r="AB506" s="385"/>
    </row>
    <row r="507" spans="1:28" ht="13.5" customHeight="1" x14ac:dyDescent="0.2">
      <c r="A507" s="396"/>
      <c r="B507" s="140" t="s">
        <v>1058</v>
      </c>
      <c r="C507" s="385"/>
      <c r="D507" s="389"/>
      <c r="E507" s="324"/>
      <c r="F507" s="324"/>
      <c r="G507" s="324"/>
      <c r="H507" s="385"/>
      <c r="I507" s="389"/>
      <c r="J507" s="324"/>
      <c r="K507" s="324"/>
      <c r="L507" s="324"/>
      <c r="M507" s="385"/>
      <c r="N507" s="389"/>
      <c r="O507" s="339"/>
      <c r="P507" s="339"/>
      <c r="Q507" s="339"/>
      <c r="R507" s="385"/>
      <c r="S507" s="389"/>
      <c r="T507" s="324"/>
      <c r="U507" s="324"/>
      <c r="V507" s="324"/>
      <c r="W507" s="389"/>
      <c r="X507" s="389"/>
      <c r="Y507" s="324"/>
      <c r="Z507" s="324"/>
      <c r="AA507" s="324"/>
      <c r="AB507" s="385"/>
    </row>
    <row r="508" spans="1:28" ht="18" customHeight="1" x14ac:dyDescent="0.2">
      <c r="A508" s="396"/>
      <c r="B508" s="140" t="s">
        <v>1059</v>
      </c>
      <c r="C508" s="385"/>
      <c r="D508" s="389"/>
      <c r="E508" s="332"/>
      <c r="F508" s="332"/>
      <c r="G508" s="332"/>
      <c r="H508" s="385"/>
      <c r="I508" s="389"/>
      <c r="J508" s="332"/>
      <c r="K508" s="332"/>
      <c r="L508" s="332"/>
      <c r="M508" s="385"/>
      <c r="N508" s="389"/>
      <c r="O508" s="338"/>
      <c r="P508" s="338"/>
      <c r="Q508" s="338"/>
      <c r="R508" s="385"/>
      <c r="S508" s="389"/>
      <c r="T508" s="332"/>
      <c r="U508" s="332"/>
      <c r="V508" s="332"/>
      <c r="W508" s="389"/>
      <c r="X508" s="389"/>
      <c r="Y508" s="332"/>
      <c r="Z508" s="332"/>
      <c r="AA508" s="332"/>
      <c r="AB508" s="385"/>
    </row>
    <row r="509" spans="1:28" ht="18" customHeight="1" x14ac:dyDescent="0.2">
      <c r="A509" s="397"/>
      <c r="B509" s="139" t="s">
        <v>322</v>
      </c>
      <c r="C509" s="385"/>
      <c r="D509" s="389"/>
      <c r="E509" s="332"/>
      <c r="F509" s="332"/>
      <c r="G509" s="332"/>
      <c r="H509" s="385"/>
      <c r="I509" s="389"/>
      <c r="J509" s="332"/>
      <c r="K509" s="332"/>
      <c r="L509" s="332"/>
      <c r="M509" s="385"/>
      <c r="N509" s="389"/>
      <c r="O509" s="338"/>
      <c r="P509" s="338"/>
      <c r="Q509" s="338"/>
      <c r="R509" s="385"/>
      <c r="S509" s="389"/>
      <c r="T509" s="332"/>
      <c r="U509" s="332"/>
      <c r="V509" s="332"/>
      <c r="W509" s="389"/>
      <c r="X509" s="389"/>
      <c r="Y509" s="332"/>
      <c r="Z509" s="332"/>
      <c r="AA509" s="332"/>
      <c r="AB509" s="385"/>
    </row>
    <row r="510" spans="1:28" ht="18" customHeight="1" x14ac:dyDescent="0.2">
      <c r="A510" s="398"/>
      <c r="B510" s="174" t="s">
        <v>575</v>
      </c>
      <c r="C510" s="386"/>
      <c r="D510" s="390"/>
      <c r="E510" s="332"/>
      <c r="F510" s="332"/>
      <c r="G510" s="332"/>
      <c r="H510" s="386"/>
      <c r="I510" s="390"/>
      <c r="J510" s="332"/>
      <c r="K510" s="332"/>
      <c r="L510" s="332"/>
      <c r="M510" s="386"/>
      <c r="N510" s="390"/>
      <c r="O510" s="338"/>
      <c r="P510" s="338"/>
      <c r="Q510" s="338"/>
      <c r="R510" s="386"/>
      <c r="S510" s="390"/>
      <c r="T510" s="332"/>
      <c r="U510" s="332"/>
      <c r="V510" s="332"/>
      <c r="W510" s="390"/>
      <c r="X510" s="390"/>
      <c r="Y510" s="332"/>
      <c r="Z510" s="332"/>
      <c r="AA510" s="332"/>
      <c r="AB510" s="386"/>
    </row>
    <row r="511" spans="1:28" ht="18" customHeight="1" x14ac:dyDescent="0.2">
      <c r="A511" s="321" t="s">
        <v>463</v>
      </c>
      <c r="B511" s="150" t="s">
        <v>225</v>
      </c>
      <c r="C511" s="331">
        <f>SUM(D511:G511)</f>
        <v>1700</v>
      </c>
      <c r="D511" s="332">
        <v>1700</v>
      </c>
      <c r="E511" s="332"/>
      <c r="F511" s="332"/>
      <c r="G511" s="332"/>
      <c r="H511" s="331">
        <f>I511</f>
        <v>2742</v>
      </c>
      <c r="I511" s="332">
        <f>2000+147+411+184</f>
        <v>2742</v>
      </c>
      <c r="J511" s="332"/>
      <c r="K511" s="332"/>
      <c r="L511" s="332"/>
      <c r="M511" s="331">
        <f>N511</f>
        <v>2996</v>
      </c>
      <c r="N511" s="332">
        <f>2000+996</f>
        <v>2996</v>
      </c>
      <c r="O511" s="338"/>
      <c r="P511" s="338"/>
      <c r="Q511" s="338"/>
      <c r="R511" s="337">
        <f>S511</f>
        <v>5529</v>
      </c>
      <c r="S511" s="338">
        <f>2000+3529+1838-1838</f>
        <v>5529</v>
      </c>
      <c r="T511" s="338"/>
      <c r="U511" s="338"/>
      <c r="V511" s="338"/>
      <c r="W511" s="337">
        <f>X511</f>
        <v>0</v>
      </c>
      <c r="X511" s="338">
        <f>4500+1029+2742-8271</f>
        <v>0</v>
      </c>
      <c r="Y511" s="338"/>
      <c r="Z511" s="338"/>
      <c r="AA511" s="338"/>
      <c r="AB511" s="337">
        <f>R511+W511+C511+H511+M511</f>
        <v>12967</v>
      </c>
    </row>
    <row r="512" spans="1:28" ht="18" customHeight="1" x14ac:dyDescent="0.2">
      <c r="A512" s="321" t="s">
        <v>464</v>
      </c>
      <c r="B512" s="150" t="s">
        <v>1411</v>
      </c>
      <c r="C512" s="331">
        <f>SUM(D512:G512)</f>
        <v>0</v>
      </c>
      <c r="D512" s="332">
        <v>0</v>
      </c>
      <c r="E512" s="332">
        <v>0</v>
      </c>
      <c r="F512" s="332">
        <v>0</v>
      </c>
      <c r="G512" s="332">
        <v>0</v>
      </c>
      <c r="H512" s="331">
        <f>SUM(I512:L512)</f>
        <v>0</v>
      </c>
      <c r="I512" s="332">
        <v>0</v>
      </c>
      <c r="J512" s="332">
        <v>0</v>
      </c>
      <c r="K512" s="332">
        <v>0</v>
      </c>
      <c r="L512" s="332">
        <v>0</v>
      </c>
      <c r="M512" s="331">
        <f>SUM(N512:Q512)</f>
        <v>0</v>
      </c>
      <c r="N512" s="332">
        <v>0</v>
      </c>
      <c r="O512" s="338">
        <v>0</v>
      </c>
      <c r="P512" s="338">
        <v>0</v>
      </c>
      <c r="Q512" s="338">
        <v>0</v>
      </c>
      <c r="R512" s="337">
        <f>SUM(S512:V512)</f>
        <v>6896</v>
      </c>
      <c r="S512" s="338">
        <f>7370-474</f>
        <v>6896</v>
      </c>
      <c r="T512" s="338">
        <v>0</v>
      </c>
      <c r="U512" s="338">
        <v>0</v>
      </c>
      <c r="V512" s="338">
        <v>0</v>
      </c>
      <c r="W512" s="337">
        <f>SUM(X512:AA512)</f>
        <v>0</v>
      </c>
      <c r="X512" s="338">
        <v>0</v>
      </c>
      <c r="Y512" s="338">
        <v>0</v>
      </c>
      <c r="Z512" s="338">
        <v>0</v>
      </c>
      <c r="AA512" s="338">
        <v>0</v>
      </c>
      <c r="AB512" s="337">
        <f>C512+H512+M512+R512+W512</f>
        <v>6896</v>
      </c>
    </row>
    <row r="513" spans="1:28" ht="18" customHeight="1" x14ac:dyDescent="0.2">
      <c r="A513" s="321" t="s">
        <v>465</v>
      </c>
      <c r="B513" s="150" t="s">
        <v>54</v>
      </c>
      <c r="C513" s="331">
        <f>SUM(D513:G513)</f>
        <v>3594</v>
      </c>
      <c r="D513" s="332">
        <v>3594</v>
      </c>
      <c r="E513" s="332">
        <v>0</v>
      </c>
      <c r="F513" s="332">
        <v>0</v>
      </c>
      <c r="G513" s="332">
        <v>0</v>
      </c>
      <c r="H513" s="331">
        <f>SUM(I513:L513)</f>
        <v>3788</v>
      </c>
      <c r="I513" s="332">
        <f>4176-388</f>
        <v>3788</v>
      </c>
      <c r="J513" s="332">
        <v>0</v>
      </c>
      <c r="K513" s="332">
        <v>0</v>
      </c>
      <c r="L513" s="332">
        <v>0</v>
      </c>
      <c r="M513" s="331">
        <f>SUM(N513:Q513)</f>
        <v>5988</v>
      </c>
      <c r="N513" s="332">
        <f>4575-399+1812</f>
        <v>5988</v>
      </c>
      <c r="O513" s="338">
        <v>0</v>
      </c>
      <c r="P513" s="338">
        <v>0</v>
      </c>
      <c r="Q513" s="338">
        <v>0</v>
      </c>
      <c r="R513" s="337">
        <f>SUM(S513:V513)</f>
        <v>4666</v>
      </c>
      <c r="S513" s="338">
        <f>4342+1005-1608-95-536-617+2175</f>
        <v>4666</v>
      </c>
      <c r="T513" s="338">
        <v>0</v>
      </c>
      <c r="U513" s="338">
        <v>0</v>
      </c>
      <c r="V513" s="338">
        <v>0</v>
      </c>
      <c r="W513" s="337">
        <f>SUM(X513:AA513)</f>
        <v>5509</v>
      </c>
      <c r="X513" s="338">
        <f>4176+166-1768+2935</f>
        <v>5509</v>
      </c>
      <c r="Y513" s="338">
        <v>0</v>
      </c>
      <c r="Z513" s="338">
        <v>0</v>
      </c>
      <c r="AA513" s="338">
        <v>0</v>
      </c>
      <c r="AB513" s="337">
        <f>C513+H513+M513+R513+W513</f>
        <v>23545</v>
      </c>
    </row>
    <row r="514" spans="1:28" ht="18" customHeight="1" x14ac:dyDescent="0.2">
      <c r="A514" s="411" t="s">
        <v>466</v>
      </c>
      <c r="B514" s="140" t="s">
        <v>437</v>
      </c>
      <c r="C514" s="387">
        <f>SUM(D514:G514)</f>
        <v>0</v>
      </c>
      <c r="D514" s="388">
        <v>0</v>
      </c>
      <c r="E514" s="332">
        <v>0</v>
      </c>
      <c r="F514" s="332">
        <v>0</v>
      </c>
      <c r="G514" s="332">
        <v>0</v>
      </c>
      <c r="H514" s="384">
        <f>SUM(I514:L514)</f>
        <v>716</v>
      </c>
      <c r="I514" s="388">
        <f>1557-841</f>
        <v>716</v>
      </c>
      <c r="J514" s="332">
        <v>0</v>
      </c>
      <c r="K514" s="332">
        <v>0</v>
      </c>
      <c r="L514" s="332">
        <v>0</v>
      </c>
      <c r="M514" s="384">
        <f>SUM(N514:Q514)</f>
        <v>1049</v>
      </c>
      <c r="N514" s="388">
        <f>117+684-117-486+518+687+161+23+130-668</f>
        <v>1049</v>
      </c>
      <c r="O514" s="338">
        <v>0</v>
      </c>
      <c r="P514" s="338">
        <v>0</v>
      </c>
      <c r="Q514" s="338">
        <v>0</v>
      </c>
      <c r="R514" s="384">
        <f>SUM(S514:V514)</f>
        <v>5020</v>
      </c>
      <c r="S514" s="388">
        <f>716-113+4656-408+221-52</f>
        <v>5020</v>
      </c>
      <c r="T514" s="332">
        <v>0</v>
      </c>
      <c r="U514" s="332">
        <v>0</v>
      </c>
      <c r="V514" s="332">
        <v>0</v>
      </c>
      <c r="W514" s="384">
        <f>SUM(X514:AA514)</f>
        <v>0</v>
      </c>
      <c r="X514" s="388">
        <v>0</v>
      </c>
      <c r="Y514" s="332">
        <v>0</v>
      </c>
      <c r="Z514" s="332">
        <v>0</v>
      </c>
      <c r="AA514" s="332">
        <v>0</v>
      </c>
      <c r="AB514" s="384">
        <f>C514+H514+M514+R514+W514</f>
        <v>6785</v>
      </c>
    </row>
    <row r="515" spans="1:28" ht="18" customHeight="1" x14ac:dyDescent="0.2">
      <c r="A515" s="396"/>
      <c r="B515" s="139" t="s">
        <v>147</v>
      </c>
      <c r="C515" s="385"/>
      <c r="D515" s="389"/>
      <c r="E515" s="332"/>
      <c r="F515" s="332"/>
      <c r="G515" s="332"/>
      <c r="H515" s="385"/>
      <c r="I515" s="389"/>
      <c r="J515" s="332"/>
      <c r="K515" s="332"/>
      <c r="L515" s="332"/>
      <c r="M515" s="385"/>
      <c r="N515" s="389"/>
      <c r="O515" s="338"/>
      <c r="P515" s="338"/>
      <c r="Q515" s="338"/>
      <c r="R515" s="385"/>
      <c r="S515" s="389"/>
      <c r="T515" s="332"/>
      <c r="U515" s="332"/>
      <c r="V515" s="332"/>
      <c r="W515" s="385"/>
      <c r="X515" s="389"/>
      <c r="Y515" s="332"/>
      <c r="Z515" s="332"/>
      <c r="AA515" s="332"/>
      <c r="AB515" s="385"/>
    </row>
    <row r="516" spans="1:28" ht="18" customHeight="1" x14ac:dyDescent="0.2">
      <c r="A516" s="396"/>
      <c r="B516" s="140" t="s">
        <v>1060</v>
      </c>
      <c r="C516" s="385"/>
      <c r="D516" s="389"/>
      <c r="E516" s="332"/>
      <c r="F516" s="332"/>
      <c r="G516" s="332"/>
      <c r="H516" s="385"/>
      <c r="I516" s="389"/>
      <c r="J516" s="332"/>
      <c r="K516" s="332"/>
      <c r="L516" s="332"/>
      <c r="M516" s="385"/>
      <c r="N516" s="389"/>
      <c r="O516" s="338"/>
      <c r="P516" s="338"/>
      <c r="Q516" s="338"/>
      <c r="R516" s="385"/>
      <c r="S516" s="389"/>
      <c r="T516" s="332"/>
      <c r="U516" s="332"/>
      <c r="V516" s="332"/>
      <c r="W516" s="385"/>
      <c r="X516" s="389"/>
      <c r="Y516" s="332"/>
      <c r="Z516" s="332"/>
      <c r="AA516" s="332"/>
      <c r="AB516" s="385"/>
    </row>
    <row r="517" spans="1:28" ht="18" customHeight="1" x14ac:dyDescent="0.2">
      <c r="A517" s="396"/>
      <c r="B517" s="140" t="s">
        <v>1061</v>
      </c>
      <c r="C517" s="385"/>
      <c r="D517" s="389"/>
      <c r="E517" s="332"/>
      <c r="F517" s="332"/>
      <c r="G517" s="332"/>
      <c r="H517" s="385"/>
      <c r="I517" s="389"/>
      <c r="J517" s="332"/>
      <c r="K517" s="332"/>
      <c r="L517" s="332"/>
      <c r="M517" s="385"/>
      <c r="N517" s="389"/>
      <c r="O517" s="338"/>
      <c r="P517" s="338"/>
      <c r="Q517" s="338"/>
      <c r="R517" s="385"/>
      <c r="S517" s="389"/>
      <c r="T517" s="332"/>
      <c r="U517" s="332"/>
      <c r="V517" s="332"/>
      <c r="W517" s="385"/>
      <c r="X517" s="389"/>
      <c r="Y517" s="332"/>
      <c r="Z517" s="332"/>
      <c r="AA517" s="332"/>
      <c r="AB517" s="385"/>
    </row>
    <row r="518" spans="1:28" ht="18" customHeight="1" x14ac:dyDescent="0.2">
      <c r="A518" s="396"/>
      <c r="B518" s="140" t="s">
        <v>1062</v>
      </c>
      <c r="C518" s="385"/>
      <c r="D518" s="389"/>
      <c r="E518" s="332"/>
      <c r="F518" s="332"/>
      <c r="G518" s="332"/>
      <c r="H518" s="385"/>
      <c r="I518" s="389"/>
      <c r="J518" s="332"/>
      <c r="K518" s="332"/>
      <c r="L518" s="332"/>
      <c r="M518" s="385"/>
      <c r="N518" s="389"/>
      <c r="O518" s="338"/>
      <c r="P518" s="338"/>
      <c r="Q518" s="338"/>
      <c r="R518" s="385"/>
      <c r="S518" s="389"/>
      <c r="T518" s="332"/>
      <c r="U518" s="332"/>
      <c r="V518" s="332"/>
      <c r="W518" s="385"/>
      <c r="X518" s="389"/>
      <c r="Y518" s="332"/>
      <c r="Z518" s="332"/>
      <c r="AA518" s="332"/>
      <c r="AB518" s="385"/>
    </row>
    <row r="519" spans="1:28" ht="18" customHeight="1" x14ac:dyDescent="0.2">
      <c r="A519" s="396"/>
      <c r="B519" s="140" t="s">
        <v>1063</v>
      </c>
      <c r="C519" s="385"/>
      <c r="D519" s="389"/>
      <c r="E519" s="332"/>
      <c r="F519" s="332"/>
      <c r="G519" s="332"/>
      <c r="H519" s="385"/>
      <c r="I519" s="389"/>
      <c r="J519" s="332"/>
      <c r="K519" s="332"/>
      <c r="L519" s="332"/>
      <c r="M519" s="385"/>
      <c r="N519" s="389"/>
      <c r="O519" s="338"/>
      <c r="P519" s="338"/>
      <c r="Q519" s="338"/>
      <c r="R519" s="385"/>
      <c r="S519" s="389"/>
      <c r="T519" s="332"/>
      <c r="U519" s="332"/>
      <c r="V519" s="332"/>
      <c r="W519" s="385"/>
      <c r="X519" s="389"/>
      <c r="Y519" s="332"/>
      <c r="Z519" s="332"/>
      <c r="AA519" s="332"/>
      <c r="AB519" s="385"/>
    </row>
    <row r="520" spans="1:28" ht="18" customHeight="1" x14ac:dyDescent="0.2">
      <c r="A520" s="396"/>
      <c r="B520" s="139" t="s">
        <v>322</v>
      </c>
      <c r="C520" s="385"/>
      <c r="D520" s="389"/>
      <c r="E520" s="332"/>
      <c r="F520" s="332"/>
      <c r="G520" s="332"/>
      <c r="H520" s="385"/>
      <c r="I520" s="389"/>
      <c r="J520" s="332"/>
      <c r="K520" s="332"/>
      <c r="L520" s="332"/>
      <c r="M520" s="385"/>
      <c r="N520" s="389"/>
      <c r="O520" s="338"/>
      <c r="P520" s="338"/>
      <c r="Q520" s="338"/>
      <c r="R520" s="385"/>
      <c r="S520" s="389"/>
      <c r="T520" s="332"/>
      <c r="U520" s="332"/>
      <c r="V520" s="332"/>
      <c r="W520" s="385"/>
      <c r="X520" s="389"/>
      <c r="Y520" s="332"/>
      <c r="Z520" s="332"/>
      <c r="AA520" s="332"/>
      <c r="AB520" s="385"/>
    </row>
    <row r="521" spans="1:28" ht="32.25" customHeight="1" x14ac:dyDescent="0.2">
      <c r="A521" s="396"/>
      <c r="B521" s="140" t="s">
        <v>1064</v>
      </c>
      <c r="C521" s="385"/>
      <c r="D521" s="389"/>
      <c r="E521" s="332"/>
      <c r="F521" s="332"/>
      <c r="G521" s="332"/>
      <c r="H521" s="385"/>
      <c r="I521" s="389"/>
      <c r="J521" s="332"/>
      <c r="K521" s="332"/>
      <c r="L521" s="332"/>
      <c r="M521" s="385"/>
      <c r="N521" s="389"/>
      <c r="O521" s="338"/>
      <c r="P521" s="338"/>
      <c r="Q521" s="338"/>
      <c r="R521" s="385"/>
      <c r="S521" s="389"/>
      <c r="T521" s="332"/>
      <c r="U521" s="332"/>
      <c r="V521" s="332"/>
      <c r="W521" s="385"/>
      <c r="X521" s="389"/>
      <c r="Y521" s="332"/>
      <c r="Z521" s="332"/>
      <c r="AA521" s="332"/>
      <c r="AB521" s="385"/>
    </row>
    <row r="522" spans="1:28" ht="33.75" customHeight="1" x14ac:dyDescent="0.2">
      <c r="A522" s="396"/>
      <c r="B522" s="140" t="s">
        <v>1065</v>
      </c>
      <c r="C522" s="385"/>
      <c r="D522" s="389"/>
      <c r="E522" s="332"/>
      <c r="F522" s="332"/>
      <c r="G522" s="332"/>
      <c r="H522" s="385"/>
      <c r="I522" s="389"/>
      <c r="J522" s="332"/>
      <c r="K522" s="332"/>
      <c r="L522" s="332"/>
      <c r="M522" s="385"/>
      <c r="N522" s="389"/>
      <c r="O522" s="338"/>
      <c r="P522" s="338"/>
      <c r="Q522" s="338"/>
      <c r="R522" s="385"/>
      <c r="S522" s="389"/>
      <c r="T522" s="332"/>
      <c r="U522" s="332"/>
      <c r="V522" s="332"/>
      <c r="W522" s="385"/>
      <c r="X522" s="389"/>
      <c r="Y522" s="332"/>
      <c r="Z522" s="332"/>
      <c r="AA522" s="332"/>
      <c r="AB522" s="385"/>
    </row>
    <row r="523" spans="1:28" ht="33.75" customHeight="1" x14ac:dyDescent="0.2">
      <c r="A523" s="396"/>
      <c r="B523" s="140" t="s">
        <v>1066</v>
      </c>
      <c r="C523" s="385"/>
      <c r="D523" s="389"/>
      <c r="E523" s="332"/>
      <c r="F523" s="332"/>
      <c r="G523" s="332"/>
      <c r="H523" s="385"/>
      <c r="I523" s="389"/>
      <c r="J523" s="332"/>
      <c r="K523" s="332"/>
      <c r="L523" s="332"/>
      <c r="M523" s="385"/>
      <c r="N523" s="389"/>
      <c r="O523" s="338"/>
      <c r="P523" s="338"/>
      <c r="Q523" s="338"/>
      <c r="R523" s="385"/>
      <c r="S523" s="389"/>
      <c r="T523" s="332"/>
      <c r="U523" s="332"/>
      <c r="V523" s="332"/>
      <c r="W523" s="385"/>
      <c r="X523" s="389"/>
      <c r="Y523" s="332"/>
      <c r="Z523" s="332"/>
      <c r="AA523" s="332"/>
      <c r="AB523" s="385"/>
    </row>
    <row r="524" spans="1:28" ht="18" customHeight="1" x14ac:dyDescent="0.2">
      <c r="A524" s="396"/>
      <c r="B524" s="139" t="s">
        <v>373</v>
      </c>
      <c r="C524" s="385"/>
      <c r="D524" s="389"/>
      <c r="E524" s="332"/>
      <c r="F524" s="332"/>
      <c r="G524" s="332"/>
      <c r="H524" s="385"/>
      <c r="I524" s="389"/>
      <c r="J524" s="332"/>
      <c r="K524" s="332"/>
      <c r="L524" s="332"/>
      <c r="M524" s="385"/>
      <c r="N524" s="389"/>
      <c r="O524" s="338"/>
      <c r="P524" s="338"/>
      <c r="Q524" s="338"/>
      <c r="R524" s="385"/>
      <c r="S524" s="389"/>
      <c r="T524" s="332"/>
      <c r="U524" s="332"/>
      <c r="V524" s="332"/>
      <c r="W524" s="385"/>
      <c r="X524" s="389"/>
      <c r="Y524" s="332"/>
      <c r="Z524" s="332"/>
      <c r="AA524" s="332"/>
      <c r="AB524" s="385"/>
    </row>
    <row r="525" spans="1:28" ht="18" customHeight="1" x14ac:dyDescent="0.2">
      <c r="A525" s="396"/>
      <c r="B525" s="140" t="s">
        <v>1067</v>
      </c>
      <c r="C525" s="385"/>
      <c r="D525" s="389"/>
      <c r="E525" s="324"/>
      <c r="F525" s="324"/>
      <c r="G525" s="324"/>
      <c r="H525" s="385"/>
      <c r="I525" s="389"/>
      <c r="J525" s="324"/>
      <c r="K525" s="324"/>
      <c r="L525" s="324"/>
      <c r="M525" s="385"/>
      <c r="N525" s="389"/>
      <c r="O525" s="339"/>
      <c r="P525" s="339"/>
      <c r="Q525" s="339"/>
      <c r="R525" s="385"/>
      <c r="S525" s="389"/>
      <c r="T525" s="324"/>
      <c r="U525" s="324"/>
      <c r="V525" s="324"/>
      <c r="W525" s="385"/>
      <c r="X525" s="389"/>
      <c r="Y525" s="324"/>
      <c r="Z525" s="324"/>
      <c r="AA525" s="324"/>
      <c r="AB525" s="385"/>
    </row>
    <row r="526" spans="1:28" ht="18" customHeight="1" x14ac:dyDescent="0.2">
      <c r="A526" s="396"/>
      <c r="B526" s="140" t="s">
        <v>1068</v>
      </c>
      <c r="C526" s="385"/>
      <c r="D526" s="389"/>
      <c r="E526" s="324"/>
      <c r="F526" s="324"/>
      <c r="G526" s="324"/>
      <c r="H526" s="385"/>
      <c r="I526" s="389"/>
      <c r="J526" s="324"/>
      <c r="K526" s="324"/>
      <c r="L526" s="324"/>
      <c r="M526" s="385"/>
      <c r="N526" s="389"/>
      <c r="O526" s="339"/>
      <c r="P526" s="339"/>
      <c r="Q526" s="339"/>
      <c r="R526" s="385"/>
      <c r="S526" s="389"/>
      <c r="T526" s="324"/>
      <c r="U526" s="324"/>
      <c r="V526" s="324"/>
      <c r="W526" s="385"/>
      <c r="X526" s="389"/>
      <c r="Y526" s="324"/>
      <c r="Z526" s="324"/>
      <c r="AA526" s="324"/>
      <c r="AB526" s="385"/>
    </row>
    <row r="527" spans="1:28" ht="18" customHeight="1" x14ac:dyDescent="0.2">
      <c r="A527" s="396"/>
      <c r="B527" s="140" t="s">
        <v>1069</v>
      </c>
      <c r="C527" s="385"/>
      <c r="D527" s="389"/>
      <c r="E527" s="324"/>
      <c r="F527" s="324"/>
      <c r="G527" s="324"/>
      <c r="H527" s="385"/>
      <c r="I527" s="389"/>
      <c r="J527" s="324"/>
      <c r="K527" s="324"/>
      <c r="L527" s="324"/>
      <c r="M527" s="385"/>
      <c r="N527" s="389"/>
      <c r="O527" s="339"/>
      <c r="P527" s="339"/>
      <c r="Q527" s="339"/>
      <c r="R527" s="385"/>
      <c r="S527" s="389"/>
      <c r="T527" s="324"/>
      <c r="U527" s="324"/>
      <c r="V527" s="324"/>
      <c r="W527" s="385"/>
      <c r="X527" s="389"/>
      <c r="Y527" s="324"/>
      <c r="Z527" s="324"/>
      <c r="AA527" s="324"/>
      <c r="AB527" s="385"/>
    </row>
    <row r="528" spans="1:28" ht="18" customHeight="1" x14ac:dyDescent="0.2">
      <c r="A528" s="396"/>
      <c r="B528" s="140" t="s">
        <v>1070</v>
      </c>
      <c r="C528" s="385"/>
      <c r="D528" s="389"/>
      <c r="E528" s="324"/>
      <c r="F528" s="324"/>
      <c r="G528" s="324"/>
      <c r="H528" s="385"/>
      <c r="I528" s="389"/>
      <c r="J528" s="324"/>
      <c r="K528" s="324"/>
      <c r="L528" s="324"/>
      <c r="M528" s="385"/>
      <c r="N528" s="389"/>
      <c r="O528" s="339"/>
      <c r="P528" s="339"/>
      <c r="Q528" s="339"/>
      <c r="R528" s="385"/>
      <c r="S528" s="389"/>
      <c r="T528" s="324"/>
      <c r="U528" s="324"/>
      <c r="V528" s="324"/>
      <c r="W528" s="385"/>
      <c r="X528" s="389"/>
      <c r="Y528" s="324"/>
      <c r="Z528" s="324"/>
      <c r="AA528" s="324"/>
      <c r="AB528" s="385"/>
    </row>
    <row r="529" spans="1:28" ht="18" customHeight="1" x14ac:dyDescent="0.2">
      <c r="A529" s="396"/>
      <c r="B529" s="140" t="s">
        <v>1071</v>
      </c>
      <c r="C529" s="385"/>
      <c r="D529" s="389"/>
      <c r="E529" s="324"/>
      <c r="F529" s="324"/>
      <c r="G529" s="324"/>
      <c r="H529" s="385"/>
      <c r="I529" s="389"/>
      <c r="J529" s="324"/>
      <c r="K529" s="324"/>
      <c r="L529" s="324"/>
      <c r="M529" s="385"/>
      <c r="N529" s="389"/>
      <c r="O529" s="339"/>
      <c r="P529" s="339"/>
      <c r="Q529" s="339"/>
      <c r="R529" s="385"/>
      <c r="S529" s="389"/>
      <c r="T529" s="324"/>
      <c r="U529" s="324"/>
      <c r="V529" s="324"/>
      <c r="W529" s="385"/>
      <c r="X529" s="389"/>
      <c r="Y529" s="324"/>
      <c r="Z529" s="324"/>
      <c r="AA529" s="324"/>
      <c r="AB529" s="385"/>
    </row>
    <row r="530" spans="1:28" ht="18" customHeight="1" x14ac:dyDescent="0.2">
      <c r="A530" s="396"/>
      <c r="B530" s="140" t="s">
        <v>1072</v>
      </c>
      <c r="C530" s="385"/>
      <c r="D530" s="389"/>
      <c r="E530" s="324"/>
      <c r="F530" s="324"/>
      <c r="G530" s="324"/>
      <c r="H530" s="385"/>
      <c r="I530" s="389"/>
      <c r="J530" s="324"/>
      <c r="K530" s="324"/>
      <c r="L530" s="324"/>
      <c r="M530" s="385"/>
      <c r="N530" s="389"/>
      <c r="O530" s="339"/>
      <c r="P530" s="339"/>
      <c r="Q530" s="339"/>
      <c r="R530" s="385"/>
      <c r="S530" s="389"/>
      <c r="T530" s="324"/>
      <c r="U530" s="324"/>
      <c r="V530" s="324"/>
      <c r="W530" s="385"/>
      <c r="X530" s="389"/>
      <c r="Y530" s="324"/>
      <c r="Z530" s="324"/>
      <c r="AA530" s="324"/>
      <c r="AB530" s="385"/>
    </row>
    <row r="531" spans="1:28" ht="18" customHeight="1" x14ac:dyDescent="0.2">
      <c r="A531" s="396"/>
      <c r="B531" s="140" t="s">
        <v>1073</v>
      </c>
      <c r="C531" s="385"/>
      <c r="D531" s="389"/>
      <c r="E531" s="324"/>
      <c r="F531" s="324"/>
      <c r="G531" s="324"/>
      <c r="H531" s="385"/>
      <c r="I531" s="389"/>
      <c r="J531" s="324"/>
      <c r="K531" s="324"/>
      <c r="L531" s="324"/>
      <c r="M531" s="385"/>
      <c r="N531" s="389"/>
      <c r="O531" s="339"/>
      <c r="P531" s="339"/>
      <c r="Q531" s="339"/>
      <c r="R531" s="385"/>
      <c r="S531" s="389"/>
      <c r="T531" s="324"/>
      <c r="U531" s="324"/>
      <c r="V531" s="324"/>
      <c r="W531" s="385"/>
      <c r="X531" s="389"/>
      <c r="Y531" s="324"/>
      <c r="Z531" s="324"/>
      <c r="AA531" s="324"/>
      <c r="AB531" s="385"/>
    </row>
    <row r="532" spans="1:28" ht="18" customHeight="1" x14ac:dyDescent="0.2">
      <c r="A532" s="396"/>
      <c r="B532" s="140" t="s">
        <v>1074</v>
      </c>
      <c r="C532" s="385"/>
      <c r="D532" s="389"/>
      <c r="E532" s="324"/>
      <c r="F532" s="324"/>
      <c r="G532" s="324"/>
      <c r="H532" s="385"/>
      <c r="I532" s="389"/>
      <c r="J532" s="324"/>
      <c r="K532" s="324"/>
      <c r="L532" s="324"/>
      <c r="M532" s="385"/>
      <c r="N532" s="389"/>
      <c r="O532" s="339"/>
      <c r="P532" s="339"/>
      <c r="Q532" s="339"/>
      <c r="R532" s="385"/>
      <c r="S532" s="389"/>
      <c r="T532" s="324"/>
      <c r="U532" s="324"/>
      <c r="V532" s="324"/>
      <c r="W532" s="385"/>
      <c r="X532" s="389"/>
      <c r="Y532" s="324"/>
      <c r="Z532" s="324"/>
      <c r="AA532" s="324"/>
      <c r="AB532" s="385"/>
    </row>
    <row r="533" spans="1:28" ht="39.75" customHeight="1" x14ac:dyDescent="0.2">
      <c r="A533" s="396"/>
      <c r="B533" s="140" t="s">
        <v>1075</v>
      </c>
      <c r="C533" s="385"/>
      <c r="D533" s="389"/>
      <c r="E533" s="324"/>
      <c r="F533" s="324"/>
      <c r="G533" s="324"/>
      <c r="H533" s="385"/>
      <c r="I533" s="389"/>
      <c r="J533" s="324"/>
      <c r="K533" s="324"/>
      <c r="L533" s="324"/>
      <c r="M533" s="385"/>
      <c r="N533" s="389"/>
      <c r="O533" s="339"/>
      <c r="P533" s="339"/>
      <c r="Q533" s="339"/>
      <c r="R533" s="385"/>
      <c r="S533" s="389"/>
      <c r="T533" s="324"/>
      <c r="U533" s="324"/>
      <c r="V533" s="324"/>
      <c r="W533" s="385"/>
      <c r="X533" s="389"/>
      <c r="Y533" s="324"/>
      <c r="Z533" s="324"/>
      <c r="AA533" s="324"/>
      <c r="AB533" s="385"/>
    </row>
    <row r="534" spans="1:28" ht="18" customHeight="1" x14ac:dyDescent="0.2">
      <c r="A534" s="396"/>
      <c r="B534" s="140" t="s">
        <v>1076</v>
      </c>
      <c r="C534" s="385"/>
      <c r="D534" s="389"/>
      <c r="E534" s="324"/>
      <c r="F534" s="324"/>
      <c r="G534" s="324"/>
      <c r="H534" s="385"/>
      <c r="I534" s="389"/>
      <c r="J534" s="324"/>
      <c r="K534" s="324"/>
      <c r="L534" s="324"/>
      <c r="M534" s="385"/>
      <c r="N534" s="389"/>
      <c r="O534" s="339"/>
      <c r="P534" s="339"/>
      <c r="Q534" s="339"/>
      <c r="R534" s="385"/>
      <c r="S534" s="389"/>
      <c r="T534" s="324"/>
      <c r="U534" s="324"/>
      <c r="V534" s="324"/>
      <c r="W534" s="385"/>
      <c r="X534" s="389"/>
      <c r="Y534" s="324"/>
      <c r="Z534" s="324"/>
      <c r="AA534" s="324"/>
      <c r="AB534" s="385"/>
    </row>
    <row r="535" spans="1:28" ht="18" customHeight="1" x14ac:dyDescent="0.2">
      <c r="A535" s="396"/>
      <c r="B535" s="140" t="s">
        <v>1077</v>
      </c>
      <c r="C535" s="385"/>
      <c r="D535" s="389"/>
      <c r="E535" s="324"/>
      <c r="F535" s="324"/>
      <c r="G535" s="324"/>
      <c r="H535" s="385"/>
      <c r="I535" s="389"/>
      <c r="J535" s="324"/>
      <c r="K535" s="324"/>
      <c r="L535" s="324"/>
      <c r="M535" s="385"/>
      <c r="N535" s="390"/>
      <c r="O535" s="339"/>
      <c r="P535" s="339"/>
      <c r="Q535" s="339"/>
      <c r="R535" s="385"/>
      <c r="S535" s="389"/>
      <c r="T535" s="324"/>
      <c r="U535" s="324"/>
      <c r="V535" s="324"/>
      <c r="W535" s="385"/>
      <c r="X535" s="389"/>
      <c r="Y535" s="324"/>
      <c r="Z535" s="324"/>
      <c r="AA535" s="324"/>
      <c r="AB535" s="385"/>
    </row>
    <row r="536" spans="1:28" ht="18" customHeight="1" x14ac:dyDescent="0.2">
      <c r="A536" s="395" t="s">
        <v>467</v>
      </c>
      <c r="B536" s="138" t="s">
        <v>633</v>
      </c>
      <c r="C536" s="384">
        <v>0</v>
      </c>
      <c r="D536" s="388">
        <v>0</v>
      </c>
      <c r="E536" s="332"/>
      <c r="F536" s="332"/>
      <c r="G536" s="332"/>
      <c r="H536" s="384">
        <f>SUM(I536+L536)</f>
        <v>314</v>
      </c>
      <c r="I536" s="388">
        <v>314</v>
      </c>
      <c r="J536" s="332"/>
      <c r="K536" s="332"/>
      <c r="L536" s="332"/>
      <c r="M536" s="384">
        <f>N536</f>
        <v>314</v>
      </c>
      <c r="N536" s="388">
        <v>314</v>
      </c>
      <c r="O536" s="338"/>
      <c r="P536" s="338"/>
      <c r="Q536" s="338"/>
      <c r="R536" s="384">
        <f>SUM(S536:V536)</f>
        <v>3317</v>
      </c>
      <c r="S536" s="388">
        <f>458+2386+1183-458-126-126</f>
        <v>3317</v>
      </c>
      <c r="T536" s="332"/>
      <c r="U536" s="332"/>
      <c r="V536" s="332"/>
      <c r="W536" s="384">
        <v>0</v>
      </c>
      <c r="X536" s="388">
        <v>0</v>
      </c>
      <c r="Y536" s="332"/>
      <c r="Z536" s="332"/>
      <c r="AA536" s="332"/>
      <c r="AB536" s="384">
        <f>C536+H536+M536+R536+W536</f>
        <v>3945</v>
      </c>
    </row>
    <row r="537" spans="1:28" ht="18" customHeight="1" x14ac:dyDescent="0.2">
      <c r="A537" s="396"/>
      <c r="B537" s="139" t="s">
        <v>592</v>
      </c>
      <c r="C537" s="385"/>
      <c r="D537" s="389"/>
      <c r="E537" s="332"/>
      <c r="F537" s="332"/>
      <c r="G537" s="332"/>
      <c r="H537" s="385"/>
      <c r="I537" s="389"/>
      <c r="J537" s="332"/>
      <c r="K537" s="332"/>
      <c r="L537" s="332"/>
      <c r="M537" s="385"/>
      <c r="N537" s="389"/>
      <c r="O537" s="338"/>
      <c r="P537" s="338"/>
      <c r="Q537" s="338"/>
      <c r="R537" s="385"/>
      <c r="S537" s="389"/>
      <c r="T537" s="332"/>
      <c r="U537" s="332"/>
      <c r="V537" s="332"/>
      <c r="W537" s="385"/>
      <c r="X537" s="389"/>
      <c r="Y537" s="332"/>
      <c r="Z537" s="332"/>
      <c r="AA537" s="332"/>
      <c r="AB537" s="385"/>
    </row>
    <row r="538" spans="1:28" ht="18" customHeight="1" x14ac:dyDescent="0.2">
      <c r="A538" s="396"/>
      <c r="B538" s="140" t="s">
        <v>1078</v>
      </c>
      <c r="C538" s="385"/>
      <c r="D538" s="389"/>
      <c r="E538" s="332"/>
      <c r="F538" s="332"/>
      <c r="G538" s="332"/>
      <c r="H538" s="385"/>
      <c r="I538" s="389"/>
      <c r="J538" s="332"/>
      <c r="K538" s="332"/>
      <c r="L538" s="332"/>
      <c r="M538" s="385"/>
      <c r="N538" s="389"/>
      <c r="O538" s="338"/>
      <c r="P538" s="338"/>
      <c r="Q538" s="338"/>
      <c r="R538" s="385"/>
      <c r="S538" s="389"/>
      <c r="T538" s="332"/>
      <c r="U538" s="332"/>
      <c r="V538" s="332"/>
      <c r="W538" s="385"/>
      <c r="X538" s="389"/>
      <c r="Y538" s="332"/>
      <c r="Z538" s="332"/>
      <c r="AA538" s="332"/>
      <c r="AB538" s="385"/>
    </row>
    <row r="539" spans="1:28" ht="18" customHeight="1" x14ac:dyDescent="0.2">
      <c r="A539" s="396"/>
      <c r="B539" s="139" t="s">
        <v>593</v>
      </c>
      <c r="C539" s="385"/>
      <c r="D539" s="389"/>
      <c r="E539" s="332"/>
      <c r="F539" s="332"/>
      <c r="G539" s="332"/>
      <c r="H539" s="385"/>
      <c r="I539" s="389"/>
      <c r="J539" s="332"/>
      <c r="K539" s="332"/>
      <c r="L539" s="332"/>
      <c r="M539" s="385"/>
      <c r="N539" s="389"/>
      <c r="O539" s="338"/>
      <c r="P539" s="338"/>
      <c r="Q539" s="338"/>
      <c r="R539" s="385"/>
      <c r="S539" s="389"/>
      <c r="T539" s="332"/>
      <c r="U539" s="332"/>
      <c r="V539" s="332"/>
      <c r="W539" s="385"/>
      <c r="X539" s="389"/>
      <c r="Y539" s="332"/>
      <c r="Z539" s="332"/>
      <c r="AA539" s="332"/>
      <c r="AB539" s="385"/>
    </row>
    <row r="540" spans="1:28" ht="18" customHeight="1" x14ac:dyDescent="0.2">
      <c r="A540" s="396"/>
      <c r="B540" s="140" t="s">
        <v>1079</v>
      </c>
      <c r="C540" s="385"/>
      <c r="D540" s="389"/>
      <c r="E540" s="332"/>
      <c r="F540" s="332"/>
      <c r="G540" s="332"/>
      <c r="H540" s="385"/>
      <c r="I540" s="389"/>
      <c r="J540" s="332"/>
      <c r="K540" s="332"/>
      <c r="L540" s="332"/>
      <c r="M540" s="385"/>
      <c r="N540" s="389"/>
      <c r="O540" s="338"/>
      <c r="P540" s="338"/>
      <c r="Q540" s="338"/>
      <c r="R540" s="385"/>
      <c r="S540" s="389"/>
      <c r="T540" s="332"/>
      <c r="U540" s="332"/>
      <c r="V540" s="332"/>
      <c r="W540" s="385"/>
      <c r="X540" s="389"/>
      <c r="Y540" s="332"/>
      <c r="Z540" s="332"/>
      <c r="AA540" s="332"/>
      <c r="AB540" s="385"/>
    </row>
    <row r="541" spans="1:28" ht="18" customHeight="1" x14ac:dyDescent="0.2">
      <c r="A541" s="399"/>
      <c r="B541" s="162" t="s">
        <v>634</v>
      </c>
      <c r="C541" s="386"/>
      <c r="D541" s="390"/>
      <c r="E541" s="332"/>
      <c r="F541" s="332"/>
      <c r="G541" s="332"/>
      <c r="H541" s="386"/>
      <c r="I541" s="390"/>
      <c r="J541" s="332"/>
      <c r="K541" s="332"/>
      <c r="L541" s="332"/>
      <c r="M541" s="386"/>
      <c r="N541" s="390"/>
      <c r="O541" s="338"/>
      <c r="P541" s="338"/>
      <c r="Q541" s="338"/>
      <c r="R541" s="386"/>
      <c r="S541" s="390"/>
      <c r="T541" s="332"/>
      <c r="U541" s="332"/>
      <c r="V541" s="332"/>
      <c r="W541" s="386"/>
      <c r="X541" s="390"/>
      <c r="Y541" s="332"/>
      <c r="Z541" s="332"/>
      <c r="AA541" s="332"/>
      <c r="AB541" s="386"/>
    </row>
    <row r="542" spans="1:28" ht="20.25" customHeight="1" x14ac:dyDescent="0.2">
      <c r="A542" s="395" t="s">
        <v>468</v>
      </c>
      <c r="B542" s="138" t="s">
        <v>410</v>
      </c>
      <c r="C542" s="384">
        <v>0</v>
      </c>
      <c r="D542" s="388">
        <v>0</v>
      </c>
      <c r="E542" s="332"/>
      <c r="F542" s="332"/>
      <c r="G542" s="332"/>
      <c r="H542" s="384">
        <f>SUM(I542+L542)</f>
        <v>2279</v>
      </c>
      <c r="I542" s="388">
        <v>2279</v>
      </c>
      <c r="J542" s="332"/>
      <c r="K542" s="332"/>
      <c r="L542" s="332"/>
      <c r="M542" s="384">
        <f>N542</f>
        <v>0</v>
      </c>
      <c r="N542" s="388">
        <v>0</v>
      </c>
      <c r="O542" s="338"/>
      <c r="P542" s="338"/>
      <c r="Q542" s="338"/>
      <c r="R542" s="384">
        <f>SUM(S542:V542)</f>
        <v>245</v>
      </c>
      <c r="S542" s="388">
        <f>456-209-2</f>
        <v>245</v>
      </c>
      <c r="T542" s="332"/>
      <c r="U542" s="332"/>
      <c r="V542" s="332"/>
      <c r="W542" s="384">
        <v>0</v>
      </c>
      <c r="X542" s="388">
        <v>0</v>
      </c>
      <c r="Y542" s="332"/>
      <c r="Z542" s="332"/>
      <c r="AA542" s="332"/>
      <c r="AB542" s="384">
        <f>C542+H542+M542+R542+W542</f>
        <v>2524</v>
      </c>
    </row>
    <row r="543" spans="1:28" ht="18" customHeight="1" x14ac:dyDescent="0.2">
      <c r="A543" s="396"/>
      <c r="B543" s="139" t="s">
        <v>147</v>
      </c>
      <c r="C543" s="385"/>
      <c r="D543" s="389"/>
      <c r="E543" s="332"/>
      <c r="F543" s="332"/>
      <c r="G543" s="332"/>
      <c r="H543" s="385"/>
      <c r="I543" s="389"/>
      <c r="J543" s="332"/>
      <c r="K543" s="332"/>
      <c r="L543" s="332"/>
      <c r="M543" s="385"/>
      <c r="N543" s="389"/>
      <c r="O543" s="338"/>
      <c r="P543" s="338"/>
      <c r="Q543" s="338"/>
      <c r="R543" s="385"/>
      <c r="S543" s="389"/>
      <c r="T543" s="332"/>
      <c r="U543" s="332"/>
      <c r="V543" s="332"/>
      <c r="W543" s="385"/>
      <c r="X543" s="389"/>
      <c r="Y543" s="332"/>
      <c r="Z543" s="332"/>
      <c r="AA543" s="332"/>
      <c r="AB543" s="385"/>
    </row>
    <row r="544" spans="1:28" ht="36" customHeight="1" x14ac:dyDescent="0.2">
      <c r="A544" s="396"/>
      <c r="B544" s="140" t="s">
        <v>1080</v>
      </c>
      <c r="C544" s="385"/>
      <c r="D544" s="389"/>
      <c r="E544" s="332"/>
      <c r="F544" s="332"/>
      <c r="G544" s="332"/>
      <c r="H544" s="385"/>
      <c r="I544" s="389"/>
      <c r="J544" s="332"/>
      <c r="K544" s="332"/>
      <c r="L544" s="332"/>
      <c r="M544" s="385"/>
      <c r="N544" s="389"/>
      <c r="O544" s="338"/>
      <c r="P544" s="338"/>
      <c r="Q544" s="338"/>
      <c r="R544" s="385"/>
      <c r="S544" s="389"/>
      <c r="T544" s="332"/>
      <c r="U544" s="332"/>
      <c r="V544" s="332"/>
      <c r="W544" s="385"/>
      <c r="X544" s="389"/>
      <c r="Y544" s="332"/>
      <c r="Z544" s="332"/>
      <c r="AA544" s="332"/>
      <c r="AB544" s="385"/>
    </row>
    <row r="545" spans="1:28" ht="18" customHeight="1" x14ac:dyDescent="0.2">
      <c r="A545" s="396"/>
      <c r="B545" s="140" t="s">
        <v>1081</v>
      </c>
      <c r="C545" s="385"/>
      <c r="D545" s="389"/>
      <c r="E545" s="332"/>
      <c r="F545" s="332"/>
      <c r="G545" s="332"/>
      <c r="H545" s="385"/>
      <c r="I545" s="389"/>
      <c r="J545" s="332"/>
      <c r="K545" s="332"/>
      <c r="L545" s="332"/>
      <c r="M545" s="385"/>
      <c r="N545" s="389"/>
      <c r="O545" s="338"/>
      <c r="P545" s="338"/>
      <c r="Q545" s="338"/>
      <c r="R545" s="385"/>
      <c r="S545" s="389"/>
      <c r="T545" s="332"/>
      <c r="U545" s="332"/>
      <c r="V545" s="332"/>
      <c r="W545" s="385"/>
      <c r="X545" s="389"/>
      <c r="Y545" s="332"/>
      <c r="Z545" s="332"/>
      <c r="AA545" s="332"/>
      <c r="AB545" s="385"/>
    </row>
    <row r="546" spans="1:28" ht="18" customHeight="1" x14ac:dyDescent="0.2">
      <c r="A546" s="396"/>
      <c r="B546" s="140" t="s">
        <v>1082</v>
      </c>
      <c r="C546" s="385"/>
      <c r="D546" s="389"/>
      <c r="E546" s="332"/>
      <c r="F546" s="332"/>
      <c r="G546" s="332"/>
      <c r="H546" s="385"/>
      <c r="I546" s="389"/>
      <c r="J546" s="332"/>
      <c r="K546" s="332"/>
      <c r="L546" s="332"/>
      <c r="M546" s="385"/>
      <c r="N546" s="389"/>
      <c r="O546" s="338"/>
      <c r="P546" s="338"/>
      <c r="Q546" s="338"/>
      <c r="R546" s="385"/>
      <c r="S546" s="389"/>
      <c r="T546" s="332"/>
      <c r="U546" s="332"/>
      <c r="V546" s="332"/>
      <c r="W546" s="385"/>
      <c r="X546" s="389"/>
      <c r="Y546" s="332"/>
      <c r="Z546" s="332"/>
      <c r="AA546" s="332"/>
      <c r="AB546" s="385"/>
    </row>
    <row r="547" spans="1:28" ht="36" customHeight="1" x14ac:dyDescent="0.2">
      <c r="A547" s="396"/>
      <c r="B547" s="140" t="s">
        <v>1083</v>
      </c>
      <c r="C547" s="385"/>
      <c r="D547" s="389"/>
      <c r="E547" s="332"/>
      <c r="F547" s="332"/>
      <c r="G547" s="332"/>
      <c r="H547" s="385"/>
      <c r="I547" s="389"/>
      <c r="J547" s="332"/>
      <c r="K547" s="332"/>
      <c r="L547" s="332"/>
      <c r="M547" s="385"/>
      <c r="N547" s="389"/>
      <c r="O547" s="338"/>
      <c r="P547" s="338"/>
      <c r="Q547" s="338"/>
      <c r="R547" s="385"/>
      <c r="S547" s="389"/>
      <c r="T547" s="332"/>
      <c r="U547" s="332"/>
      <c r="V547" s="332"/>
      <c r="W547" s="385"/>
      <c r="X547" s="389"/>
      <c r="Y547" s="332"/>
      <c r="Z547" s="332"/>
      <c r="AA547" s="332"/>
      <c r="AB547" s="385"/>
    </row>
    <row r="548" spans="1:28" ht="18" customHeight="1" x14ac:dyDescent="0.2">
      <c r="A548" s="396"/>
      <c r="B548" s="140" t="s">
        <v>1084</v>
      </c>
      <c r="C548" s="385"/>
      <c r="D548" s="389"/>
      <c r="E548" s="332"/>
      <c r="F548" s="332"/>
      <c r="G548" s="332"/>
      <c r="H548" s="385"/>
      <c r="I548" s="389"/>
      <c r="J548" s="332"/>
      <c r="K548" s="332"/>
      <c r="L548" s="332"/>
      <c r="M548" s="385"/>
      <c r="N548" s="389"/>
      <c r="O548" s="338"/>
      <c r="P548" s="338"/>
      <c r="Q548" s="338"/>
      <c r="R548" s="385"/>
      <c r="S548" s="389"/>
      <c r="T548" s="332"/>
      <c r="U548" s="332"/>
      <c r="V548" s="332"/>
      <c r="W548" s="385"/>
      <c r="X548" s="389"/>
      <c r="Y548" s="332"/>
      <c r="Z548" s="332"/>
      <c r="AA548" s="332"/>
      <c r="AB548" s="385"/>
    </row>
    <row r="549" spans="1:28" ht="33" customHeight="1" x14ac:dyDescent="0.2">
      <c r="A549" s="396"/>
      <c r="B549" s="140" t="s">
        <v>1085</v>
      </c>
      <c r="C549" s="385"/>
      <c r="D549" s="389"/>
      <c r="E549" s="332"/>
      <c r="F549" s="332"/>
      <c r="G549" s="332"/>
      <c r="H549" s="385"/>
      <c r="I549" s="389"/>
      <c r="J549" s="332"/>
      <c r="K549" s="332"/>
      <c r="L549" s="332"/>
      <c r="M549" s="385"/>
      <c r="N549" s="389"/>
      <c r="O549" s="338"/>
      <c r="P549" s="338"/>
      <c r="Q549" s="338"/>
      <c r="R549" s="385"/>
      <c r="S549" s="389"/>
      <c r="T549" s="332"/>
      <c r="U549" s="332"/>
      <c r="V549" s="332"/>
      <c r="W549" s="385"/>
      <c r="X549" s="389"/>
      <c r="Y549" s="332"/>
      <c r="Z549" s="332"/>
      <c r="AA549" s="332"/>
      <c r="AB549" s="385"/>
    </row>
    <row r="550" spans="1:28" ht="18" customHeight="1" x14ac:dyDescent="0.2">
      <c r="A550" s="396"/>
      <c r="B550" s="140" t="s">
        <v>1086</v>
      </c>
      <c r="C550" s="385"/>
      <c r="D550" s="389"/>
      <c r="E550" s="332"/>
      <c r="F550" s="332"/>
      <c r="G550" s="332"/>
      <c r="H550" s="385"/>
      <c r="I550" s="389"/>
      <c r="J550" s="332"/>
      <c r="K550" s="332"/>
      <c r="L550" s="332"/>
      <c r="M550" s="385"/>
      <c r="N550" s="389"/>
      <c r="O550" s="338"/>
      <c r="P550" s="338"/>
      <c r="Q550" s="338"/>
      <c r="R550" s="385"/>
      <c r="S550" s="389"/>
      <c r="T550" s="332"/>
      <c r="U550" s="332"/>
      <c r="V550" s="332"/>
      <c r="W550" s="385"/>
      <c r="X550" s="389"/>
      <c r="Y550" s="332"/>
      <c r="Z550" s="332"/>
      <c r="AA550" s="332"/>
      <c r="AB550" s="385"/>
    </row>
    <row r="551" spans="1:28" ht="18" customHeight="1" x14ac:dyDescent="0.2">
      <c r="A551" s="396"/>
      <c r="B551" s="140" t="s">
        <v>1087</v>
      </c>
      <c r="C551" s="385"/>
      <c r="D551" s="389"/>
      <c r="E551" s="332"/>
      <c r="F551" s="332"/>
      <c r="G551" s="332"/>
      <c r="H551" s="385"/>
      <c r="I551" s="389"/>
      <c r="J551" s="332"/>
      <c r="K551" s="332"/>
      <c r="L551" s="332"/>
      <c r="M551" s="385"/>
      <c r="N551" s="389"/>
      <c r="O551" s="338"/>
      <c r="P551" s="338"/>
      <c r="Q551" s="338"/>
      <c r="R551" s="385"/>
      <c r="S551" s="389"/>
      <c r="T551" s="332"/>
      <c r="U551" s="332"/>
      <c r="V551" s="332"/>
      <c r="W551" s="385"/>
      <c r="X551" s="389"/>
      <c r="Y551" s="332"/>
      <c r="Z551" s="332"/>
      <c r="AA551" s="332"/>
      <c r="AB551" s="385"/>
    </row>
    <row r="552" spans="1:28" ht="32.25" customHeight="1" x14ac:dyDescent="0.2">
      <c r="A552" s="396"/>
      <c r="B552" s="140" t="s">
        <v>1088</v>
      </c>
      <c r="C552" s="385"/>
      <c r="D552" s="389"/>
      <c r="E552" s="332"/>
      <c r="F552" s="332"/>
      <c r="G552" s="332"/>
      <c r="H552" s="385"/>
      <c r="I552" s="389"/>
      <c r="J552" s="332"/>
      <c r="K552" s="332"/>
      <c r="L552" s="332"/>
      <c r="M552" s="385"/>
      <c r="N552" s="389"/>
      <c r="O552" s="338"/>
      <c r="P552" s="338"/>
      <c r="Q552" s="338"/>
      <c r="R552" s="385"/>
      <c r="S552" s="389"/>
      <c r="T552" s="332"/>
      <c r="U552" s="332"/>
      <c r="V552" s="332"/>
      <c r="W552" s="385"/>
      <c r="X552" s="389"/>
      <c r="Y552" s="332"/>
      <c r="Z552" s="332"/>
      <c r="AA552" s="332"/>
      <c r="AB552" s="385"/>
    </row>
    <row r="553" spans="1:28" ht="18" customHeight="1" x14ac:dyDescent="0.2">
      <c r="A553" s="396"/>
      <c r="B553" s="139" t="s">
        <v>373</v>
      </c>
      <c r="C553" s="385"/>
      <c r="D553" s="389"/>
      <c r="E553" s="332"/>
      <c r="F553" s="332"/>
      <c r="G553" s="332"/>
      <c r="H553" s="385"/>
      <c r="I553" s="389"/>
      <c r="J553" s="332"/>
      <c r="K553" s="332"/>
      <c r="L553" s="332"/>
      <c r="M553" s="385"/>
      <c r="N553" s="389"/>
      <c r="O553" s="338"/>
      <c r="P553" s="338"/>
      <c r="Q553" s="338"/>
      <c r="R553" s="385"/>
      <c r="S553" s="389"/>
      <c r="T553" s="332"/>
      <c r="U553" s="332"/>
      <c r="V553" s="332"/>
      <c r="W553" s="385"/>
      <c r="X553" s="389"/>
      <c r="Y553" s="332"/>
      <c r="Z553" s="332"/>
      <c r="AA553" s="332"/>
      <c r="AB553" s="385"/>
    </row>
    <row r="554" spans="1:28" ht="41.25" customHeight="1" x14ac:dyDescent="0.2">
      <c r="A554" s="396"/>
      <c r="B554" s="140" t="s">
        <v>1089</v>
      </c>
      <c r="C554" s="385"/>
      <c r="D554" s="389"/>
      <c r="E554" s="332"/>
      <c r="F554" s="332"/>
      <c r="G554" s="332"/>
      <c r="H554" s="385"/>
      <c r="I554" s="389"/>
      <c r="J554" s="332"/>
      <c r="K554" s="332"/>
      <c r="L554" s="332"/>
      <c r="M554" s="385"/>
      <c r="N554" s="389"/>
      <c r="O554" s="338"/>
      <c r="P554" s="338"/>
      <c r="Q554" s="338"/>
      <c r="R554" s="385"/>
      <c r="S554" s="389"/>
      <c r="T554" s="332"/>
      <c r="U554" s="332"/>
      <c r="V554" s="332"/>
      <c r="W554" s="385"/>
      <c r="X554" s="389"/>
      <c r="Y554" s="332"/>
      <c r="Z554" s="332"/>
      <c r="AA554" s="332"/>
      <c r="AB554" s="385"/>
    </row>
    <row r="555" spans="1:28" ht="24.75" customHeight="1" x14ac:dyDescent="0.2">
      <c r="A555" s="399"/>
      <c r="B555" s="162" t="s">
        <v>1090</v>
      </c>
      <c r="C555" s="386"/>
      <c r="D555" s="390"/>
      <c r="E555" s="332"/>
      <c r="F555" s="332"/>
      <c r="G555" s="332"/>
      <c r="H555" s="386"/>
      <c r="I555" s="390"/>
      <c r="J555" s="332"/>
      <c r="K555" s="332"/>
      <c r="L555" s="332"/>
      <c r="M555" s="386"/>
      <c r="N555" s="390"/>
      <c r="O555" s="338"/>
      <c r="P555" s="338"/>
      <c r="Q555" s="338"/>
      <c r="R555" s="386"/>
      <c r="S555" s="390"/>
      <c r="T555" s="332"/>
      <c r="U555" s="332"/>
      <c r="V555" s="332"/>
      <c r="W555" s="386"/>
      <c r="X555" s="390"/>
      <c r="Y555" s="332"/>
      <c r="Z555" s="332"/>
      <c r="AA555" s="332"/>
      <c r="AB555" s="386"/>
    </row>
    <row r="556" spans="1:28" ht="19.5" customHeight="1" x14ac:dyDescent="0.2">
      <c r="A556" s="401" t="s">
        <v>469</v>
      </c>
      <c r="B556" s="175" t="s">
        <v>414</v>
      </c>
      <c r="C556" s="400">
        <v>0</v>
      </c>
      <c r="D556" s="402">
        <v>0</v>
      </c>
      <c r="E556" s="332"/>
      <c r="F556" s="332"/>
      <c r="G556" s="332"/>
      <c r="H556" s="400">
        <f>SUM(I556+L556)</f>
        <v>6496</v>
      </c>
      <c r="I556" s="402">
        <v>6496</v>
      </c>
      <c r="J556" s="332"/>
      <c r="K556" s="332"/>
      <c r="L556" s="332"/>
      <c r="M556" s="400">
        <f>N556</f>
        <v>4570</v>
      </c>
      <c r="N556" s="402">
        <f>3914+214+442</f>
        <v>4570</v>
      </c>
      <c r="O556" s="338"/>
      <c r="P556" s="338"/>
      <c r="Q556" s="338"/>
      <c r="R556" s="400">
        <f>SUM(S556:V556)</f>
        <v>3164</v>
      </c>
      <c r="S556" s="402">
        <f>1403+1255+539-227+227-33</f>
        <v>3164</v>
      </c>
      <c r="T556" s="332"/>
      <c r="U556" s="332"/>
      <c r="V556" s="332"/>
      <c r="W556" s="400">
        <f>X556</f>
        <v>1812</v>
      </c>
      <c r="X556" s="402">
        <v>1812</v>
      </c>
      <c r="Y556" s="332"/>
      <c r="Z556" s="332"/>
      <c r="AA556" s="332"/>
      <c r="AB556" s="400">
        <f>C556+H556+M556+R556+W556</f>
        <v>16042</v>
      </c>
    </row>
    <row r="557" spans="1:28" ht="18.75" customHeight="1" x14ac:dyDescent="0.2">
      <c r="A557" s="401"/>
      <c r="B557" s="176" t="s">
        <v>147</v>
      </c>
      <c r="C557" s="400"/>
      <c r="D557" s="402"/>
      <c r="E557" s="332"/>
      <c r="F557" s="332"/>
      <c r="G557" s="332"/>
      <c r="H557" s="400"/>
      <c r="I557" s="402"/>
      <c r="J557" s="332"/>
      <c r="K557" s="332"/>
      <c r="L557" s="332"/>
      <c r="M557" s="400"/>
      <c r="N557" s="402"/>
      <c r="O557" s="338"/>
      <c r="P557" s="338"/>
      <c r="Q557" s="338"/>
      <c r="R557" s="400"/>
      <c r="S557" s="402"/>
      <c r="T557" s="332"/>
      <c r="U557" s="332"/>
      <c r="V557" s="332"/>
      <c r="W557" s="400"/>
      <c r="X557" s="402"/>
      <c r="Y557" s="332"/>
      <c r="Z557" s="332"/>
      <c r="AA557" s="332"/>
      <c r="AB557" s="400"/>
    </row>
    <row r="558" spans="1:28" ht="18.75" customHeight="1" x14ac:dyDescent="0.2">
      <c r="A558" s="401"/>
      <c r="B558" s="168" t="s">
        <v>1091</v>
      </c>
      <c r="C558" s="400"/>
      <c r="D558" s="402"/>
      <c r="E558" s="332"/>
      <c r="F558" s="332"/>
      <c r="G558" s="332"/>
      <c r="H558" s="400"/>
      <c r="I558" s="402"/>
      <c r="J558" s="332"/>
      <c r="K558" s="332"/>
      <c r="L558" s="332"/>
      <c r="M558" s="400"/>
      <c r="N558" s="402"/>
      <c r="O558" s="338"/>
      <c r="P558" s="338"/>
      <c r="Q558" s="338"/>
      <c r="R558" s="400"/>
      <c r="S558" s="402"/>
      <c r="T558" s="332"/>
      <c r="U558" s="332"/>
      <c r="V558" s="332"/>
      <c r="W558" s="400"/>
      <c r="X558" s="402"/>
      <c r="Y558" s="332"/>
      <c r="Z558" s="332"/>
      <c r="AA558" s="332"/>
      <c r="AB558" s="400"/>
    </row>
    <row r="559" spans="1:28" ht="30.75" customHeight="1" x14ac:dyDescent="0.25">
      <c r="A559" s="401"/>
      <c r="B559" s="177" t="s">
        <v>1092</v>
      </c>
      <c r="C559" s="400"/>
      <c r="D559" s="402"/>
      <c r="E559" s="332"/>
      <c r="F559" s="332"/>
      <c r="G559" s="332"/>
      <c r="H559" s="400"/>
      <c r="I559" s="402"/>
      <c r="J559" s="332"/>
      <c r="K559" s="332"/>
      <c r="L559" s="332"/>
      <c r="M559" s="400"/>
      <c r="N559" s="402"/>
      <c r="O559" s="338"/>
      <c r="P559" s="338"/>
      <c r="Q559" s="338"/>
      <c r="R559" s="400"/>
      <c r="S559" s="402"/>
      <c r="T559" s="332"/>
      <c r="U559" s="332"/>
      <c r="V559" s="332"/>
      <c r="W559" s="400"/>
      <c r="X559" s="402"/>
      <c r="Y559" s="332"/>
      <c r="Z559" s="332"/>
      <c r="AA559" s="332"/>
      <c r="AB559" s="400"/>
    </row>
    <row r="560" spans="1:28" ht="18.75" customHeight="1" x14ac:dyDescent="0.25">
      <c r="A560" s="401"/>
      <c r="B560" s="178" t="s">
        <v>1093</v>
      </c>
      <c r="C560" s="400"/>
      <c r="D560" s="402"/>
      <c r="E560" s="332"/>
      <c r="F560" s="332"/>
      <c r="G560" s="332"/>
      <c r="H560" s="400"/>
      <c r="I560" s="402"/>
      <c r="J560" s="332"/>
      <c r="K560" s="332"/>
      <c r="L560" s="332"/>
      <c r="M560" s="400"/>
      <c r="N560" s="402"/>
      <c r="O560" s="338"/>
      <c r="P560" s="338"/>
      <c r="Q560" s="338"/>
      <c r="R560" s="400"/>
      <c r="S560" s="402"/>
      <c r="T560" s="332"/>
      <c r="U560" s="332"/>
      <c r="V560" s="332"/>
      <c r="W560" s="400"/>
      <c r="X560" s="402"/>
      <c r="Y560" s="332"/>
      <c r="Z560" s="332"/>
      <c r="AA560" s="332"/>
      <c r="AB560" s="400"/>
    </row>
    <row r="561" spans="1:28" ht="18.75" customHeight="1" x14ac:dyDescent="0.2">
      <c r="A561" s="401"/>
      <c r="B561" s="168" t="s">
        <v>1094</v>
      </c>
      <c r="C561" s="400"/>
      <c r="D561" s="402"/>
      <c r="E561" s="332"/>
      <c r="F561" s="332"/>
      <c r="G561" s="332"/>
      <c r="H561" s="400"/>
      <c r="I561" s="402"/>
      <c r="J561" s="332"/>
      <c r="K561" s="332"/>
      <c r="L561" s="332"/>
      <c r="M561" s="400"/>
      <c r="N561" s="402"/>
      <c r="O561" s="338"/>
      <c r="P561" s="338"/>
      <c r="Q561" s="338"/>
      <c r="R561" s="400"/>
      <c r="S561" s="402"/>
      <c r="T561" s="332"/>
      <c r="U561" s="332"/>
      <c r="V561" s="332"/>
      <c r="W561" s="400"/>
      <c r="X561" s="402"/>
      <c r="Y561" s="332"/>
      <c r="Z561" s="332"/>
      <c r="AA561" s="332"/>
      <c r="AB561" s="400"/>
    </row>
    <row r="562" spans="1:28" ht="18.75" customHeight="1" x14ac:dyDescent="0.2">
      <c r="A562" s="401"/>
      <c r="B562" s="168" t="s">
        <v>1095</v>
      </c>
      <c r="C562" s="400"/>
      <c r="D562" s="402"/>
      <c r="E562" s="332"/>
      <c r="F562" s="332"/>
      <c r="G562" s="332"/>
      <c r="H562" s="400"/>
      <c r="I562" s="402"/>
      <c r="J562" s="332"/>
      <c r="K562" s="332"/>
      <c r="L562" s="332"/>
      <c r="M562" s="400"/>
      <c r="N562" s="402"/>
      <c r="O562" s="338"/>
      <c r="P562" s="338"/>
      <c r="Q562" s="338"/>
      <c r="R562" s="400"/>
      <c r="S562" s="402"/>
      <c r="T562" s="332"/>
      <c r="U562" s="332"/>
      <c r="V562" s="332"/>
      <c r="W562" s="400"/>
      <c r="X562" s="402"/>
      <c r="Y562" s="332"/>
      <c r="Z562" s="332"/>
      <c r="AA562" s="332"/>
      <c r="AB562" s="400"/>
    </row>
    <row r="563" spans="1:28" ht="18.75" customHeight="1" x14ac:dyDescent="0.2">
      <c r="A563" s="401"/>
      <c r="B563" s="168" t="s">
        <v>1096</v>
      </c>
      <c r="C563" s="400"/>
      <c r="D563" s="402"/>
      <c r="E563" s="332"/>
      <c r="F563" s="332"/>
      <c r="G563" s="332"/>
      <c r="H563" s="400"/>
      <c r="I563" s="402"/>
      <c r="J563" s="332"/>
      <c r="K563" s="332"/>
      <c r="L563" s="332"/>
      <c r="M563" s="400"/>
      <c r="N563" s="402"/>
      <c r="O563" s="338"/>
      <c r="P563" s="338"/>
      <c r="Q563" s="338"/>
      <c r="R563" s="400"/>
      <c r="S563" s="402"/>
      <c r="T563" s="332"/>
      <c r="U563" s="332"/>
      <c r="V563" s="332"/>
      <c r="W563" s="400"/>
      <c r="X563" s="402"/>
      <c r="Y563" s="332"/>
      <c r="Z563" s="332"/>
      <c r="AA563" s="332"/>
      <c r="AB563" s="400"/>
    </row>
    <row r="564" spans="1:28" ht="18.75" customHeight="1" x14ac:dyDescent="0.2">
      <c r="A564" s="401"/>
      <c r="B564" s="168" t="s">
        <v>1097</v>
      </c>
      <c r="C564" s="400"/>
      <c r="D564" s="402"/>
      <c r="E564" s="332"/>
      <c r="F564" s="332"/>
      <c r="G564" s="332"/>
      <c r="H564" s="400"/>
      <c r="I564" s="402"/>
      <c r="J564" s="332"/>
      <c r="K564" s="332"/>
      <c r="L564" s="332"/>
      <c r="M564" s="400"/>
      <c r="N564" s="402"/>
      <c r="O564" s="338"/>
      <c r="P564" s="338"/>
      <c r="Q564" s="338"/>
      <c r="R564" s="400"/>
      <c r="S564" s="402"/>
      <c r="T564" s="332"/>
      <c r="U564" s="332"/>
      <c r="V564" s="332"/>
      <c r="W564" s="400"/>
      <c r="X564" s="402"/>
      <c r="Y564" s="332"/>
      <c r="Z564" s="332"/>
      <c r="AA564" s="332"/>
      <c r="AB564" s="400"/>
    </row>
    <row r="565" spans="1:28" ht="18.75" customHeight="1" x14ac:dyDescent="0.2">
      <c r="A565" s="401"/>
      <c r="B565" s="168" t="s">
        <v>1098</v>
      </c>
      <c r="C565" s="400"/>
      <c r="D565" s="402"/>
      <c r="E565" s="332"/>
      <c r="F565" s="332"/>
      <c r="G565" s="332"/>
      <c r="H565" s="400"/>
      <c r="I565" s="402"/>
      <c r="J565" s="332"/>
      <c r="K565" s="332"/>
      <c r="L565" s="332"/>
      <c r="M565" s="400"/>
      <c r="N565" s="402"/>
      <c r="O565" s="338"/>
      <c r="P565" s="338"/>
      <c r="Q565" s="338"/>
      <c r="R565" s="400"/>
      <c r="S565" s="402"/>
      <c r="T565" s="332"/>
      <c r="U565" s="332"/>
      <c r="V565" s="332"/>
      <c r="W565" s="400"/>
      <c r="X565" s="402"/>
      <c r="Y565" s="332"/>
      <c r="Z565" s="332"/>
      <c r="AA565" s="332"/>
      <c r="AB565" s="400"/>
    </row>
    <row r="566" spans="1:28" ht="18.75" customHeight="1" x14ac:dyDescent="0.2">
      <c r="A566" s="401"/>
      <c r="B566" s="168" t="s">
        <v>1099</v>
      </c>
      <c r="C566" s="400"/>
      <c r="D566" s="402"/>
      <c r="E566" s="332"/>
      <c r="F566" s="332"/>
      <c r="G566" s="332"/>
      <c r="H566" s="400"/>
      <c r="I566" s="402"/>
      <c r="J566" s="332"/>
      <c r="K566" s="332"/>
      <c r="L566" s="332"/>
      <c r="M566" s="400"/>
      <c r="N566" s="402"/>
      <c r="O566" s="338"/>
      <c r="P566" s="338"/>
      <c r="Q566" s="338"/>
      <c r="R566" s="400"/>
      <c r="S566" s="402"/>
      <c r="T566" s="332"/>
      <c r="U566" s="332"/>
      <c r="V566" s="332"/>
      <c r="W566" s="400"/>
      <c r="X566" s="402"/>
      <c r="Y566" s="332"/>
      <c r="Z566" s="332"/>
      <c r="AA566" s="332"/>
      <c r="AB566" s="400"/>
    </row>
    <row r="567" spans="1:28" ht="38.25" customHeight="1" x14ac:dyDescent="0.2">
      <c r="A567" s="401"/>
      <c r="B567" s="168" t="s">
        <v>1100</v>
      </c>
      <c r="C567" s="400"/>
      <c r="D567" s="402"/>
      <c r="E567" s="332"/>
      <c r="F567" s="332"/>
      <c r="G567" s="332"/>
      <c r="H567" s="400"/>
      <c r="I567" s="402"/>
      <c r="J567" s="332"/>
      <c r="K567" s="332"/>
      <c r="L567" s="332"/>
      <c r="M567" s="400"/>
      <c r="N567" s="402"/>
      <c r="O567" s="338"/>
      <c r="P567" s="338"/>
      <c r="Q567" s="338"/>
      <c r="R567" s="400"/>
      <c r="S567" s="402"/>
      <c r="T567" s="332"/>
      <c r="U567" s="332"/>
      <c r="V567" s="332"/>
      <c r="W567" s="400"/>
      <c r="X567" s="402"/>
      <c r="Y567" s="332"/>
      <c r="Z567" s="332"/>
      <c r="AA567" s="332"/>
      <c r="AB567" s="400"/>
    </row>
    <row r="568" spans="1:28" ht="18.75" customHeight="1" x14ac:dyDescent="0.2">
      <c r="A568" s="401"/>
      <c r="B568" s="168" t="s">
        <v>1101</v>
      </c>
      <c r="C568" s="400"/>
      <c r="D568" s="402"/>
      <c r="E568" s="332"/>
      <c r="F568" s="332"/>
      <c r="G568" s="332"/>
      <c r="H568" s="400"/>
      <c r="I568" s="402"/>
      <c r="J568" s="332"/>
      <c r="K568" s="332"/>
      <c r="L568" s="332"/>
      <c r="M568" s="400"/>
      <c r="N568" s="402"/>
      <c r="O568" s="338"/>
      <c r="P568" s="338"/>
      <c r="Q568" s="338"/>
      <c r="R568" s="400"/>
      <c r="S568" s="402"/>
      <c r="T568" s="332"/>
      <c r="U568" s="332"/>
      <c r="V568" s="332"/>
      <c r="W568" s="400"/>
      <c r="X568" s="402"/>
      <c r="Y568" s="332"/>
      <c r="Z568" s="332"/>
      <c r="AA568" s="332"/>
      <c r="AB568" s="400"/>
    </row>
    <row r="569" spans="1:28" ht="18.75" customHeight="1" x14ac:dyDescent="0.2">
      <c r="A569" s="401"/>
      <c r="B569" s="176" t="s">
        <v>322</v>
      </c>
      <c r="C569" s="400"/>
      <c r="D569" s="402"/>
      <c r="E569" s="332"/>
      <c r="F569" s="332"/>
      <c r="G569" s="332"/>
      <c r="H569" s="400"/>
      <c r="I569" s="402"/>
      <c r="J569" s="332"/>
      <c r="K569" s="332"/>
      <c r="L569" s="332"/>
      <c r="M569" s="400"/>
      <c r="N569" s="402"/>
      <c r="O569" s="338"/>
      <c r="P569" s="338"/>
      <c r="Q569" s="338"/>
      <c r="R569" s="400"/>
      <c r="S569" s="402"/>
      <c r="T569" s="332"/>
      <c r="U569" s="332"/>
      <c r="V569" s="332"/>
      <c r="W569" s="400"/>
      <c r="X569" s="402"/>
      <c r="Y569" s="332"/>
      <c r="Z569" s="332"/>
      <c r="AA569" s="332"/>
      <c r="AB569" s="400"/>
    </row>
    <row r="570" spans="1:28" ht="18.75" customHeight="1" x14ac:dyDescent="0.2">
      <c r="A570" s="401"/>
      <c r="B570" s="168" t="s">
        <v>1102</v>
      </c>
      <c r="C570" s="400"/>
      <c r="D570" s="402"/>
      <c r="E570" s="332"/>
      <c r="F570" s="332"/>
      <c r="G570" s="332"/>
      <c r="H570" s="400"/>
      <c r="I570" s="402"/>
      <c r="J570" s="332"/>
      <c r="K570" s="332"/>
      <c r="L570" s="332"/>
      <c r="M570" s="400"/>
      <c r="N570" s="402"/>
      <c r="O570" s="338"/>
      <c r="P570" s="338"/>
      <c r="Q570" s="338"/>
      <c r="R570" s="400"/>
      <c r="S570" s="402"/>
      <c r="T570" s="332"/>
      <c r="U570" s="332"/>
      <c r="V570" s="332"/>
      <c r="W570" s="400"/>
      <c r="X570" s="402"/>
      <c r="Y570" s="332"/>
      <c r="Z570" s="332"/>
      <c r="AA570" s="332"/>
      <c r="AB570" s="400"/>
    </row>
    <row r="571" spans="1:28" ht="24" customHeight="1" x14ac:dyDescent="0.2">
      <c r="A571" s="401"/>
      <c r="B571" s="140" t="s">
        <v>1103</v>
      </c>
      <c r="C571" s="400"/>
      <c r="D571" s="402"/>
      <c r="E571" s="332"/>
      <c r="F571" s="332"/>
      <c r="G571" s="332"/>
      <c r="H571" s="400"/>
      <c r="I571" s="402"/>
      <c r="J571" s="332"/>
      <c r="K571" s="332"/>
      <c r="L571" s="332"/>
      <c r="M571" s="400"/>
      <c r="N571" s="402"/>
      <c r="O571" s="338"/>
      <c r="P571" s="338"/>
      <c r="Q571" s="338"/>
      <c r="R571" s="400"/>
      <c r="S571" s="402"/>
      <c r="T571" s="332"/>
      <c r="U571" s="332"/>
      <c r="V571" s="332"/>
      <c r="W571" s="400"/>
      <c r="X571" s="402"/>
      <c r="Y571" s="332"/>
      <c r="Z571" s="332"/>
      <c r="AA571" s="332"/>
      <c r="AB571" s="400"/>
    </row>
    <row r="572" spans="1:28" ht="18.75" customHeight="1" x14ac:dyDescent="0.2">
      <c r="A572" s="401"/>
      <c r="B572" s="140" t="s">
        <v>1104</v>
      </c>
      <c r="C572" s="400"/>
      <c r="D572" s="402"/>
      <c r="E572" s="332"/>
      <c r="F572" s="332"/>
      <c r="G572" s="332"/>
      <c r="H572" s="400"/>
      <c r="I572" s="402"/>
      <c r="J572" s="332"/>
      <c r="K572" s="332"/>
      <c r="L572" s="332"/>
      <c r="M572" s="400"/>
      <c r="N572" s="402"/>
      <c r="O572" s="338"/>
      <c r="P572" s="338"/>
      <c r="Q572" s="338"/>
      <c r="R572" s="400"/>
      <c r="S572" s="402"/>
      <c r="T572" s="332"/>
      <c r="U572" s="332"/>
      <c r="V572" s="332"/>
      <c r="W572" s="400"/>
      <c r="X572" s="402"/>
      <c r="Y572" s="332"/>
      <c r="Z572" s="332"/>
      <c r="AA572" s="332"/>
      <c r="AB572" s="400"/>
    </row>
    <row r="573" spans="1:28" ht="18.75" customHeight="1" x14ac:dyDescent="0.2">
      <c r="A573" s="401"/>
      <c r="B573" s="140" t="s">
        <v>1105</v>
      </c>
      <c r="C573" s="400"/>
      <c r="D573" s="402"/>
      <c r="E573" s="332"/>
      <c r="F573" s="332"/>
      <c r="G573" s="332"/>
      <c r="H573" s="400"/>
      <c r="I573" s="402"/>
      <c r="J573" s="332"/>
      <c r="K573" s="332"/>
      <c r="L573" s="332"/>
      <c r="M573" s="400"/>
      <c r="N573" s="402"/>
      <c r="O573" s="338"/>
      <c r="P573" s="338"/>
      <c r="Q573" s="338"/>
      <c r="R573" s="400"/>
      <c r="S573" s="402"/>
      <c r="T573" s="332"/>
      <c r="U573" s="332"/>
      <c r="V573" s="332"/>
      <c r="W573" s="400"/>
      <c r="X573" s="402"/>
      <c r="Y573" s="332"/>
      <c r="Z573" s="332"/>
      <c r="AA573" s="332"/>
      <c r="AB573" s="400"/>
    </row>
    <row r="574" spans="1:28" ht="18.75" customHeight="1" x14ac:dyDescent="0.2">
      <c r="A574" s="401"/>
      <c r="B574" s="176" t="s">
        <v>373</v>
      </c>
      <c r="C574" s="400"/>
      <c r="D574" s="402"/>
      <c r="E574" s="332"/>
      <c r="F574" s="332"/>
      <c r="G574" s="332"/>
      <c r="H574" s="400"/>
      <c r="I574" s="402"/>
      <c r="J574" s="332"/>
      <c r="K574" s="332"/>
      <c r="L574" s="332"/>
      <c r="M574" s="400"/>
      <c r="N574" s="402"/>
      <c r="O574" s="338"/>
      <c r="P574" s="338"/>
      <c r="Q574" s="338"/>
      <c r="R574" s="400"/>
      <c r="S574" s="402"/>
      <c r="T574" s="332"/>
      <c r="U574" s="332"/>
      <c r="V574" s="332"/>
      <c r="W574" s="400"/>
      <c r="X574" s="402"/>
      <c r="Y574" s="332"/>
      <c r="Z574" s="332"/>
      <c r="AA574" s="332"/>
      <c r="AB574" s="400"/>
    </row>
    <row r="575" spans="1:28" ht="18.75" customHeight="1" x14ac:dyDescent="0.2">
      <c r="A575" s="401"/>
      <c r="B575" s="168" t="s">
        <v>1363</v>
      </c>
      <c r="C575" s="400"/>
      <c r="D575" s="402"/>
      <c r="E575" s="332"/>
      <c r="F575" s="332"/>
      <c r="G575" s="332"/>
      <c r="H575" s="400"/>
      <c r="I575" s="402"/>
      <c r="J575" s="332"/>
      <c r="K575" s="332"/>
      <c r="L575" s="332"/>
      <c r="M575" s="400"/>
      <c r="N575" s="402"/>
      <c r="O575" s="338"/>
      <c r="P575" s="338"/>
      <c r="Q575" s="338"/>
      <c r="R575" s="400"/>
      <c r="S575" s="402"/>
      <c r="T575" s="332"/>
      <c r="U575" s="332"/>
      <c r="V575" s="332"/>
      <c r="W575" s="400"/>
      <c r="X575" s="402"/>
      <c r="Y575" s="332"/>
      <c r="Z575" s="332"/>
      <c r="AA575" s="332"/>
      <c r="AB575" s="400"/>
    </row>
    <row r="576" spans="1:28" ht="16.5" customHeight="1" x14ac:dyDescent="0.2">
      <c r="A576" s="401"/>
      <c r="B576" s="168" t="s">
        <v>1364</v>
      </c>
      <c r="C576" s="400"/>
      <c r="D576" s="402"/>
      <c r="E576" s="332"/>
      <c r="F576" s="332"/>
      <c r="G576" s="332"/>
      <c r="H576" s="400"/>
      <c r="I576" s="402"/>
      <c r="J576" s="332"/>
      <c r="K576" s="332"/>
      <c r="L576" s="332"/>
      <c r="M576" s="400"/>
      <c r="N576" s="402"/>
      <c r="O576" s="338"/>
      <c r="P576" s="338"/>
      <c r="Q576" s="338"/>
      <c r="R576" s="400"/>
      <c r="S576" s="402"/>
      <c r="T576" s="332"/>
      <c r="U576" s="332"/>
      <c r="V576" s="332"/>
      <c r="W576" s="400"/>
      <c r="X576" s="402"/>
      <c r="Y576" s="332"/>
      <c r="Z576" s="332"/>
      <c r="AA576" s="332"/>
      <c r="AB576" s="400"/>
    </row>
    <row r="577" spans="1:30" ht="18.75" customHeight="1" x14ac:dyDescent="0.2">
      <c r="A577" s="401"/>
      <c r="B577" s="176" t="s">
        <v>411</v>
      </c>
      <c r="C577" s="400"/>
      <c r="D577" s="402"/>
      <c r="E577" s="332"/>
      <c r="F577" s="332"/>
      <c r="G577" s="332"/>
      <c r="H577" s="400"/>
      <c r="I577" s="402"/>
      <c r="J577" s="332"/>
      <c r="K577" s="332"/>
      <c r="L577" s="332"/>
      <c r="M577" s="400"/>
      <c r="N577" s="402"/>
      <c r="O577" s="338"/>
      <c r="P577" s="338"/>
      <c r="Q577" s="338"/>
      <c r="R577" s="400"/>
      <c r="S577" s="402"/>
      <c r="T577" s="332"/>
      <c r="U577" s="332"/>
      <c r="V577" s="332"/>
      <c r="W577" s="400"/>
      <c r="X577" s="402"/>
      <c r="Y577" s="332"/>
      <c r="Z577" s="332"/>
      <c r="AA577" s="332"/>
      <c r="AB577" s="400"/>
    </row>
    <row r="578" spans="1:30" ht="17.25" customHeight="1" x14ac:dyDescent="0.2">
      <c r="A578" s="401"/>
      <c r="B578" s="168" t="s">
        <v>1365</v>
      </c>
      <c r="C578" s="400"/>
      <c r="D578" s="402"/>
      <c r="E578" s="332"/>
      <c r="F578" s="332"/>
      <c r="G578" s="332"/>
      <c r="H578" s="400"/>
      <c r="I578" s="402"/>
      <c r="J578" s="332"/>
      <c r="K578" s="332"/>
      <c r="L578" s="332"/>
      <c r="M578" s="400"/>
      <c r="N578" s="402"/>
      <c r="O578" s="338"/>
      <c r="P578" s="338"/>
      <c r="Q578" s="338"/>
      <c r="R578" s="400"/>
      <c r="S578" s="402"/>
      <c r="T578" s="332"/>
      <c r="U578" s="332"/>
      <c r="V578" s="332"/>
      <c r="W578" s="400"/>
      <c r="X578" s="402"/>
      <c r="Y578" s="332"/>
      <c r="Z578" s="332"/>
      <c r="AA578" s="332"/>
      <c r="AB578" s="400"/>
    </row>
    <row r="579" spans="1:30" ht="18.75" customHeight="1" x14ac:dyDescent="0.2">
      <c r="A579" s="401"/>
      <c r="B579" s="162" t="s">
        <v>1366</v>
      </c>
      <c r="C579" s="400"/>
      <c r="D579" s="402"/>
      <c r="E579" s="332"/>
      <c r="F579" s="332"/>
      <c r="G579" s="332"/>
      <c r="H579" s="400"/>
      <c r="I579" s="402"/>
      <c r="J579" s="332"/>
      <c r="K579" s="332"/>
      <c r="L579" s="332"/>
      <c r="M579" s="400"/>
      <c r="N579" s="402"/>
      <c r="O579" s="338"/>
      <c r="P579" s="338"/>
      <c r="Q579" s="338"/>
      <c r="R579" s="400"/>
      <c r="S579" s="402"/>
      <c r="T579" s="332"/>
      <c r="U579" s="332"/>
      <c r="V579" s="332"/>
      <c r="W579" s="400"/>
      <c r="X579" s="402"/>
      <c r="Y579" s="332"/>
      <c r="Z579" s="332"/>
      <c r="AA579" s="332"/>
      <c r="AB579" s="400"/>
    </row>
    <row r="580" spans="1:30" ht="18.75" customHeight="1" x14ac:dyDescent="0.2">
      <c r="A580" s="179" t="s">
        <v>16</v>
      </c>
      <c r="B580" s="409" t="s">
        <v>484</v>
      </c>
      <c r="C580" s="410"/>
      <c r="D580" s="410"/>
      <c r="E580" s="410"/>
      <c r="F580" s="410"/>
      <c r="G580" s="410"/>
      <c r="H580" s="410"/>
      <c r="I580" s="410"/>
      <c r="J580" s="410"/>
      <c r="K580" s="410"/>
      <c r="L580" s="410"/>
      <c r="M580" s="410"/>
      <c r="N580" s="410"/>
      <c r="O580" s="410"/>
      <c r="P580" s="410"/>
      <c r="Q580" s="410"/>
      <c r="R580" s="410"/>
      <c r="S580" s="410"/>
      <c r="T580" s="410"/>
      <c r="U580" s="410"/>
      <c r="V580" s="410"/>
      <c r="W580" s="410"/>
      <c r="X580" s="410"/>
      <c r="Y580" s="410"/>
      <c r="Z580" s="410"/>
      <c r="AA580" s="410"/>
      <c r="AB580" s="410"/>
      <c r="AC580" s="61"/>
      <c r="AD580" s="61"/>
    </row>
    <row r="581" spans="1:30" ht="18" customHeight="1" x14ac:dyDescent="0.2">
      <c r="A581" s="321" t="s">
        <v>133</v>
      </c>
      <c r="B581" s="150" t="s">
        <v>52</v>
      </c>
      <c r="C581" s="337">
        <f>D581+E581+F581+G581</f>
        <v>27036</v>
      </c>
      <c r="D581" s="338">
        <v>27036</v>
      </c>
      <c r="E581" s="338">
        <v>0</v>
      </c>
      <c r="F581" s="338">
        <v>0</v>
      </c>
      <c r="G581" s="338">
        <v>0</v>
      </c>
      <c r="H581" s="337">
        <f>I581+J581+K581+L581</f>
        <v>35037</v>
      </c>
      <c r="I581" s="338">
        <f>34053+19+526+786-411-184+388-1-139</f>
        <v>35037</v>
      </c>
      <c r="J581" s="338">
        <v>0</v>
      </c>
      <c r="K581" s="338">
        <v>0</v>
      </c>
      <c r="L581" s="338">
        <v>0</v>
      </c>
      <c r="M581" s="337">
        <f>N581+O581+P581+Q581</f>
        <v>44468</v>
      </c>
      <c r="N581" s="338">
        <f>32839+12411+642-2-121+130-1431</f>
        <v>44468</v>
      </c>
      <c r="O581" s="338">
        <v>0</v>
      </c>
      <c r="P581" s="338">
        <v>0</v>
      </c>
      <c r="Q581" s="338">
        <v>0</v>
      </c>
      <c r="R581" s="337">
        <f>S581+T581+U581+V581</f>
        <v>71296</v>
      </c>
      <c r="S581" s="338">
        <f>32839+12529+26553+3858+17024-16499-607-170+379+462-5212-571+711</f>
        <v>71296</v>
      </c>
      <c r="T581" s="338">
        <v>0</v>
      </c>
      <c r="U581" s="338">
        <v>0</v>
      </c>
      <c r="V581" s="338">
        <v>0</v>
      </c>
      <c r="W581" s="337">
        <f>X581+Y581+Z581+AA581</f>
        <v>67023</v>
      </c>
      <c r="X581" s="338">
        <f>26539+300+18529+1768+18371+1516</f>
        <v>67023</v>
      </c>
      <c r="Y581" s="338">
        <v>0</v>
      </c>
      <c r="Z581" s="338">
        <v>0</v>
      </c>
      <c r="AA581" s="338">
        <v>0</v>
      </c>
      <c r="AB581" s="337">
        <f>C581+H581+M581+R581+W581</f>
        <v>244860</v>
      </c>
    </row>
    <row r="582" spans="1:30" ht="18" customHeight="1" x14ac:dyDescent="0.2">
      <c r="A582" s="179" t="s">
        <v>1378</v>
      </c>
      <c r="B582" s="409" t="s">
        <v>1392</v>
      </c>
      <c r="C582" s="410"/>
      <c r="D582" s="410"/>
      <c r="E582" s="410"/>
      <c r="F582" s="410"/>
      <c r="G582" s="410"/>
      <c r="H582" s="410"/>
      <c r="I582" s="410"/>
      <c r="J582" s="410"/>
      <c r="K582" s="410"/>
      <c r="L582" s="410"/>
      <c r="M582" s="410"/>
      <c r="N582" s="410"/>
      <c r="O582" s="410"/>
      <c r="P582" s="410"/>
      <c r="Q582" s="410"/>
      <c r="R582" s="410"/>
      <c r="S582" s="410"/>
      <c r="T582" s="410"/>
      <c r="U582" s="410"/>
      <c r="V582" s="410"/>
      <c r="W582" s="410"/>
      <c r="X582" s="410"/>
      <c r="Y582" s="410"/>
      <c r="Z582" s="410"/>
      <c r="AA582" s="410"/>
      <c r="AB582" s="410"/>
    </row>
    <row r="583" spans="1:30" ht="30" customHeight="1" x14ac:dyDescent="0.2">
      <c r="A583" s="334" t="s">
        <v>1379</v>
      </c>
      <c r="B583" s="70" t="s">
        <v>1387</v>
      </c>
      <c r="C583" s="337">
        <v>0</v>
      </c>
      <c r="D583" s="338">
        <v>0</v>
      </c>
      <c r="E583" s="338"/>
      <c r="F583" s="338"/>
      <c r="G583" s="338"/>
      <c r="H583" s="337">
        <v>0</v>
      </c>
      <c r="I583" s="338">
        <v>0</v>
      </c>
      <c r="J583" s="338"/>
      <c r="K583" s="338"/>
      <c r="L583" s="338"/>
      <c r="M583" s="337">
        <v>0</v>
      </c>
      <c r="N583" s="338">
        <v>0</v>
      </c>
      <c r="O583" s="338"/>
      <c r="P583" s="338"/>
      <c r="Q583" s="338"/>
      <c r="R583" s="337">
        <v>0</v>
      </c>
      <c r="S583" s="338">
        <v>0</v>
      </c>
      <c r="T583" s="338"/>
      <c r="U583" s="338"/>
      <c r="V583" s="338"/>
      <c r="W583" s="337">
        <v>0</v>
      </c>
      <c r="X583" s="338">
        <v>0</v>
      </c>
      <c r="Y583" s="338"/>
      <c r="Z583" s="338"/>
      <c r="AA583" s="338"/>
      <c r="AB583" s="337">
        <v>0</v>
      </c>
    </row>
    <row r="584" spans="1:30" ht="40.5" customHeight="1" x14ac:dyDescent="0.2">
      <c r="A584" s="334" t="s">
        <v>1380</v>
      </c>
      <c r="B584" s="70" t="s">
        <v>1418</v>
      </c>
      <c r="C584" s="337">
        <v>0</v>
      </c>
      <c r="D584" s="338">
        <v>0</v>
      </c>
      <c r="E584" s="338"/>
      <c r="F584" s="338"/>
      <c r="G584" s="338"/>
      <c r="H584" s="337">
        <v>0</v>
      </c>
      <c r="I584" s="338">
        <v>0</v>
      </c>
      <c r="J584" s="338"/>
      <c r="K584" s="338"/>
      <c r="L584" s="338"/>
      <c r="M584" s="337">
        <v>0</v>
      </c>
      <c r="N584" s="338">
        <v>0</v>
      </c>
      <c r="O584" s="338"/>
      <c r="P584" s="338"/>
      <c r="Q584" s="338"/>
      <c r="R584" s="337">
        <v>0</v>
      </c>
      <c r="S584" s="338">
        <v>0</v>
      </c>
      <c r="T584" s="338"/>
      <c r="U584" s="338"/>
      <c r="V584" s="338"/>
      <c r="W584" s="337">
        <v>0</v>
      </c>
      <c r="X584" s="338">
        <v>0</v>
      </c>
      <c r="Y584" s="338"/>
      <c r="Z584" s="338"/>
      <c r="AA584" s="338"/>
      <c r="AB584" s="337">
        <v>0</v>
      </c>
    </row>
    <row r="585" spans="1:30" ht="27.75" customHeight="1" x14ac:dyDescent="0.2">
      <c r="A585" s="334" t="s">
        <v>1381</v>
      </c>
      <c r="B585" s="70" t="s">
        <v>1386</v>
      </c>
      <c r="C585" s="337">
        <v>0</v>
      </c>
      <c r="D585" s="338">
        <v>0</v>
      </c>
      <c r="E585" s="338"/>
      <c r="F585" s="338"/>
      <c r="G585" s="338"/>
      <c r="H585" s="337">
        <v>0</v>
      </c>
      <c r="I585" s="338">
        <v>0</v>
      </c>
      <c r="J585" s="338"/>
      <c r="K585" s="338"/>
      <c r="L585" s="338"/>
      <c r="M585" s="337">
        <v>0</v>
      </c>
      <c r="N585" s="338">
        <v>0</v>
      </c>
      <c r="O585" s="338"/>
      <c r="P585" s="338"/>
      <c r="Q585" s="338"/>
      <c r="R585" s="337">
        <v>0</v>
      </c>
      <c r="S585" s="338">
        <v>0</v>
      </c>
      <c r="T585" s="338"/>
      <c r="U585" s="338"/>
      <c r="V585" s="338"/>
      <c r="W585" s="337">
        <v>0</v>
      </c>
      <c r="X585" s="338">
        <v>0</v>
      </c>
      <c r="Y585" s="338"/>
      <c r="Z585" s="338"/>
      <c r="AA585" s="338"/>
      <c r="AB585" s="337">
        <v>0</v>
      </c>
    </row>
    <row r="586" spans="1:30" ht="19.5" customHeight="1" x14ac:dyDescent="0.2">
      <c r="A586" s="334" t="s">
        <v>1382</v>
      </c>
      <c r="B586" s="70" t="s">
        <v>1391</v>
      </c>
      <c r="C586" s="337">
        <v>0</v>
      </c>
      <c r="D586" s="338">
        <v>0</v>
      </c>
      <c r="E586" s="338"/>
      <c r="F586" s="338"/>
      <c r="G586" s="338"/>
      <c r="H586" s="337">
        <v>0</v>
      </c>
      <c r="I586" s="338">
        <v>0</v>
      </c>
      <c r="J586" s="338"/>
      <c r="K586" s="338"/>
      <c r="L586" s="338"/>
      <c r="M586" s="337">
        <v>0</v>
      </c>
      <c r="N586" s="338">
        <v>0</v>
      </c>
      <c r="O586" s="338"/>
      <c r="P586" s="338"/>
      <c r="Q586" s="338"/>
      <c r="R586" s="337">
        <v>0</v>
      </c>
      <c r="S586" s="338">
        <v>0</v>
      </c>
      <c r="T586" s="338"/>
      <c r="U586" s="338"/>
      <c r="V586" s="338"/>
      <c r="W586" s="337">
        <v>0</v>
      </c>
      <c r="X586" s="338">
        <v>0</v>
      </c>
      <c r="Y586" s="338"/>
      <c r="Z586" s="338"/>
      <c r="AA586" s="338"/>
      <c r="AB586" s="337">
        <v>0</v>
      </c>
    </row>
    <row r="587" spans="1:30" ht="18" customHeight="1" x14ac:dyDescent="0.2">
      <c r="A587" s="334" t="s">
        <v>1383</v>
      </c>
      <c r="B587" s="70" t="s">
        <v>1396</v>
      </c>
      <c r="C587" s="337">
        <v>0</v>
      </c>
      <c r="D587" s="338">
        <v>0</v>
      </c>
      <c r="E587" s="338"/>
      <c r="F587" s="338"/>
      <c r="G587" s="338"/>
      <c r="H587" s="337">
        <v>0</v>
      </c>
      <c r="I587" s="338">
        <v>0</v>
      </c>
      <c r="J587" s="338"/>
      <c r="K587" s="338"/>
      <c r="L587" s="338"/>
      <c r="M587" s="337">
        <v>0</v>
      </c>
      <c r="N587" s="338">
        <v>0</v>
      </c>
      <c r="O587" s="338"/>
      <c r="P587" s="338"/>
      <c r="Q587" s="338"/>
      <c r="R587" s="337">
        <v>0</v>
      </c>
      <c r="S587" s="338">
        <v>0</v>
      </c>
      <c r="T587" s="338"/>
      <c r="U587" s="338"/>
      <c r="V587" s="338"/>
      <c r="W587" s="337">
        <v>0</v>
      </c>
      <c r="X587" s="338">
        <v>0</v>
      </c>
      <c r="Y587" s="338"/>
      <c r="Z587" s="338"/>
      <c r="AA587" s="338"/>
      <c r="AB587" s="337">
        <v>0</v>
      </c>
    </row>
    <row r="588" spans="1:30" ht="18" customHeight="1" x14ac:dyDescent="0.2">
      <c r="A588" s="334" t="s">
        <v>1384</v>
      </c>
      <c r="B588" s="70" t="s">
        <v>1398</v>
      </c>
      <c r="C588" s="337">
        <v>0</v>
      </c>
      <c r="D588" s="338">
        <v>0</v>
      </c>
      <c r="E588" s="338"/>
      <c r="F588" s="338"/>
      <c r="G588" s="338"/>
      <c r="H588" s="337">
        <v>0</v>
      </c>
      <c r="I588" s="338">
        <v>0</v>
      </c>
      <c r="J588" s="338"/>
      <c r="K588" s="338"/>
      <c r="L588" s="338"/>
      <c r="M588" s="337">
        <v>0</v>
      </c>
      <c r="N588" s="338">
        <v>0</v>
      </c>
      <c r="O588" s="338"/>
      <c r="P588" s="338"/>
      <c r="Q588" s="338"/>
      <c r="R588" s="337">
        <v>0</v>
      </c>
      <c r="S588" s="338">
        <v>0</v>
      </c>
      <c r="T588" s="338"/>
      <c r="U588" s="338"/>
      <c r="V588" s="338"/>
      <c r="W588" s="337">
        <v>0</v>
      </c>
      <c r="X588" s="338">
        <v>0</v>
      </c>
      <c r="Y588" s="338"/>
      <c r="Z588" s="338"/>
      <c r="AA588" s="338"/>
      <c r="AB588" s="337">
        <v>0</v>
      </c>
    </row>
    <row r="589" spans="1:30" ht="18" customHeight="1" x14ac:dyDescent="0.2">
      <c r="A589" s="334" t="s">
        <v>1400</v>
      </c>
      <c r="B589" s="70" t="s">
        <v>1404</v>
      </c>
      <c r="C589" s="337">
        <v>0</v>
      </c>
      <c r="D589" s="338">
        <v>0</v>
      </c>
      <c r="E589" s="338"/>
      <c r="F589" s="338"/>
      <c r="G589" s="338"/>
      <c r="H589" s="337">
        <v>0</v>
      </c>
      <c r="I589" s="338">
        <v>0</v>
      </c>
      <c r="J589" s="338"/>
      <c r="K589" s="338"/>
      <c r="L589" s="338"/>
      <c r="M589" s="337">
        <v>0</v>
      </c>
      <c r="N589" s="338">
        <v>0</v>
      </c>
      <c r="O589" s="338"/>
      <c r="P589" s="338"/>
      <c r="Q589" s="338"/>
      <c r="R589" s="337">
        <v>0</v>
      </c>
      <c r="S589" s="338">
        <v>0</v>
      </c>
      <c r="T589" s="338"/>
      <c r="U589" s="338"/>
      <c r="V589" s="338"/>
      <c r="W589" s="337">
        <v>0</v>
      </c>
      <c r="X589" s="338">
        <v>0</v>
      </c>
      <c r="Y589" s="338"/>
      <c r="Z589" s="338"/>
      <c r="AA589" s="338"/>
      <c r="AB589" s="337">
        <v>0</v>
      </c>
    </row>
    <row r="590" spans="1:30" ht="18" customHeight="1" x14ac:dyDescent="0.2">
      <c r="A590" s="334" t="s">
        <v>1401</v>
      </c>
      <c r="B590" s="70" t="s">
        <v>1415</v>
      </c>
      <c r="C590" s="337">
        <v>0</v>
      </c>
      <c r="D590" s="338">
        <v>0</v>
      </c>
      <c r="E590" s="338"/>
      <c r="F590" s="338"/>
      <c r="G590" s="338"/>
      <c r="H590" s="337">
        <v>0</v>
      </c>
      <c r="I590" s="338">
        <v>0</v>
      </c>
      <c r="J590" s="338"/>
      <c r="K590" s="338"/>
      <c r="L590" s="338"/>
      <c r="M590" s="337">
        <v>0</v>
      </c>
      <c r="N590" s="338">
        <v>0</v>
      </c>
      <c r="O590" s="338"/>
      <c r="P590" s="338"/>
      <c r="Q590" s="338"/>
      <c r="R590" s="337">
        <v>0</v>
      </c>
      <c r="S590" s="338">
        <v>0</v>
      </c>
      <c r="T590" s="338"/>
      <c r="U590" s="338"/>
      <c r="V590" s="338"/>
      <c r="W590" s="337">
        <v>0</v>
      </c>
      <c r="X590" s="338">
        <v>0</v>
      </c>
      <c r="Y590" s="338"/>
      <c r="Z590" s="338"/>
      <c r="AA590" s="338"/>
      <c r="AB590" s="337">
        <v>0</v>
      </c>
    </row>
    <row r="591" spans="1:30" ht="18" customHeight="1" x14ac:dyDescent="0.2">
      <c r="A591" s="407" t="s">
        <v>581</v>
      </c>
      <c r="B591" s="412"/>
      <c r="C591" s="338">
        <f>C593</f>
        <v>173012</v>
      </c>
      <c r="D591" s="338">
        <f>D593</f>
        <v>173012</v>
      </c>
      <c r="E591" s="338">
        <v>0</v>
      </c>
      <c r="F591" s="338">
        <v>0</v>
      </c>
      <c r="G591" s="338">
        <v>0</v>
      </c>
      <c r="H591" s="337">
        <f>H593</f>
        <v>103854</v>
      </c>
      <c r="I591" s="337">
        <f>I593</f>
        <v>103854</v>
      </c>
      <c r="J591" s="338">
        <v>0</v>
      </c>
      <c r="K591" s="338">
        <v>0</v>
      </c>
      <c r="L591" s="338"/>
      <c r="M591" s="337">
        <f>M593-M592</f>
        <v>126062</v>
      </c>
      <c r="N591" s="338">
        <f>N593-N592</f>
        <v>126062</v>
      </c>
      <c r="O591" s="338"/>
      <c r="P591" s="338"/>
      <c r="Q591" s="338"/>
      <c r="R591" s="337">
        <f>SUM(R10:R581)</f>
        <v>208932</v>
      </c>
      <c r="S591" s="338">
        <f>S10+S29+S41+S114+S130+S172+S173+S191+S192+S195+S196+S205+S483+S491+S500+S503+S511+S512+S513+S514+S536+S542+S556+S581</f>
        <v>208932</v>
      </c>
      <c r="T591" s="338"/>
      <c r="U591" s="338"/>
      <c r="V591" s="338"/>
      <c r="W591" s="337">
        <f>SUM(W10:W581)</f>
        <v>154699</v>
      </c>
      <c r="X591" s="338">
        <f>X10+X29+X41+X114+X130+X173+X191+X192+X195+X205+X483+X491+X500+X503+X511+X512+X513+X514+X536+X542+X556+X581</f>
        <v>154699</v>
      </c>
      <c r="Y591" s="338"/>
      <c r="Z591" s="338"/>
      <c r="AA591" s="338"/>
      <c r="AB591" s="337">
        <f>AB593-AB592</f>
        <v>766559</v>
      </c>
    </row>
    <row r="592" spans="1:30" ht="18" customHeight="1" x14ac:dyDescent="0.2">
      <c r="A592" s="413" t="s">
        <v>383</v>
      </c>
      <c r="B592" s="414"/>
      <c r="C592" s="338">
        <f>C594</f>
        <v>0</v>
      </c>
      <c r="D592" s="338">
        <v>0</v>
      </c>
      <c r="E592" s="338">
        <v>0</v>
      </c>
      <c r="F592" s="338">
        <v>0</v>
      </c>
      <c r="G592" s="338">
        <v>0</v>
      </c>
      <c r="H592" s="337">
        <f>H594</f>
        <v>0</v>
      </c>
      <c r="I592" s="338">
        <v>0</v>
      </c>
      <c r="J592" s="338">
        <v>0</v>
      </c>
      <c r="K592" s="338">
        <v>0</v>
      </c>
      <c r="L592" s="338"/>
      <c r="M592" s="337">
        <f>M172</f>
        <v>3417</v>
      </c>
      <c r="N592" s="338">
        <f>N172</f>
        <v>3417</v>
      </c>
      <c r="O592" s="338"/>
      <c r="P592" s="338"/>
      <c r="Q592" s="338"/>
      <c r="R592" s="337">
        <v>0</v>
      </c>
      <c r="S592" s="338">
        <v>0</v>
      </c>
      <c r="T592" s="338"/>
      <c r="U592" s="338"/>
      <c r="V592" s="338"/>
      <c r="W592" s="337">
        <v>0</v>
      </c>
      <c r="X592" s="338">
        <v>0</v>
      </c>
      <c r="Y592" s="338"/>
      <c r="Z592" s="338"/>
      <c r="AA592" s="338"/>
      <c r="AB592" s="337">
        <f>C592+H592+M592+R592+W592</f>
        <v>3417</v>
      </c>
    </row>
    <row r="593" spans="1:29" s="63" customFormat="1" ht="42" customHeight="1" x14ac:dyDescent="0.2">
      <c r="A593" s="407" t="s">
        <v>582</v>
      </c>
      <c r="B593" s="408"/>
      <c r="C593" s="180">
        <f t="shared" ref="C593:AA593" si="1">SUM(C10:C581)</f>
        <v>173012</v>
      </c>
      <c r="D593" s="180">
        <f t="shared" si="1"/>
        <v>173012</v>
      </c>
      <c r="E593" s="181">
        <f t="shared" si="1"/>
        <v>0</v>
      </c>
      <c r="F593" s="181">
        <f t="shared" si="1"/>
        <v>0</v>
      </c>
      <c r="G593" s="181">
        <f t="shared" si="1"/>
        <v>0</v>
      </c>
      <c r="H593" s="180">
        <f t="shared" si="1"/>
        <v>103854</v>
      </c>
      <c r="I593" s="181">
        <f t="shared" si="1"/>
        <v>103854</v>
      </c>
      <c r="J593" s="181">
        <f t="shared" si="1"/>
        <v>0</v>
      </c>
      <c r="K593" s="181">
        <f t="shared" si="1"/>
        <v>0</v>
      </c>
      <c r="L593" s="180">
        <f t="shared" si="1"/>
        <v>0</v>
      </c>
      <c r="M593" s="180">
        <f>SUM(M10:M581)</f>
        <v>129479</v>
      </c>
      <c r="N593" s="181">
        <f>SUM(N10:N581)</f>
        <v>129479</v>
      </c>
      <c r="O593" s="180">
        <f t="shared" si="1"/>
        <v>0</v>
      </c>
      <c r="P593" s="180">
        <f t="shared" si="1"/>
        <v>0</v>
      </c>
      <c r="Q593" s="180">
        <f t="shared" si="1"/>
        <v>0</v>
      </c>
      <c r="R593" s="180">
        <f t="shared" si="1"/>
        <v>208932</v>
      </c>
      <c r="S593" s="181">
        <f>S591+S592</f>
        <v>208932</v>
      </c>
      <c r="T593" s="180">
        <f t="shared" si="1"/>
        <v>0</v>
      </c>
      <c r="U593" s="180">
        <f t="shared" si="1"/>
        <v>0</v>
      </c>
      <c r="V593" s="180">
        <f t="shared" si="1"/>
        <v>0</v>
      </c>
      <c r="W593" s="180">
        <f>SUM(W10:W581)</f>
        <v>154699</v>
      </c>
      <c r="X593" s="181">
        <f>X10+X29+X41+X114+X130+X173+X191+X192+X195+X205+X483+X491+X500+X503+X511+X512+X513+X514+X536+X542+X556+X581</f>
        <v>154699</v>
      </c>
      <c r="Y593" s="180">
        <f t="shared" si="1"/>
        <v>0</v>
      </c>
      <c r="Z593" s="180">
        <f t="shared" si="1"/>
        <v>0</v>
      </c>
      <c r="AA593" s="180">
        <f t="shared" si="1"/>
        <v>0</v>
      </c>
      <c r="AB593" s="180">
        <f>SUM(AB10:AB581)</f>
        <v>769976</v>
      </c>
      <c r="AC593" s="62"/>
    </row>
    <row r="594" spans="1:29" ht="16.149999999999999" customHeight="1" x14ac:dyDescent="0.2">
      <c r="A594" s="53"/>
      <c r="B594" s="64"/>
    </row>
    <row r="595" spans="1:29" ht="42" customHeight="1" x14ac:dyDescent="0.2">
      <c r="A595" s="53"/>
      <c r="B595" s="64"/>
      <c r="D595" s="67"/>
      <c r="E595" s="67"/>
      <c r="F595" s="67"/>
      <c r="G595" s="67"/>
      <c r="H595" s="68"/>
      <c r="I595" s="67"/>
    </row>
    <row r="596" spans="1:29" ht="42" customHeight="1" x14ac:dyDescent="0.2">
      <c r="A596" s="53"/>
      <c r="B596" s="64"/>
    </row>
    <row r="597" spans="1:29" ht="42" customHeight="1" x14ac:dyDescent="0.2">
      <c r="A597" s="53"/>
      <c r="B597" s="64"/>
    </row>
    <row r="598" spans="1:29" ht="42" customHeight="1" x14ac:dyDescent="0.2">
      <c r="A598" s="53"/>
      <c r="B598" s="64"/>
    </row>
    <row r="599" spans="1:29" ht="42" customHeight="1" x14ac:dyDescent="0.2">
      <c r="A599" s="53"/>
      <c r="B599" s="64"/>
    </row>
    <row r="600" spans="1:29" ht="42" customHeight="1" x14ac:dyDescent="0.2">
      <c r="A600" s="53"/>
      <c r="B600" s="64"/>
    </row>
    <row r="601" spans="1:29" ht="42" customHeight="1" x14ac:dyDescent="0.2">
      <c r="A601" s="53"/>
      <c r="B601" s="64"/>
    </row>
    <row r="602" spans="1:29" ht="42" customHeight="1" x14ac:dyDescent="0.2">
      <c r="A602" s="53"/>
      <c r="B602" s="64"/>
    </row>
    <row r="603" spans="1:29" ht="42" customHeight="1" x14ac:dyDescent="0.2">
      <c r="A603" s="53"/>
      <c r="B603" s="64"/>
      <c r="C603" s="46"/>
      <c r="H603" s="46"/>
      <c r="M603" s="46"/>
      <c r="R603" s="46"/>
      <c r="W603" s="46"/>
      <c r="AB603" s="46"/>
    </row>
    <row r="604" spans="1:29" ht="42" customHeight="1" x14ac:dyDescent="0.2">
      <c r="A604" s="53"/>
      <c r="B604" s="64"/>
      <c r="C604" s="46"/>
      <c r="H604" s="46"/>
      <c r="M604" s="46"/>
      <c r="R604" s="46"/>
      <c r="W604" s="46"/>
      <c r="AB604" s="46"/>
    </row>
    <row r="605" spans="1:29" ht="42" customHeight="1" x14ac:dyDescent="0.2">
      <c r="A605" s="53"/>
      <c r="B605" s="64"/>
      <c r="C605" s="46"/>
      <c r="H605" s="46"/>
      <c r="M605" s="46"/>
      <c r="R605" s="46"/>
      <c r="W605" s="46"/>
      <c r="AB605" s="46"/>
    </row>
    <row r="606" spans="1:29" ht="42" customHeight="1" x14ac:dyDescent="0.2">
      <c r="A606" s="53"/>
      <c r="B606" s="64"/>
      <c r="C606" s="46"/>
      <c r="H606" s="46"/>
      <c r="M606" s="46"/>
      <c r="R606" s="46"/>
      <c r="W606" s="46"/>
      <c r="AB606" s="46"/>
    </row>
    <row r="607" spans="1:29" ht="42" customHeight="1" x14ac:dyDescent="0.2">
      <c r="A607" s="53"/>
      <c r="B607" s="64"/>
      <c r="C607" s="46"/>
      <c r="H607" s="46"/>
      <c r="M607" s="46"/>
      <c r="R607" s="46"/>
      <c r="W607" s="46"/>
      <c r="AB607" s="46"/>
    </row>
    <row r="608" spans="1:29" ht="42" customHeight="1" x14ac:dyDescent="0.2">
      <c r="A608" s="53"/>
      <c r="B608" s="64"/>
      <c r="C608" s="46"/>
      <c r="H608" s="46"/>
      <c r="M608" s="46"/>
      <c r="R608" s="46"/>
      <c r="W608" s="46"/>
      <c r="AB608" s="46"/>
    </row>
    <row r="609" spans="1:28" ht="42" customHeight="1" x14ac:dyDescent="0.2">
      <c r="A609" s="53"/>
      <c r="B609" s="64"/>
      <c r="C609" s="46"/>
      <c r="H609" s="46"/>
      <c r="M609" s="46"/>
      <c r="R609" s="46"/>
      <c r="W609" s="46"/>
      <c r="AB609" s="46"/>
    </row>
    <row r="610" spans="1:28" ht="42" customHeight="1" x14ac:dyDescent="0.2">
      <c r="A610" s="53"/>
      <c r="B610" s="64"/>
      <c r="C610" s="46"/>
      <c r="H610" s="46"/>
      <c r="M610" s="46"/>
      <c r="R610" s="46"/>
      <c r="W610" s="46"/>
      <c r="AB610" s="46"/>
    </row>
    <row r="611" spans="1:28" ht="42" customHeight="1" x14ac:dyDescent="0.2">
      <c r="A611" s="53"/>
      <c r="B611" s="64"/>
      <c r="C611" s="46"/>
      <c r="H611" s="46"/>
      <c r="M611" s="46"/>
      <c r="R611" s="46"/>
      <c r="W611" s="46"/>
      <c r="AB611" s="46"/>
    </row>
    <row r="612" spans="1:28" ht="42" customHeight="1" x14ac:dyDescent="0.2">
      <c r="A612" s="53"/>
      <c r="B612" s="64"/>
      <c r="C612" s="46"/>
      <c r="H612" s="46"/>
      <c r="M612" s="46"/>
      <c r="R612" s="46"/>
      <c r="W612" s="46"/>
      <c r="AB612" s="46"/>
    </row>
    <row r="613" spans="1:28" ht="42" customHeight="1" x14ac:dyDescent="0.2">
      <c r="A613" s="53"/>
      <c r="B613" s="64"/>
      <c r="C613" s="46"/>
      <c r="H613" s="46"/>
      <c r="M613" s="46"/>
      <c r="R613" s="46"/>
      <c r="W613" s="46"/>
      <c r="AB613" s="46"/>
    </row>
    <row r="614" spans="1:28" ht="42" customHeight="1" x14ac:dyDescent="0.2">
      <c r="A614" s="53"/>
      <c r="B614" s="64"/>
      <c r="C614" s="46"/>
      <c r="H614" s="46"/>
      <c r="M614" s="46"/>
      <c r="R614" s="46"/>
      <c r="W614" s="46"/>
      <c r="AB614" s="46"/>
    </row>
    <row r="615" spans="1:28" ht="42" customHeight="1" x14ac:dyDescent="0.2">
      <c r="A615" s="53"/>
      <c r="B615" s="64"/>
      <c r="C615" s="46"/>
      <c r="H615" s="46"/>
      <c r="M615" s="46"/>
      <c r="R615" s="46"/>
      <c r="W615" s="46"/>
      <c r="AB615" s="46"/>
    </row>
    <row r="616" spans="1:28" ht="42" customHeight="1" x14ac:dyDescent="0.2">
      <c r="A616" s="53"/>
      <c r="B616" s="64"/>
      <c r="C616" s="46"/>
      <c r="H616" s="46"/>
      <c r="M616" s="46"/>
      <c r="R616" s="46"/>
      <c r="W616" s="46"/>
      <c r="AB616" s="46"/>
    </row>
    <row r="617" spans="1:28" ht="42" customHeight="1" x14ac:dyDescent="0.2">
      <c r="A617" s="53"/>
      <c r="B617" s="64"/>
      <c r="C617" s="46"/>
      <c r="H617" s="46"/>
      <c r="M617" s="46"/>
      <c r="R617" s="46"/>
      <c r="W617" s="46"/>
      <c r="AB617" s="46"/>
    </row>
    <row r="618" spans="1:28" ht="42" customHeight="1" x14ac:dyDescent="0.2">
      <c r="A618" s="53"/>
      <c r="B618" s="64"/>
      <c r="C618" s="46"/>
      <c r="H618" s="46"/>
      <c r="M618" s="46"/>
      <c r="R618" s="46"/>
      <c r="W618" s="46"/>
      <c r="AB618" s="46"/>
    </row>
    <row r="619" spans="1:28" ht="42" customHeight="1" x14ac:dyDescent="0.2">
      <c r="A619" s="53"/>
      <c r="B619" s="64"/>
      <c r="C619" s="46"/>
      <c r="H619" s="46"/>
      <c r="M619" s="46"/>
      <c r="R619" s="46"/>
      <c r="W619" s="46"/>
      <c r="AB619" s="46"/>
    </row>
    <row r="620" spans="1:28" ht="42" customHeight="1" x14ac:dyDescent="0.2">
      <c r="A620" s="53"/>
      <c r="B620" s="64"/>
      <c r="C620" s="46"/>
      <c r="H620" s="46"/>
      <c r="M620" s="46"/>
      <c r="R620" s="46"/>
      <c r="W620" s="46"/>
      <c r="AB620" s="46"/>
    </row>
    <row r="621" spans="1:28" ht="42" customHeight="1" x14ac:dyDescent="0.2">
      <c r="A621" s="53"/>
      <c r="B621" s="64"/>
      <c r="C621" s="46"/>
      <c r="H621" s="46"/>
      <c r="M621" s="46"/>
      <c r="R621" s="46"/>
      <c r="W621" s="46"/>
      <c r="AB621" s="46"/>
    </row>
    <row r="622" spans="1:28" ht="42" customHeight="1" x14ac:dyDescent="0.2">
      <c r="A622" s="53"/>
      <c r="B622" s="64"/>
      <c r="C622" s="46"/>
      <c r="H622" s="46"/>
      <c r="M622" s="46"/>
      <c r="R622" s="46"/>
      <c r="W622" s="46"/>
      <c r="AB622" s="46"/>
    </row>
    <row r="623" spans="1:28" ht="42" customHeight="1" x14ac:dyDescent="0.2">
      <c r="A623" s="53"/>
      <c r="B623" s="64"/>
      <c r="C623" s="46"/>
      <c r="H623" s="46"/>
      <c r="M623" s="46"/>
      <c r="R623" s="46"/>
      <c r="W623" s="46"/>
      <c r="AB623" s="46"/>
    </row>
    <row r="624" spans="1:28" ht="42" customHeight="1" x14ac:dyDescent="0.2">
      <c r="A624" s="53"/>
      <c r="B624" s="64"/>
      <c r="C624" s="46"/>
      <c r="H624" s="46"/>
      <c r="M624" s="46"/>
      <c r="R624" s="46"/>
      <c r="W624" s="46"/>
      <c r="AB624" s="46"/>
    </row>
    <row r="625" spans="1:28" ht="42" customHeight="1" x14ac:dyDescent="0.2">
      <c r="A625" s="53"/>
      <c r="B625" s="64"/>
      <c r="C625" s="46"/>
      <c r="H625" s="46"/>
      <c r="M625" s="46"/>
      <c r="R625" s="46"/>
      <c r="W625" s="46"/>
      <c r="AB625" s="46"/>
    </row>
    <row r="626" spans="1:28" ht="42" customHeight="1" x14ac:dyDescent="0.2">
      <c r="A626" s="53"/>
      <c r="B626" s="64"/>
      <c r="C626" s="46"/>
      <c r="H626" s="46"/>
      <c r="M626" s="46"/>
      <c r="R626" s="46"/>
      <c r="W626" s="46"/>
      <c r="AB626" s="46"/>
    </row>
    <row r="627" spans="1:28" ht="42" customHeight="1" x14ac:dyDescent="0.2">
      <c r="A627" s="53"/>
      <c r="B627" s="64"/>
      <c r="C627" s="46"/>
      <c r="H627" s="46"/>
      <c r="M627" s="46"/>
      <c r="R627" s="46"/>
      <c r="W627" s="46"/>
      <c r="AB627" s="46"/>
    </row>
    <row r="628" spans="1:28" ht="42" customHeight="1" x14ac:dyDescent="0.2">
      <c r="A628" s="53"/>
      <c r="B628" s="64"/>
      <c r="C628" s="46"/>
      <c r="H628" s="46"/>
      <c r="M628" s="46"/>
      <c r="R628" s="46"/>
      <c r="W628" s="46"/>
      <c r="AB628" s="46"/>
    </row>
    <row r="629" spans="1:28" ht="42" customHeight="1" x14ac:dyDescent="0.2">
      <c r="A629" s="53"/>
      <c r="B629" s="64"/>
      <c r="C629" s="46"/>
      <c r="H629" s="46"/>
      <c r="M629" s="46"/>
      <c r="R629" s="46"/>
      <c r="W629" s="46"/>
      <c r="AB629" s="46"/>
    </row>
    <row r="630" spans="1:28" ht="42" customHeight="1" x14ac:dyDescent="0.2">
      <c r="A630" s="53"/>
      <c r="B630" s="64"/>
      <c r="C630" s="46"/>
      <c r="H630" s="46"/>
      <c r="M630" s="46"/>
      <c r="R630" s="46"/>
      <c r="W630" s="46"/>
      <c r="AB630" s="46"/>
    </row>
    <row r="631" spans="1:28" ht="42" customHeight="1" x14ac:dyDescent="0.2">
      <c r="A631" s="53"/>
      <c r="B631" s="64"/>
      <c r="C631" s="46"/>
      <c r="H631" s="46"/>
      <c r="M631" s="46"/>
      <c r="R631" s="46"/>
      <c r="W631" s="46"/>
      <c r="AB631" s="46"/>
    </row>
    <row r="632" spans="1:28" ht="42" customHeight="1" x14ac:dyDescent="0.2">
      <c r="A632" s="53"/>
      <c r="B632" s="64"/>
      <c r="C632" s="46"/>
      <c r="H632" s="46"/>
      <c r="M632" s="46"/>
      <c r="R632" s="46"/>
      <c r="W632" s="46"/>
      <c r="AB632" s="46"/>
    </row>
    <row r="633" spans="1:28" ht="42" customHeight="1" x14ac:dyDescent="0.2">
      <c r="A633" s="53"/>
      <c r="B633" s="64"/>
      <c r="C633" s="46"/>
      <c r="H633" s="46"/>
      <c r="M633" s="46"/>
      <c r="R633" s="46"/>
      <c r="W633" s="46"/>
      <c r="AB633" s="46"/>
    </row>
    <row r="634" spans="1:28" ht="42" customHeight="1" x14ac:dyDescent="0.2">
      <c r="A634" s="53"/>
      <c r="B634" s="64"/>
      <c r="C634" s="46"/>
      <c r="H634" s="46"/>
      <c r="M634" s="46"/>
      <c r="R634" s="46"/>
      <c r="W634" s="46"/>
      <c r="AB634" s="46"/>
    </row>
    <row r="635" spans="1:28" ht="42" customHeight="1" x14ac:dyDescent="0.2">
      <c r="A635" s="53"/>
      <c r="B635" s="64"/>
      <c r="C635" s="46"/>
      <c r="H635" s="46"/>
      <c r="M635" s="46"/>
      <c r="R635" s="46"/>
      <c r="W635" s="46"/>
      <c r="AB635" s="46"/>
    </row>
    <row r="636" spans="1:28" ht="42" customHeight="1" x14ac:dyDescent="0.2">
      <c r="A636" s="53"/>
      <c r="B636" s="64"/>
      <c r="C636" s="46"/>
      <c r="H636" s="46"/>
      <c r="M636" s="46"/>
      <c r="R636" s="46"/>
      <c r="W636" s="46"/>
      <c r="AB636" s="46"/>
    </row>
    <row r="637" spans="1:28" ht="42" customHeight="1" x14ac:dyDescent="0.2">
      <c r="A637" s="53"/>
      <c r="B637" s="64"/>
      <c r="C637" s="46"/>
      <c r="H637" s="46"/>
      <c r="M637" s="46"/>
      <c r="R637" s="46"/>
      <c r="W637" s="46"/>
      <c r="AB637" s="46"/>
    </row>
    <row r="638" spans="1:28" ht="42" customHeight="1" x14ac:dyDescent="0.2">
      <c r="A638" s="53"/>
      <c r="B638" s="64"/>
      <c r="C638" s="46"/>
      <c r="H638" s="46"/>
      <c r="M638" s="46"/>
      <c r="R638" s="46"/>
      <c r="W638" s="46"/>
      <c r="AB638" s="46"/>
    </row>
    <row r="639" spans="1:28" ht="42" customHeight="1" x14ac:dyDescent="0.2">
      <c r="A639" s="53"/>
      <c r="B639" s="64"/>
      <c r="C639" s="46"/>
      <c r="H639" s="46"/>
      <c r="M639" s="46"/>
      <c r="R639" s="46"/>
      <c r="W639" s="46"/>
      <c r="AB639" s="46"/>
    </row>
    <row r="640" spans="1:28" ht="42" customHeight="1" x14ac:dyDescent="0.2">
      <c r="A640" s="53"/>
      <c r="B640" s="64"/>
      <c r="C640" s="46"/>
      <c r="H640" s="46"/>
      <c r="M640" s="46"/>
      <c r="R640" s="46"/>
      <c r="W640" s="46"/>
      <c r="AB640" s="46"/>
    </row>
    <row r="641" spans="1:28" ht="42" customHeight="1" x14ac:dyDescent="0.2">
      <c r="A641" s="53"/>
      <c r="B641" s="64"/>
      <c r="C641" s="46"/>
      <c r="H641" s="46"/>
      <c r="M641" s="46"/>
      <c r="R641" s="46"/>
      <c r="W641" s="46"/>
      <c r="AB641" s="46"/>
    </row>
    <row r="642" spans="1:28" ht="42" customHeight="1" x14ac:dyDescent="0.2">
      <c r="A642" s="53"/>
      <c r="B642" s="64"/>
      <c r="C642" s="46"/>
      <c r="H642" s="46"/>
      <c r="M642" s="46"/>
      <c r="R642" s="46"/>
      <c r="W642" s="46"/>
      <c r="AB642" s="46"/>
    </row>
    <row r="643" spans="1:28" ht="42" customHeight="1" x14ac:dyDescent="0.2">
      <c r="A643" s="53"/>
      <c r="B643" s="64"/>
      <c r="C643" s="46"/>
      <c r="H643" s="46"/>
      <c r="M643" s="46"/>
      <c r="R643" s="46"/>
      <c r="W643" s="46"/>
      <c r="AB643" s="46"/>
    </row>
    <row r="644" spans="1:28" ht="42" customHeight="1" x14ac:dyDescent="0.2">
      <c r="A644" s="53"/>
      <c r="B644" s="64"/>
      <c r="C644" s="46"/>
      <c r="H644" s="46"/>
      <c r="M644" s="46"/>
      <c r="R644" s="46"/>
      <c r="W644" s="46"/>
      <c r="AB644" s="46"/>
    </row>
    <row r="645" spans="1:28" ht="42" customHeight="1" x14ac:dyDescent="0.2">
      <c r="A645" s="53"/>
      <c r="B645" s="64"/>
      <c r="C645" s="46"/>
      <c r="H645" s="46"/>
      <c r="M645" s="46"/>
      <c r="R645" s="46"/>
      <c r="W645" s="46"/>
      <c r="AB645" s="46"/>
    </row>
    <row r="646" spans="1:28" ht="42" customHeight="1" x14ac:dyDescent="0.2">
      <c r="A646" s="53"/>
      <c r="B646" s="64"/>
      <c r="C646" s="46"/>
      <c r="H646" s="46"/>
      <c r="M646" s="46"/>
      <c r="R646" s="46"/>
      <c r="W646" s="46"/>
      <c r="AB646" s="46"/>
    </row>
    <row r="647" spans="1:28" ht="42" customHeight="1" x14ac:dyDescent="0.2">
      <c r="A647" s="53"/>
      <c r="B647" s="64"/>
      <c r="C647" s="46"/>
      <c r="H647" s="46"/>
      <c r="M647" s="46"/>
      <c r="R647" s="46"/>
      <c r="W647" s="46"/>
      <c r="AB647" s="46"/>
    </row>
    <row r="648" spans="1:28" ht="42" customHeight="1" x14ac:dyDescent="0.2">
      <c r="A648" s="53"/>
      <c r="B648" s="64"/>
      <c r="C648" s="46"/>
      <c r="H648" s="46"/>
      <c r="M648" s="46"/>
      <c r="R648" s="46"/>
      <c r="W648" s="46"/>
      <c r="AB648" s="46"/>
    </row>
    <row r="649" spans="1:28" ht="42" customHeight="1" x14ac:dyDescent="0.2">
      <c r="A649" s="53"/>
      <c r="B649" s="64"/>
      <c r="C649" s="46"/>
      <c r="H649" s="46"/>
      <c r="M649" s="46"/>
      <c r="R649" s="46"/>
      <c r="W649" s="46"/>
      <c r="AB649" s="46"/>
    </row>
    <row r="650" spans="1:28" ht="42" customHeight="1" x14ac:dyDescent="0.2">
      <c r="A650" s="53"/>
      <c r="B650" s="64"/>
      <c r="C650" s="46"/>
      <c r="H650" s="46"/>
      <c r="M650" s="46"/>
      <c r="R650" s="46"/>
      <c r="W650" s="46"/>
      <c r="AB650" s="46"/>
    </row>
    <row r="651" spans="1:28" ht="42" customHeight="1" x14ac:dyDescent="0.2">
      <c r="A651" s="53"/>
      <c r="B651" s="64"/>
      <c r="C651" s="46"/>
      <c r="H651" s="46"/>
      <c r="M651" s="46"/>
      <c r="R651" s="46"/>
      <c r="W651" s="46"/>
      <c r="AB651" s="46"/>
    </row>
    <row r="652" spans="1:28" ht="42" customHeight="1" x14ac:dyDescent="0.2">
      <c r="A652" s="53"/>
      <c r="B652" s="64"/>
      <c r="C652" s="46"/>
      <c r="H652" s="46"/>
      <c r="M652" s="46"/>
      <c r="R652" s="46"/>
      <c r="W652" s="46"/>
      <c r="AB652" s="46"/>
    </row>
    <row r="653" spans="1:28" ht="42" customHeight="1" x14ac:dyDescent="0.2">
      <c r="A653" s="53"/>
      <c r="B653" s="64"/>
      <c r="C653" s="46"/>
      <c r="H653" s="46"/>
      <c r="M653" s="46"/>
      <c r="R653" s="46"/>
      <c r="W653" s="46"/>
      <c r="AB653" s="46"/>
    </row>
    <row r="654" spans="1:28" ht="42" customHeight="1" x14ac:dyDescent="0.2">
      <c r="A654" s="53"/>
      <c r="B654" s="64"/>
      <c r="C654" s="46"/>
      <c r="H654" s="46"/>
      <c r="M654" s="46"/>
      <c r="R654" s="46"/>
      <c r="W654" s="46"/>
      <c r="AB654" s="46"/>
    </row>
    <row r="655" spans="1:28" ht="42" customHeight="1" x14ac:dyDescent="0.2">
      <c r="A655" s="53"/>
      <c r="B655" s="64"/>
      <c r="C655" s="46"/>
      <c r="H655" s="46"/>
      <c r="M655" s="46"/>
      <c r="R655" s="46"/>
      <c r="W655" s="46"/>
      <c r="AB655" s="46"/>
    </row>
    <row r="656" spans="1:28" ht="42" customHeight="1" x14ac:dyDescent="0.2">
      <c r="A656" s="53"/>
      <c r="B656" s="64"/>
      <c r="C656" s="46"/>
      <c r="H656" s="46"/>
      <c r="M656" s="46"/>
      <c r="R656" s="46"/>
      <c r="W656" s="46"/>
      <c r="AB656" s="46"/>
    </row>
    <row r="657" spans="1:28" ht="42" customHeight="1" x14ac:dyDescent="0.2">
      <c r="A657" s="53"/>
      <c r="B657" s="64"/>
      <c r="C657" s="46"/>
      <c r="H657" s="46"/>
      <c r="M657" s="46"/>
      <c r="R657" s="46"/>
      <c r="W657" s="46"/>
      <c r="AB657" s="46"/>
    </row>
    <row r="658" spans="1:28" ht="42" customHeight="1" x14ac:dyDescent="0.2">
      <c r="A658" s="53"/>
      <c r="B658" s="64"/>
      <c r="C658" s="46"/>
      <c r="H658" s="46"/>
      <c r="M658" s="46"/>
      <c r="R658" s="46"/>
      <c r="W658" s="46"/>
      <c r="AB658" s="46"/>
    </row>
    <row r="659" spans="1:28" ht="42" customHeight="1" x14ac:dyDescent="0.2">
      <c r="A659" s="53"/>
      <c r="B659" s="64"/>
      <c r="C659" s="46"/>
      <c r="H659" s="46"/>
      <c r="M659" s="46"/>
      <c r="R659" s="46"/>
      <c r="W659" s="46"/>
      <c r="AB659" s="46"/>
    </row>
    <row r="660" spans="1:28" ht="42" customHeight="1" x14ac:dyDescent="0.2">
      <c r="A660" s="53"/>
      <c r="B660" s="64"/>
      <c r="C660" s="46"/>
      <c r="H660" s="46"/>
      <c r="M660" s="46"/>
      <c r="R660" s="46"/>
      <c r="W660" s="46"/>
      <c r="AB660" s="46"/>
    </row>
    <row r="661" spans="1:28" ht="42" customHeight="1" x14ac:dyDescent="0.2">
      <c r="A661" s="53"/>
      <c r="B661" s="64"/>
      <c r="C661" s="46"/>
      <c r="H661" s="46"/>
      <c r="M661" s="46"/>
      <c r="R661" s="46"/>
      <c r="W661" s="46"/>
      <c r="AB661" s="46"/>
    </row>
    <row r="662" spans="1:28" ht="42" customHeight="1" x14ac:dyDescent="0.2">
      <c r="A662" s="53"/>
      <c r="B662" s="64"/>
      <c r="C662" s="46"/>
      <c r="H662" s="46"/>
      <c r="M662" s="46"/>
      <c r="R662" s="46"/>
      <c r="W662" s="46"/>
      <c r="AB662" s="46"/>
    </row>
    <row r="663" spans="1:28" ht="42" customHeight="1" x14ac:dyDescent="0.2">
      <c r="A663" s="53"/>
      <c r="B663" s="64"/>
      <c r="C663" s="46"/>
      <c r="H663" s="46"/>
      <c r="M663" s="46"/>
      <c r="R663" s="46"/>
      <c r="W663" s="46"/>
      <c r="AB663" s="46"/>
    </row>
    <row r="664" spans="1:28" ht="42" customHeight="1" x14ac:dyDescent="0.2">
      <c r="A664" s="53"/>
      <c r="B664" s="64"/>
      <c r="C664" s="46"/>
      <c r="H664" s="46"/>
      <c r="M664" s="46"/>
      <c r="R664" s="46"/>
      <c r="W664" s="46"/>
      <c r="AB664" s="46"/>
    </row>
    <row r="665" spans="1:28" ht="42" customHeight="1" x14ac:dyDescent="0.2">
      <c r="A665" s="53"/>
      <c r="B665" s="64"/>
      <c r="C665" s="46"/>
      <c r="H665" s="46"/>
      <c r="M665" s="46"/>
      <c r="R665" s="46"/>
      <c r="W665" s="46"/>
      <c r="AB665" s="46"/>
    </row>
    <row r="666" spans="1:28" ht="42" customHeight="1" x14ac:dyDescent="0.2">
      <c r="A666" s="53"/>
      <c r="B666" s="64"/>
      <c r="C666" s="46"/>
      <c r="H666" s="46"/>
      <c r="M666" s="46"/>
      <c r="R666" s="46"/>
      <c r="W666" s="46"/>
      <c r="AB666" s="46"/>
    </row>
    <row r="667" spans="1:28" ht="42" customHeight="1" x14ac:dyDescent="0.2">
      <c r="A667" s="53"/>
      <c r="B667" s="64"/>
      <c r="C667" s="46"/>
      <c r="H667" s="46"/>
      <c r="M667" s="46"/>
      <c r="R667" s="46"/>
      <c r="W667" s="46"/>
      <c r="AB667" s="46"/>
    </row>
    <row r="668" spans="1:28" ht="42" customHeight="1" x14ac:dyDescent="0.2">
      <c r="A668" s="53"/>
      <c r="B668" s="64"/>
      <c r="C668" s="46"/>
      <c r="H668" s="46"/>
      <c r="M668" s="46"/>
      <c r="R668" s="46"/>
      <c r="W668" s="46"/>
      <c r="AB668" s="46"/>
    </row>
    <row r="669" spans="1:28" ht="42" customHeight="1" x14ac:dyDescent="0.2">
      <c r="A669" s="53"/>
      <c r="B669" s="64"/>
      <c r="C669" s="46"/>
      <c r="H669" s="46"/>
      <c r="M669" s="46"/>
      <c r="R669" s="46"/>
      <c r="W669" s="46"/>
      <c r="AB669" s="46"/>
    </row>
  </sheetData>
  <mergeCells count="317">
    <mergeCell ref="W139:W153"/>
    <mergeCell ref="X139:X153"/>
    <mergeCell ref="AB139:AB153"/>
    <mergeCell ref="X114:X129"/>
    <mergeCell ref="B582:AB582"/>
    <mergeCell ref="X356:X482"/>
    <mergeCell ref="AB356:AB482"/>
    <mergeCell ref="D491:D499"/>
    <mergeCell ref="H491:H499"/>
    <mergeCell ref="I491:I499"/>
    <mergeCell ref="M491:M499"/>
    <mergeCell ref="N491:N499"/>
    <mergeCell ref="R491:R499"/>
    <mergeCell ref="S491:S499"/>
    <mergeCell ref="W491:W499"/>
    <mergeCell ref="X489:X490"/>
    <mergeCell ref="X491:X499"/>
    <mergeCell ref="AB489:AB490"/>
    <mergeCell ref="S483:S487"/>
    <mergeCell ref="W483:W487"/>
    <mergeCell ref="X483:X487"/>
    <mergeCell ref="AB483:AB487"/>
    <mergeCell ref="D489:D490"/>
    <mergeCell ref="H489:H490"/>
    <mergeCell ref="A114:A129"/>
    <mergeCell ref="C114:C129"/>
    <mergeCell ref="D114:D129"/>
    <mergeCell ref="S114:S129"/>
    <mergeCell ref="H483:H487"/>
    <mergeCell ref="W50:W109"/>
    <mergeCell ref="X50:X109"/>
    <mergeCell ref="AB50:AB109"/>
    <mergeCell ref="C110:C113"/>
    <mergeCell ref="D110:D113"/>
    <mergeCell ref="H110:H113"/>
    <mergeCell ref="I110:I113"/>
    <mergeCell ref="M110:M113"/>
    <mergeCell ref="N110:N113"/>
    <mergeCell ref="R110:R113"/>
    <mergeCell ref="S110:S113"/>
    <mergeCell ref="W110:W113"/>
    <mergeCell ref="X110:X113"/>
    <mergeCell ref="AB110:AB113"/>
    <mergeCell ref="C50:C109"/>
    <mergeCell ref="D50:D109"/>
    <mergeCell ref="H50:H109"/>
    <mergeCell ref="AB173:AB190"/>
    <mergeCell ref="AB130:AB138"/>
    <mergeCell ref="M50:M109"/>
    <mergeCell ref="N50:N109"/>
    <mergeCell ref="R50:R109"/>
    <mergeCell ref="S50:S109"/>
    <mergeCell ref="I139:I153"/>
    <mergeCell ref="M139:M153"/>
    <mergeCell ref="N139:N153"/>
    <mergeCell ref="R139:R153"/>
    <mergeCell ref="S139:S153"/>
    <mergeCell ref="S10:S28"/>
    <mergeCell ref="W10:W28"/>
    <mergeCell ref="B9:AB9"/>
    <mergeCell ref="W1:AB1"/>
    <mergeCell ref="W2:AB2"/>
    <mergeCell ref="M5:Q5"/>
    <mergeCell ref="R5:V5"/>
    <mergeCell ref="W5:AA5"/>
    <mergeCell ref="AB114:AB129"/>
    <mergeCell ref="B3:AB3"/>
    <mergeCell ref="X10:X28"/>
    <mergeCell ref="AB10:AB28"/>
    <mergeCell ref="AB4:AB6"/>
    <mergeCell ref="C41:C49"/>
    <mergeCell ref="D41:D49"/>
    <mergeCell ref="H41:H49"/>
    <mergeCell ref="M41:M49"/>
    <mergeCell ref="N41:N49"/>
    <mergeCell ref="H5:L5"/>
    <mergeCell ref="X41:X49"/>
    <mergeCell ref="AB41:AB49"/>
    <mergeCell ref="AB29:AB40"/>
    <mergeCell ref="M29:M40"/>
    <mergeCell ref="H29:H40"/>
    <mergeCell ref="W29:W40"/>
    <mergeCell ref="N29:N40"/>
    <mergeCell ref="R29:R40"/>
    <mergeCell ref="S29:S40"/>
    <mergeCell ref="X29:X40"/>
    <mergeCell ref="W41:W49"/>
    <mergeCell ref="A192:A194"/>
    <mergeCell ref="C5:G5"/>
    <mergeCell ref="R41:R49"/>
    <mergeCell ref="S41:S49"/>
    <mergeCell ref="A110:A113"/>
    <mergeCell ref="A130:A138"/>
    <mergeCell ref="C130:C138"/>
    <mergeCell ref="D130:D138"/>
    <mergeCell ref="H130:H138"/>
    <mergeCell ref="I130:I138"/>
    <mergeCell ref="M130:M138"/>
    <mergeCell ref="N130:N138"/>
    <mergeCell ref="R130:R138"/>
    <mergeCell ref="A8:AB8"/>
    <mergeCell ref="A4:A6"/>
    <mergeCell ref="B4:B6"/>
    <mergeCell ref="C4:AA4"/>
    <mergeCell ref="A29:A40"/>
    <mergeCell ref="A10:A28"/>
    <mergeCell ref="I10:I28"/>
    <mergeCell ref="M10:M28"/>
    <mergeCell ref="N10:N28"/>
    <mergeCell ref="R10:R28"/>
    <mergeCell ref="A41:A49"/>
    <mergeCell ref="I41:I49"/>
    <mergeCell ref="A139:A153"/>
    <mergeCell ref="C139:C153"/>
    <mergeCell ref="D139:D153"/>
    <mergeCell ref="H139:H153"/>
    <mergeCell ref="C29:C40"/>
    <mergeCell ref="D29:D40"/>
    <mergeCell ref="C10:C28"/>
    <mergeCell ref="H10:H28"/>
    <mergeCell ref="I29:I40"/>
    <mergeCell ref="D10:D28"/>
    <mergeCell ref="H114:H129"/>
    <mergeCell ref="I114:I129"/>
    <mergeCell ref="R114:R129"/>
    <mergeCell ref="M114:M129"/>
    <mergeCell ref="N114:N129"/>
    <mergeCell ref="A50:A109"/>
    <mergeCell ref="I50:I109"/>
    <mergeCell ref="A173:A190"/>
    <mergeCell ref="W192:W194"/>
    <mergeCell ref="X192:X194"/>
    <mergeCell ref="W130:W138"/>
    <mergeCell ref="X130:X138"/>
    <mergeCell ref="C173:C190"/>
    <mergeCell ref="D173:D190"/>
    <mergeCell ref="H173:H190"/>
    <mergeCell ref="I173:I190"/>
    <mergeCell ref="M173:M190"/>
    <mergeCell ref="N173:N190"/>
    <mergeCell ref="R173:R190"/>
    <mergeCell ref="S173:S190"/>
    <mergeCell ref="W173:W190"/>
    <mergeCell ref="X173:X190"/>
    <mergeCell ref="C192:C194"/>
    <mergeCell ref="D192:D194"/>
    <mergeCell ref="H192:H194"/>
    <mergeCell ref="I192:I194"/>
    <mergeCell ref="M192:M194"/>
    <mergeCell ref="N192:N194"/>
    <mergeCell ref="R192:R194"/>
    <mergeCell ref="S192:S194"/>
    <mergeCell ref="S130:S138"/>
    <mergeCell ref="X536:X541"/>
    <mergeCell ref="W114:W129"/>
    <mergeCell ref="A593:B593"/>
    <mergeCell ref="B580:AB580"/>
    <mergeCell ref="AB514:AB535"/>
    <mergeCell ref="X514:X535"/>
    <mergeCell ref="A514:A535"/>
    <mergeCell ref="S556:S579"/>
    <mergeCell ref="W556:W579"/>
    <mergeCell ref="AB491:AB499"/>
    <mergeCell ref="H500:H502"/>
    <mergeCell ref="I500:I502"/>
    <mergeCell ref="R500:R502"/>
    <mergeCell ref="S500:S502"/>
    <mergeCell ref="W500:W502"/>
    <mergeCell ref="X500:X502"/>
    <mergeCell ref="AB500:AB502"/>
    <mergeCell ref="X503:X510"/>
    <mergeCell ref="AB503:AB510"/>
    <mergeCell ref="A591:B591"/>
    <mergeCell ref="X556:X579"/>
    <mergeCell ref="R514:R535"/>
    <mergeCell ref="S514:S535"/>
    <mergeCell ref="A592:B592"/>
    <mergeCell ref="W356:W482"/>
    <mergeCell ref="A500:A502"/>
    <mergeCell ref="C500:C502"/>
    <mergeCell ref="D500:D502"/>
    <mergeCell ref="M500:M502"/>
    <mergeCell ref="N500:N502"/>
    <mergeCell ref="C491:C499"/>
    <mergeCell ref="A483:A487"/>
    <mergeCell ref="A489:A490"/>
    <mergeCell ref="C489:C490"/>
    <mergeCell ref="I483:I487"/>
    <mergeCell ref="M483:M487"/>
    <mergeCell ref="N483:N487"/>
    <mergeCell ref="R483:R487"/>
    <mergeCell ref="A491:A499"/>
    <mergeCell ref="I489:I490"/>
    <mergeCell ref="M489:M490"/>
    <mergeCell ref="N489:N490"/>
    <mergeCell ref="R489:R490"/>
    <mergeCell ref="S205:S210"/>
    <mergeCell ref="W211:W257"/>
    <mergeCell ref="X211:X257"/>
    <mergeCell ref="AB211:AB257"/>
    <mergeCell ref="W258:W305"/>
    <mergeCell ref="X258:X305"/>
    <mergeCell ref="AB258:AB305"/>
    <mergeCell ref="S258:S305"/>
    <mergeCell ref="AB192:AB194"/>
    <mergeCell ref="W205:W210"/>
    <mergeCell ref="X205:X210"/>
    <mergeCell ref="AB205:AB210"/>
    <mergeCell ref="S211:S257"/>
    <mergeCell ref="B204:AB204"/>
    <mergeCell ref="I205:I210"/>
    <mergeCell ref="M205:M210"/>
    <mergeCell ref="N205:N210"/>
    <mergeCell ref="R205:R210"/>
    <mergeCell ref="I258:I305"/>
    <mergeCell ref="M258:M305"/>
    <mergeCell ref="N258:N305"/>
    <mergeCell ref="R258:R305"/>
    <mergeCell ref="N211:N257"/>
    <mergeCell ref="R211:R257"/>
    <mergeCell ref="AB542:AB555"/>
    <mergeCell ref="A542:A555"/>
    <mergeCell ref="C542:C555"/>
    <mergeCell ref="D542:D555"/>
    <mergeCell ref="H542:H555"/>
    <mergeCell ref="I542:I555"/>
    <mergeCell ref="M542:M555"/>
    <mergeCell ref="N542:N555"/>
    <mergeCell ref="R542:R555"/>
    <mergeCell ref="S542:S555"/>
    <mergeCell ref="X542:X555"/>
    <mergeCell ref="W542:W555"/>
    <mergeCell ref="AB556:AB579"/>
    <mergeCell ref="A556:A579"/>
    <mergeCell ref="C556:C579"/>
    <mergeCell ref="D556:D579"/>
    <mergeCell ref="H556:H579"/>
    <mergeCell ref="I556:I579"/>
    <mergeCell ref="M556:M579"/>
    <mergeCell ref="N556:N579"/>
    <mergeCell ref="R556:R579"/>
    <mergeCell ref="M211:M257"/>
    <mergeCell ref="A205:A210"/>
    <mergeCell ref="C205:C210"/>
    <mergeCell ref="D205:D210"/>
    <mergeCell ref="A503:A510"/>
    <mergeCell ref="I503:I510"/>
    <mergeCell ref="A536:A541"/>
    <mergeCell ref="R536:R541"/>
    <mergeCell ref="N503:N510"/>
    <mergeCell ref="R503:R510"/>
    <mergeCell ref="C503:C510"/>
    <mergeCell ref="D503:D510"/>
    <mergeCell ref="H503:H510"/>
    <mergeCell ref="M503:M510"/>
    <mergeCell ref="C536:C541"/>
    <mergeCell ref="D536:D541"/>
    <mergeCell ref="H536:H541"/>
    <mergeCell ref="I536:I541"/>
    <mergeCell ref="M536:M541"/>
    <mergeCell ref="N536:N541"/>
    <mergeCell ref="A306:A355"/>
    <mergeCell ref="C306:C355"/>
    <mergeCell ref="D306:D355"/>
    <mergeCell ref="A211:A257"/>
    <mergeCell ref="I306:I355"/>
    <mergeCell ref="A356:A482"/>
    <mergeCell ref="C483:C487"/>
    <mergeCell ref="D483:D487"/>
    <mergeCell ref="C356:C482"/>
    <mergeCell ref="D356:D482"/>
    <mergeCell ref="H356:H482"/>
    <mergeCell ref="I356:I482"/>
    <mergeCell ref="H205:H210"/>
    <mergeCell ref="C211:C257"/>
    <mergeCell ref="D211:D257"/>
    <mergeCell ref="I211:I257"/>
    <mergeCell ref="A258:A305"/>
    <mergeCell ref="C258:C305"/>
    <mergeCell ref="D258:D305"/>
    <mergeCell ref="H258:H305"/>
    <mergeCell ref="H211:H257"/>
    <mergeCell ref="AB536:AB541"/>
    <mergeCell ref="X306:X355"/>
    <mergeCell ref="AB306:AB355"/>
    <mergeCell ref="W514:W535"/>
    <mergeCell ref="C514:C535"/>
    <mergeCell ref="D514:D535"/>
    <mergeCell ref="S536:S541"/>
    <mergeCell ref="W536:W541"/>
    <mergeCell ref="S503:S510"/>
    <mergeCell ref="W503:W510"/>
    <mergeCell ref="M306:M355"/>
    <mergeCell ref="N306:N355"/>
    <mergeCell ref="R306:R355"/>
    <mergeCell ref="S306:S355"/>
    <mergeCell ref="W306:W355"/>
    <mergeCell ref="S489:S490"/>
    <mergeCell ref="W489:W490"/>
    <mergeCell ref="H514:H535"/>
    <mergeCell ref="N514:N535"/>
    <mergeCell ref="M514:M535"/>
    <mergeCell ref="I514:I535"/>
    <mergeCell ref="R356:R482"/>
    <mergeCell ref="S356:S482"/>
    <mergeCell ref="H306:H355"/>
    <mergeCell ref="X196:X203"/>
    <mergeCell ref="AB196:AB203"/>
    <mergeCell ref="C196:C203"/>
    <mergeCell ref="D196:D203"/>
    <mergeCell ref="H196:H203"/>
    <mergeCell ref="I196:I203"/>
    <mergeCell ref="M196:M203"/>
    <mergeCell ref="N196:N203"/>
    <mergeCell ref="R196:R203"/>
    <mergeCell ref="S196:S203"/>
    <mergeCell ref="W196:W203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2" firstPageNumber="6" fitToHeight="0" orientation="landscape" useFirstPageNumber="1" r:id="rId1"/>
  <headerFooter alignWithMargins="0">
    <oddHeader>&amp;C&amp;P</oddHeader>
  </headerFooter>
  <rowBreaks count="11" manualBreakCount="11">
    <brk id="40" max="27" man="1"/>
    <brk id="80" max="27" man="1"/>
    <brk id="126" max="27" man="1"/>
    <brk id="172" max="27" man="1"/>
    <brk id="218" max="27" man="1"/>
    <brk id="267" max="27" man="1"/>
    <brk id="319" max="27" man="1"/>
    <brk id="372" max="27" man="1"/>
    <brk id="482" max="27" man="1"/>
    <brk id="529" max="27" man="1"/>
    <brk id="570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82"/>
  <sheetViews>
    <sheetView showRuler="0" view="pageBreakPreview" zoomScale="90" zoomScaleNormal="79" zoomScaleSheetLayoutView="90" zoomScalePageLayoutView="70" workbookViewId="0">
      <selection activeCell="K2" sqref="K2"/>
    </sheetView>
  </sheetViews>
  <sheetFormatPr defaultColWidth="8.7109375" defaultRowHeight="12.75" outlineLevelRow="1" x14ac:dyDescent="0.2"/>
  <cols>
    <col min="1" max="1" width="11" style="19" customWidth="1"/>
    <col min="2" max="2" width="26.28515625" customWidth="1"/>
    <col min="3" max="3" width="10.28515625" style="20" customWidth="1"/>
    <col min="4" max="4" width="13.5703125" style="21" customWidth="1"/>
    <col min="5" max="5" width="7.7109375" style="21" customWidth="1"/>
    <col min="6" max="6" width="13.28515625" style="21" customWidth="1"/>
    <col min="7" max="7" width="9.5703125" style="21" customWidth="1"/>
    <col min="8" max="8" width="11.140625" style="21" customWidth="1"/>
    <col min="9" max="9" width="10.140625" style="21" customWidth="1"/>
    <col min="10" max="10" width="9" style="21" customWidth="1"/>
    <col min="11" max="11" width="11" style="3" customWidth="1"/>
    <col min="12" max="12" width="8.85546875" style="3" customWidth="1"/>
    <col min="13" max="13" width="10.85546875" style="6" customWidth="1"/>
    <col min="14" max="14" width="11" style="6" customWidth="1"/>
    <col min="15" max="15" width="7.5703125" style="25" customWidth="1"/>
    <col min="16" max="16" width="10.85546875" style="26" customWidth="1"/>
    <col min="17" max="17" width="9" style="26" customWidth="1"/>
    <col min="18" max="18" width="10.85546875" style="6" customWidth="1"/>
    <col min="19" max="19" width="12.85546875" style="6" customWidth="1"/>
    <col min="20" max="20" width="7.7109375" style="25" customWidth="1"/>
    <col min="21" max="21" width="12.7109375" style="26" customWidth="1"/>
    <col min="22" max="22" width="9.85546875" style="26" customWidth="1"/>
    <col min="23" max="23" width="12.5703125" style="6" customWidth="1"/>
    <col min="24" max="24" width="10.7109375" style="6" customWidth="1"/>
    <col min="25" max="25" width="9.140625" style="25" customWidth="1"/>
    <col min="26" max="26" width="11" style="26" customWidth="1"/>
    <col min="27" max="27" width="9.7109375" style="6" customWidth="1"/>
    <col min="28" max="28" width="10.85546875" style="6" customWidth="1"/>
    <col min="29" max="29" width="10.140625" style="6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69"/>
      <c r="B1" s="61"/>
      <c r="C1" s="182"/>
      <c r="D1" s="61"/>
      <c r="E1" s="182"/>
      <c r="F1" s="61"/>
      <c r="G1" s="61"/>
      <c r="H1" s="61"/>
      <c r="I1" s="61"/>
      <c r="J1" s="182"/>
      <c r="K1" s="61"/>
      <c r="L1" s="61"/>
      <c r="M1" s="61"/>
      <c r="N1" s="61"/>
      <c r="O1" s="182"/>
      <c r="P1" s="61"/>
      <c r="Q1" s="61"/>
      <c r="R1" s="61"/>
      <c r="S1" s="61"/>
      <c r="T1" s="182"/>
      <c r="U1" s="61"/>
      <c r="V1" s="61"/>
      <c r="W1" s="61"/>
      <c r="X1" s="61"/>
      <c r="Y1" s="136"/>
      <c r="Z1" s="428" t="s">
        <v>1431</v>
      </c>
      <c r="AA1" s="428"/>
      <c r="AB1" s="428"/>
      <c r="AC1" s="428"/>
      <c r="AD1" s="46"/>
    </row>
    <row r="2" spans="1:30" ht="101.25" customHeight="1" x14ac:dyDescent="0.2">
      <c r="A2" s="69"/>
      <c r="B2" s="61"/>
      <c r="C2" s="182"/>
      <c r="D2" s="61"/>
      <c r="E2" s="182"/>
      <c r="F2" s="61"/>
      <c r="G2" s="61"/>
      <c r="H2" s="61"/>
      <c r="I2" s="61"/>
      <c r="J2" s="182"/>
      <c r="K2" s="61"/>
      <c r="L2" s="61"/>
      <c r="M2" s="61"/>
      <c r="N2" s="61"/>
      <c r="O2" s="182"/>
      <c r="P2" s="61"/>
      <c r="Q2" s="61"/>
      <c r="R2" s="61"/>
      <c r="S2" s="61"/>
      <c r="T2" s="182"/>
      <c r="U2" s="61"/>
      <c r="V2" s="61"/>
      <c r="W2" s="61"/>
      <c r="X2" s="61"/>
      <c r="Y2" s="136"/>
      <c r="Z2" s="371" t="s">
        <v>403</v>
      </c>
      <c r="AA2" s="371"/>
      <c r="AB2" s="371"/>
      <c r="AC2" s="371"/>
      <c r="AD2" s="46"/>
    </row>
    <row r="3" spans="1:30" ht="74.25" customHeight="1" x14ac:dyDescent="0.3">
      <c r="A3" s="457" t="s">
        <v>1350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6"/>
    </row>
    <row r="4" spans="1:30" s="11" customFormat="1" ht="15.6" customHeight="1" x14ac:dyDescent="0.2">
      <c r="A4" s="461" t="s">
        <v>654</v>
      </c>
      <c r="B4" s="454" t="s">
        <v>0</v>
      </c>
      <c r="C4" s="456" t="s">
        <v>196</v>
      </c>
      <c r="D4" s="456" t="s">
        <v>168</v>
      </c>
      <c r="E4" s="459" t="s">
        <v>14</v>
      </c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183"/>
    </row>
    <row r="5" spans="1:30" s="7" customFormat="1" ht="27.4" customHeight="1" x14ac:dyDescent="0.2">
      <c r="A5" s="461"/>
      <c r="B5" s="454"/>
      <c r="C5" s="456"/>
      <c r="D5" s="456"/>
      <c r="E5" s="455" t="s">
        <v>21</v>
      </c>
      <c r="F5" s="455"/>
      <c r="G5" s="455"/>
      <c r="H5" s="455"/>
      <c r="I5" s="455"/>
      <c r="J5" s="453" t="s">
        <v>22</v>
      </c>
      <c r="K5" s="453"/>
      <c r="L5" s="453"/>
      <c r="M5" s="453"/>
      <c r="N5" s="453"/>
      <c r="O5" s="453" t="s">
        <v>23</v>
      </c>
      <c r="P5" s="453"/>
      <c r="Q5" s="453"/>
      <c r="R5" s="453"/>
      <c r="S5" s="453"/>
      <c r="T5" s="453" t="s">
        <v>24</v>
      </c>
      <c r="U5" s="453"/>
      <c r="V5" s="453"/>
      <c r="W5" s="453"/>
      <c r="X5" s="453"/>
      <c r="Y5" s="453" t="s">
        <v>25</v>
      </c>
      <c r="Z5" s="453"/>
      <c r="AA5" s="453"/>
      <c r="AB5" s="453"/>
      <c r="AC5" s="453"/>
      <c r="AD5" s="65"/>
    </row>
    <row r="6" spans="1:30" s="7" customFormat="1" ht="64.150000000000006" customHeight="1" x14ac:dyDescent="0.2">
      <c r="A6" s="461"/>
      <c r="B6" s="454"/>
      <c r="C6" s="456"/>
      <c r="D6" s="456"/>
      <c r="E6" s="342" t="s">
        <v>196</v>
      </c>
      <c r="F6" s="348" t="s">
        <v>5</v>
      </c>
      <c r="G6" s="348" t="s">
        <v>169</v>
      </c>
      <c r="H6" s="184" t="s">
        <v>6</v>
      </c>
      <c r="I6" s="341" t="s">
        <v>13</v>
      </c>
      <c r="J6" s="342" t="s">
        <v>196</v>
      </c>
      <c r="K6" s="348" t="s">
        <v>5</v>
      </c>
      <c r="L6" s="348" t="s">
        <v>169</v>
      </c>
      <c r="M6" s="341" t="s">
        <v>6</v>
      </c>
      <c r="N6" s="341" t="s">
        <v>13</v>
      </c>
      <c r="O6" s="342" t="s">
        <v>196</v>
      </c>
      <c r="P6" s="348" t="s">
        <v>5</v>
      </c>
      <c r="Q6" s="348" t="s">
        <v>169</v>
      </c>
      <c r="R6" s="341" t="s">
        <v>6</v>
      </c>
      <c r="S6" s="341" t="s">
        <v>13</v>
      </c>
      <c r="T6" s="342" t="s">
        <v>196</v>
      </c>
      <c r="U6" s="348" t="s">
        <v>5</v>
      </c>
      <c r="V6" s="348" t="s">
        <v>169</v>
      </c>
      <c r="W6" s="341" t="s">
        <v>6</v>
      </c>
      <c r="X6" s="341" t="s">
        <v>13</v>
      </c>
      <c r="Y6" s="342" t="s">
        <v>196</v>
      </c>
      <c r="Z6" s="348" t="s">
        <v>5</v>
      </c>
      <c r="AA6" s="348" t="s">
        <v>169</v>
      </c>
      <c r="AB6" s="341" t="s">
        <v>170</v>
      </c>
      <c r="AC6" s="341" t="s">
        <v>36</v>
      </c>
      <c r="AD6" s="65"/>
    </row>
    <row r="7" spans="1:30" ht="22.35" customHeight="1" x14ac:dyDescent="0.2">
      <c r="A7" s="344">
        <v>1</v>
      </c>
      <c r="B7" s="185">
        <v>2</v>
      </c>
      <c r="C7" s="344">
        <v>3</v>
      </c>
      <c r="D7" s="344">
        <v>4</v>
      </c>
      <c r="E7" s="344">
        <v>5</v>
      </c>
      <c r="F7" s="344">
        <v>6</v>
      </c>
      <c r="G7" s="344">
        <v>7</v>
      </c>
      <c r="H7" s="344">
        <v>8</v>
      </c>
      <c r="I7" s="344">
        <v>9</v>
      </c>
      <c r="J7" s="344">
        <v>10</v>
      </c>
      <c r="K7" s="344">
        <v>11</v>
      </c>
      <c r="L7" s="344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  <c r="T7" s="186">
        <v>20</v>
      </c>
      <c r="U7" s="186">
        <v>21</v>
      </c>
      <c r="V7" s="186">
        <v>22</v>
      </c>
      <c r="W7" s="186">
        <v>23</v>
      </c>
      <c r="X7" s="186">
        <v>24</v>
      </c>
      <c r="Y7" s="186">
        <v>25</v>
      </c>
      <c r="Z7" s="186">
        <v>26</v>
      </c>
      <c r="AA7" s="186">
        <v>27</v>
      </c>
      <c r="AB7" s="186">
        <v>28</v>
      </c>
      <c r="AC7" s="186">
        <v>29</v>
      </c>
      <c r="AD7" s="46"/>
    </row>
    <row r="8" spans="1:30" s="5" customFormat="1" ht="60.75" customHeight="1" x14ac:dyDescent="0.2">
      <c r="A8" s="417" t="s">
        <v>1106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9"/>
      <c r="AD8" s="187"/>
    </row>
    <row r="9" spans="1:30" s="5" customFormat="1" ht="53.25" customHeight="1" x14ac:dyDescent="0.2">
      <c r="A9" s="343" t="s">
        <v>2</v>
      </c>
      <c r="B9" s="425" t="s">
        <v>1107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188"/>
    </row>
    <row r="10" spans="1:30" ht="34.5" customHeight="1" x14ac:dyDescent="0.2">
      <c r="A10" s="343" t="s">
        <v>487</v>
      </c>
      <c r="B10" s="425" t="s">
        <v>1109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46"/>
      <c r="AD10" s="46"/>
    </row>
    <row r="11" spans="1:30" s="3" customFormat="1" ht="91.15" customHeight="1" x14ac:dyDescent="0.2">
      <c r="A11" s="189" t="s">
        <v>1260</v>
      </c>
      <c r="B11" s="190" t="s">
        <v>171</v>
      </c>
      <c r="C11" s="191">
        <f>E11+J11+O11+T11+Y11</f>
        <v>0</v>
      </c>
      <c r="D11" s="192">
        <f>F11+K11+P11+U11+Z11</f>
        <v>0</v>
      </c>
      <c r="E11" s="191">
        <f t="shared" ref="E11:AC11" si="0">E12+E13+E14</f>
        <v>0</v>
      </c>
      <c r="F11" s="192">
        <f t="shared" si="0"/>
        <v>0</v>
      </c>
      <c r="G11" s="192">
        <f t="shared" si="0"/>
        <v>0</v>
      </c>
      <c r="H11" s="192">
        <f t="shared" si="0"/>
        <v>0</v>
      </c>
      <c r="I11" s="192">
        <f t="shared" si="0"/>
        <v>0</v>
      </c>
      <c r="J11" s="191">
        <f>J12+J13+J14</f>
        <v>0</v>
      </c>
      <c r="K11" s="192">
        <f t="shared" si="0"/>
        <v>0</v>
      </c>
      <c r="L11" s="192">
        <f t="shared" si="0"/>
        <v>0</v>
      </c>
      <c r="M11" s="192">
        <f t="shared" si="0"/>
        <v>0</v>
      </c>
      <c r="N11" s="192">
        <f>N12+N13+N14</f>
        <v>0</v>
      </c>
      <c r="O11" s="191">
        <f t="shared" si="0"/>
        <v>0</v>
      </c>
      <c r="P11" s="192">
        <f t="shared" si="0"/>
        <v>0</v>
      </c>
      <c r="Q11" s="192">
        <f t="shared" si="0"/>
        <v>0</v>
      </c>
      <c r="R11" s="192">
        <f t="shared" si="0"/>
        <v>0</v>
      </c>
      <c r="S11" s="192">
        <f t="shared" si="0"/>
        <v>0</v>
      </c>
      <c r="T11" s="191">
        <f t="shared" si="0"/>
        <v>0</v>
      </c>
      <c r="U11" s="192">
        <f>U12+U13+U14</f>
        <v>0</v>
      </c>
      <c r="V11" s="192">
        <f t="shared" si="0"/>
        <v>0</v>
      </c>
      <c r="W11" s="192">
        <f t="shared" si="0"/>
        <v>0</v>
      </c>
      <c r="X11" s="192">
        <f t="shared" si="0"/>
        <v>0</v>
      </c>
      <c r="Y11" s="191">
        <f t="shared" si="0"/>
        <v>0</v>
      </c>
      <c r="Z11" s="192">
        <f t="shared" si="0"/>
        <v>0</v>
      </c>
      <c r="AA11" s="192">
        <f t="shared" si="0"/>
        <v>0</v>
      </c>
      <c r="AB11" s="192">
        <f t="shared" si="0"/>
        <v>0</v>
      </c>
      <c r="AC11" s="192">
        <f t="shared" si="0"/>
        <v>0</v>
      </c>
      <c r="AD11" s="51"/>
    </row>
    <row r="12" spans="1:30" s="3" customFormat="1" ht="85.15" customHeight="1" outlineLevel="1" x14ac:dyDescent="0.2">
      <c r="A12" s="193" t="s">
        <v>1258</v>
      </c>
      <c r="B12" s="194" t="s">
        <v>172</v>
      </c>
      <c r="C12" s="195">
        <f t="shared" ref="C12:C16" si="1">E12+J12+O12+T12+Y12</f>
        <v>0</v>
      </c>
      <c r="D12" s="196">
        <f t="shared" ref="D12:D13" si="2">F12+K12+P12+U12+Z12</f>
        <v>0</v>
      </c>
      <c r="E12" s="195">
        <v>0</v>
      </c>
      <c r="F12" s="196">
        <v>0</v>
      </c>
      <c r="G12" s="196">
        <v>0</v>
      </c>
      <c r="H12" s="196">
        <v>0</v>
      </c>
      <c r="I12" s="196">
        <v>0</v>
      </c>
      <c r="J12" s="197">
        <v>0</v>
      </c>
      <c r="K12" s="196">
        <f>SUM(L12:N12)</f>
        <v>0</v>
      </c>
      <c r="L12" s="196">
        <v>0</v>
      </c>
      <c r="M12" s="198">
        <v>0</v>
      </c>
      <c r="N12" s="198">
        <f>7196-7196</f>
        <v>0</v>
      </c>
      <c r="O12" s="197">
        <f>0.58-0.58</f>
        <v>0</v>
      </c>
      <c r="P12" s="196">
        <f>Q12+R12+S12</f>
        <v>0</v>
      </c>
      <c r="Q12" s="198">
        <v>0</v>
      </c>
      <c r="R12" s="198">
        <v>0</v>
      </c>
      <c r="S12" s="198">
        <f>6622-6622</f>
        <v>0</v>
      </c>
      <c r="T12" s="197">
        <v>0</v>
      </c>
      <c r="U12" s="196">
        <f>W12+X12+V12</f>
        <v>0</v>
      </c>
      <c r="V12" s="198">
        <v>0</v>
      </c>
      <c r="W12" s="198">
        <f>110232-110232</f>
        <v>0</v>
      </c>
      <c r="X12" s="198">
        <f>13606-13606</f>
        <v>0</v>
      </c>
      <c r="Y12" s="197">
        <v>0</v>
      </c>
      <c r="Z12" s="196">
        <f>AB12+AC12+AA12</f>
        <v>0</v>
      </c>
      <c r="AA12" s="198">
        <v>0</v>
      </c>
      <c r="AB12" s="198">
        <v>0</v>
      </c>
      <c r="AC12" s="198">
        <v>0</v>
      </c>
      <c r="AD12" s="51"/>
    </row>
    <row r="13" spans="1:30" s="3" customFormat="1" ht="101.45" customHeight="1" outlineLevel="1" x14ac:dyDescent="0.2">
      <c r="A13" s="193" t="s">
        <v>1259</v>
      </c>
      <c r="B13" s="194" t="s">
        <v>173</v>
      </c>
      <c r="C13" s="195">
        <f t="shared" si="1"/>
        <v>0</v>
      </c>
      <c r="D13" s="196">
        <f t="shared" si="2"/>
        <v>0</v>
      </c>
      <c r="E13" s="195">
        <v>0</v>
      </c>
      <c r="F13" s="196">
        <f>H13+I13</f>
        <v>0</v>
      </c>
      <c r="G13" s="196">
        <v>0</v>
      </c>
      <c r="H13" s="196">
        <v>0</v>
      </c>
      <c r="I13" s="196">
        <v>0</v>
      </c>
      <c r="J13" s="197">
        <v>0</v>
      </c>
      <c r="K13" s="196">
        <f>SUM(L13:N13)</f>
        <v>0</v>
      </c>
      <c r="L13" s="196">
        <v>0</v>
      </c>
      <c r="M13" s="198">
        <v>0</v>
      </c>
      <c r="N13" s="198">
        <v>0</v>
      </c>
      <c r="O13" s="197">
        <v>0</v>
      </c>
      <c r="P13" s="196">
        <f>R13+S13</f>
        <v>0</v>
      </c>
      <c r="Q13" s="198">
        <v>0</v>
      </c>
      <c r="R13" s="198">
        <v>0</v>
      </c>
      <c r="S13" s="198">
        <v>0</v>
      </c>
      <c r="T13" s="197">
        <v>0</v>
      </c>
      <c r="U13" s="196">
        <f>W13+X13</f>
        <v>0</v>
      </c>
      <c r="V13" s="198">
        <v>0</v>
      </c>
      <c r="W13" s="198">
        <v>0</v>
      </c>
      <c r="X13" s="198">
        <f>1954-71-52-1831</f>
        <v>0</v>
      </c>
      <c r="Y13" s="197">
        <v>0</v>
      </c>
      <c r="Z13" s="196">
        <f>AB13+AC13</f>
        <v>0</v>
      </c>
      <c r="AA13" s="198">
        <v>0</v>
      </c>
      <c r="AB13" s="198">
        <v>0</v>
      </c>
      <c r="AC13" s="198">
        <v>0</v>
      </c>
      <c r="AD13" s="51"/>
    </row>
    <row r="14" spans="1:30" s="3" customFormat="1" ht="99.6" customHeight="1" outlineLevel="1" x14ac:dyDescent="0.2">
      <c r="A14" s="193" t="s">
        <v>1261</v>
      </c>
      <c r="B14" s="194" t="s">
        <v>174</v>
      </c>
      <c r="C14" s="195">
        <f t="shared" si="1"/>
        <v>0</v>
      </c>
      <c r="D14" s="196">
        <f>F14+K14+P14+U14+Z14</f>
        <v>0</v>
      </c>
      <c r="E14" s="195">
        <v>0</v>
      </c>
      <c r="F14" s="196">
        <v>0</v>
      </c>
      <c r="G14" s="196">
        <v>0</v>
      </c>
      <c r="H14" s="196">
        <v>0</v>
      </c>
      <c r="I14" s="196">
        <v>0</v>
      </c>
      <c r="J14" s="197">
        <v>0</v>
      </c>
      <c r="K14" s="196">
        <f>SUM(L14:N14)</f>
        <v>0</v>
      </c>
      <c r="L14" s="196">
        <v>0</v>
      </c>
      <c r="M14" s="198">
        <v>0</v>
      </c>
      <c r="N14" s="198">
        <v>0</v>
      </c>
      <c r="O14" s="197">
        <v>0</v>
      </c>
      <c r="P14" s="196">
        <f>R14+S14</f>
        <v>0</v>
      </c>
      <c r="Q14" s="198">
        <v>0</v>
      </c>
      <c r="R14" s="198">
        <v>0</v>
      </c>
      <c r="S14" s="198">
        <v>0</v>
      </c>
      <c r="T14" s="197">
        <v>0</v>
      </c>
      <c r="U14" s="196">
        <f>W14+X14</f>
        <v>0</v>
      </c>
      <c r="V14" s="198">
        <v>0</v>
      </c>
      <c r="W14" s="198">
        <v>0</v>
      </c>
      <c r="X14" s="198">
        <v>0</v>
      </c>
      <c r="Y14" s="197">
        <v>0</v>
      </c>
      <c r="Z14" s="196">
        <f>AB14+AC14</f>
        <v>0</v>
      </c>
      <c r="AA14" s="198">
        <v>0</v>
      </c>
      <c r="AB14" s="198">
        <v>0</v>
      </c>
      <c r="AC14" s="198">
        <v>0</v>
      </c>
      <c r="AD14" s="51"/>
    </row>
    <row r="15" spans="1:30" s="3" customFormat="1" ht="53.25" customHeight="1" x14ac:dyDescent="0.2">
      <c r="A15" s="189" t="s">
        <v>1262</v>
      </c>
      <c r="B15" s="190" t="s">
        <v>211</v>
      </c>
      <c r="C15" s="191">
        <f>E15+J15+O15+T15+Y15</f>
        <v>0</v>
      </c>
      <c r="D15" s="192">
        <f t="shared" ref="D15:D20" si="3">F15+K15+P15+U15+Z15</f>
        <v>0</v>
      </c>
      <c r="E15" s="191">
        <v>0</v>
      </c>
      <c r="F15" s="192">
        <v>0</v>
      </c>
      <c r="G15" s="192">
        <v>0</v>
      </c>
      <c r="H15" s="192">
        <v>0</v>
      </c>
      <c r="I15" s="192">
        <v>0</v>
      </c>
      <c r="J15" s="199">
        <v>0</v>
      </c>
      <c r="K15" s="192">
        <f t="shared" ref="K15:K20" si="4">SUM(L15:N15)</f>
        <v>0</v>
      </c>
      <c r="L15" s="192">
        <v>0</v>
      </c>
      <c r="M15" s="192">
        <v>0</v>
      </c>
      <c r="N15" s="192">
        <v>0</v>
      </c>
      <c r="O15" s="199">
        <v>0</v>
      </c>
      <c r="P15" s="192">
        <f t="shared" ref="P15:P20" si="5">R15+S15</f>
        <v>0</v>
      </c>
      <c r="Q15" s="192">
        <v>0</v>
      </c>
      <c r="R15" s="192">
        <v>0</v>
      </c>
      <c r="S15" s="192">
        <v>0</v>
      </c>
      <c r="T15" s="199">
        <v>0</v>
      </c>
      <c r="U15" s="192">
        <f t="shared" ref="U15:U20" si="6">W15+X15</f>
        <v>0</v>
      </c>
      <c r="V15" s="192">
        <v>0</v>
      </c>
      <c r="W15" s="192">
        <v>0</v>
      </c>
      <c r="X15" s="192">
        <v>0</v>
      </c>
      <c r="Y15" s="199">
        <v>0</v>
      </c>
      <c r="Z15" s="192">
        <f t="shared" ref="Z15:Z20" si="7">AB15+AC15</f>
        <v>0</v>
      </c>
      <c r="AA15" s="192">
        <v>0</v>
      </c>
      <c r="AB15" s="192">
        <v>0</v>
      </c>
      <c r="AC15" s="192">
        <v>0</v>
      </c>
      <c r="AD15" s="51"/>
    </row>
    <row r="16" spans="1:30" s="3" customFormat="1" ht="73.900000000000006" customHeight="1" x14ac:dyDescent="0.2">
      <c r="A16" s="189" t="s">
        <v>1263</v>
      </c>
      <c r="B16" s="190" t="s">
        <v>27</v>
      </c>
      <c r="C16" s="191">
        <f t="shared" si="1"/>
        <v>0</v>
      </c>
      <c r="D16" s="192">
        <f t="shared" si="3"/>
        <v>0</v>
      </c>
      <c r="E16" s="191">
        <v>0</v>
      </c>
      <c r="F16" s="192">
        <v>0</v>
      </c>
      <c r="G16" s="192">
        <v>0</v>
      </c>
      <c r="H16" s="192">
        <v>0</v>
      </c>
      <c r="I16" s="192">
        <v>0</v>
      </c>
      <c r="J16" s="199">
        <v>0</v>
      </c>
      <c r="K16" s="192">
        <f t="shared" si="4"/>
        <v>0</v>
      </c>
      <c r="L16" s="192">
        <v>0</v>
      </c>
      <c r="M16" s="192">
        <v>0</v>
      </c>
      <c r="N16" s="192">
        <v>0</v>
      </c>
      <c r="O16" s="199">
        <v>0</v>
      </c>
      <c r="P16" s="192">
        <f t="shared" si="5"/>
        <v>0</v>
      </c>
      <c r="Q16" s="192">
        <v>0</v>
      </c>
      <c r="R16" s="192">
        <v>0</v>
      </c>
      <c r="S16" s="192">
        <v>0</v>
      </c>
      <c r="T16" s="199">
        <v>0</v>
      </c>
      <c r="U16" s="192">
        <f t="shared" si="6"/>
        <v>0</v>
      </c>
      <c r="V16" s="192">
        <v>0</v>
      </c>
      <c r="W16" s="192">
        <v>0</v>
      </c>
      <c r="X16" s="192">
        <v>0</v>
      </c>
      <c r="Y16" s="199">
        <v>0</v>
      </c>
      <c r="Z16" s="192">
        <f t="shared" si="7"/>
        <v>0</v>
      </c>
      <c r="AA16" s="192">
        <v>0</v>
      </c>
      <c r="AB16" s="192">
        <v>0</v>
      </c>
      <c r="AC16" s="192">
        <v>0</v>
      </c>
      <c r="AD16" s="51"/>
    </row>
    <row r="17" spans="1:30" s="3" customFormat="1" ht="90" customHeight="1" x14ac:dyDescent="0.2">
      <c r="A17" s="189" t="s">
        <v>1264</v>
      </c>
      <c r="B17" s="200" t="s">
        <v>28</v>
      </c>
      <c r="C17" s="191">
        <f>E17+J17+O17++T17+Y17</f>
        <v>0</v>
      </c>
      <c r="D17" s="192">
        <f t="shared" si="3"/>
        <v>0</v>
      </c>
      <c r="E17" s="191">
        <v>0</v>
      </c>
      <c r="F17" s="192">
        <v>0</v>
      </c>
      <c r="G17" s="192">
        <v>0</v>
      </c>
      <c r="H17" s="192">
        <v>0</v>
      </c>
      <c r="I17" s="192">
        <v>0</v>
      </c>
      <c r="J17" s="199">
        <v>0</v>
      </c>
      <c r="K17" s="192">
        <f t="shared" si="4"/>
        <v>0</v>
      </c>
      <c r="L17" s="192">
        <v>0</v>
      </c>
      <c r="M17" s="192">
        <v>0</v>
      </c>
      <c r="N17" s="192">
        <v>0</v>
      </c>
      <c r="O17" s="199">
        <v>0</v>
      </c>
      <c r="P17" s="192">
        <f t="shared" si="5"/>
        <v>0</v>
      </c>
      <c r="Q17" s="192">
        <v>0</v>
      </c>
      <c r="R17" s="192">
        <v>0</v>
      </c>
      <c r="S17" s="192">
        <v>0</v>
      </c>
      <c r="T17" s="199">
        <v>0</v>
      </c>
      <c r="U17" s="192">
        <f t="shared" si="6"/>
        <v>0</v>
      </c>
      <c r="V17" s="192">
        <v>0</v>
      </c>
      <c r="W17" s="192">
        <v>0</v>
      </c>
      <c r="X17" s="192">
        <v>0</v>
      </c>
      <c r="Y17" s="199">
        <v>0</v>
      </c>
      <c r="Z17" s="192">
        <f t="shared" si="7"/>
        <v>0</v>
      </c>
      <c r="AA17" s="192">
        <v>0</v>
      </c>
      <c r="AB17" s="192">
        <v>0</v>
      </c>
      <c r="AC17" s="192">
        <v>0</v>
      </c>
      <c r="AD17" s="51"/>
    </row>
    <row r="18" spans="1:30" ht="83.45" customHeight="1" x14ac:dyDescent="0.2">
      <c r="A18" s="189" t="s">
        <v>488</v>
      </c>
      <c r="B18" s="200" t="s">
        <v>45</v>
      </c>
      <c r="C18" s="191">
        <f>E18+J18+O18++T18+Y18</f>
        <v>0</v>
      </c>
      <c r="D18" s="192">
        <f t="shared" si="3"/>
        <v>0</v>
      </c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9">
        <v>0</v>
      </c>
      <c r="K18" s="192">
        <f t="shared" si="4"/>
        <v>0</v>
      </c>
      <c r="L18" s="192">
        <v>0</v>
      </c>
      <c r="M18" s="192">
        <v>0</v>
      </c>
      <c r="N18" s="192">
        <v>0</v>
      </c>
      <c r="O18" s="199">
        <v>0</v>
      </c>
      <c r="P18" s="192">
        <f t="shared" si="5"/>
        <v>0</v>
      </c>
      <c r="Q18" s="192">
        <v>0</v>
      </c>
      <c r="R18" s="192">
        <v>0</v>
      </c>
      <c r="S18" s="192">
        <v>0</v>
      </c>
      <c r="T18" s="199">
        <v>0</v>
      </c>
      <c r="U18" s="192">
        <f t="shared" si="6"/>
        <v>0</v>
      </c>
      <c r="V18" s="192">
        <v>0</v>
      </c>
      <c r="W18" s="192">
        <v>0</v>
      </c>
      <c r="X18" s="192">
        <v>0</v>
      </c>
      <c r="Y18" s="199">
        <v>0</v>
      </c>
      <c r="Z18" s="192">
        <f t="shared" si="7"/>
        <v>0</v>
      </c>
      <c r="AA18" s="192">
        <v>0</v>
      </c>
      <c r="AB18" s="192">
        <v>0</v>
      </c>
      <c r="AC18" s="192">
        <v>0</v>
      </c>
      <c r="AD18" s="46"/>
    </row>
    <row r="19" spans="1:30" ht="64.150000000000006" customHeight="1" x14ac:dyDescent="0.2">
      <c r="A19" s="189" t="s">
        <v>1265</v>
      </c>
      <c r="B19" s="200" t="s">
        <v>29</v>
      </c>
      <c r="C19" s="191">
        <f t="shared" ref="C19" si="8">E19+J19+O19+T19+Y19</f>
        <v>0</v>
      </c>
      <c r="D19" s="192">
        <f t="shared" si="3"/>
        <v>0</v>
      </c>
      <c r="E19" s="191">
        <v>0</v>
      </c>
      <c r="F19" s="192">
        <v>0</v>
      </c>
      <c r="G19" s="192">
        <v>0</v>
      </c>
      <c r="H19" s="192">
        <v>0</v>
      </c>
      <c r="I19" s="192">
        <v>0</v>
      </c>
      <c r="J19" s="199">
        <v>0</v>
      </c>
      <c r="K19" s="192">
        <f t="shared" si="4"/>
        <v>0</v>
      </c>
      <c r="L19" s="192">
        <v>0</v>
      </c>
      <c r="M19" s="192">
        <v>0</v>
      </c>
      <c r="N19" s="192">
        <v>0</v>
      </c>
      <c r="O19" s="199">
        <v>0</v>
      </c>
      <c r="P19" s="192">
        <f t="shared" si="5"/>
        <v>0</v>
      </c>
      <c r="Q19" s="192">
        <v>0</v>
      </c>
      <c r="R19" s="192">
        <v>0</v>
      </c>
      <c r="S19" s="192">
        <v>0</v>
      </c>
      <c r="T19" s="199">
        <v>0</v>
      </c>
      <c r="U19" s="192">
        <f t="shared" si="6"/>
        <v>0</v>
      </c>
      <c r="V19" s="192">
        <v>0</v>
      </c>
      <c r="W19" s="192">
        <v>0</v>
      </c>
      <c r="X19" s="192">
        <v>0</v>
      </c>
      <c r="Y19" s="199">
        <v>0</v>
      </c>
      <c r="Z19" s="192">
        <f t="shared" si="7"/>
        <v>0</v>
      </c>
      <c r="AA19" s="192">
        <v>0</v>
      </c>
      <c r="AB19" s="192">
        <v>0</v>
      </c>
      <c r="AC19" s="192">
        <v>0</v>
      </c>
      <c r="AD19" s="46"/>
    </row>
    <row r="20" spans="1:30" ht="51" customHeight="1" x14ac:dyDescent="0.2">
      <c r="A20" s="189" t="s">
        <v>1266</v>
      </c>
      <c r="B20" s="200" t="s">
        <v>42</v>
      </c>
      <c r="C20" s="191">
        <f>E20+J20+O20+T20+Y20</f>
        <v>0</v>
      </c>
      <c r="D20" s="192">
        <f t="shared" si="3"/>
        <v>0</v>
      </c>
      <c r="E20" s="191">
        <v>0</v>
      </c>
      <c r="F20" s="192">
        <v>0</v>
      </c>
      <c r="G20" s="192">
        <v>0</v>
      </c>
      <c r="H20" s="192">
        <v>0</v>
      </c>
      <c r="I20" s="192">
        <v>0</v>
      </c>
      <c r="J20" s="199">
        <v>0</v>
      </c>
      <c r="K20" s="192">
        <f t="shared" si="4"/>
        <v>0</v>
      </c>
      <c r="L20" s="192">
        <v>0</v>
      </c>
      <c r="M20" s="192">
        <v>0</v>
      </c>
      <c r="N20" s="192">
        <v>0</v>
      </c>
      <c r="O20" s="199">
        <v>0</v>
      </c>
      <c r="P20" s="192">
        <f t="shared" si="5"/>
        <v>0</v>
      </c>
      <c r="Q20" s="192">
        <v>0</v>
      </c>
      <c r="R20" s="192">
        <v>0</v>
      </c>
      <c r="S20" s="192">
        <v>0</v>
      </c>
      <c r="T20" s="199">
        <v>0</v>
      </c>
      <c r="U20" s="192">
        <f t="shared" si="6"/>
        <v>0</v>
      </c>
      <c r="V20" s="192">
        <v>0</v>
      </c>
      <c r="W20" s="192">
        <v>0</v>
      </c>
      <c r="X20" s="192">
        <v>0</v>
      </c>
      <c r="Y20" s="199">
        <v>0</v>
      </c>
      <c r="Z20" s="192">
        <f t="shared" si="7"/>
        <v>0</v>
      </c>
      <c r="AA20" s="192">
        <v>0</v>
      </c>
      <c r="AB20" s="192">
        <v>0</v>
      </c>
      <c r="AC20" s="192">
        <v>0</v>
      </c>
      <c r="AD20" s="46"/>
    </row>
    <row r="21" spans="1:30" s="3" customFormat="1" ht="39" customHeight="1" outlineLevel="1" x14ac:dyDescent="0.2">
      <c r="A21" s="189" t="s">
        <v>1267</v>
      </c>
      <c r="B21" s="200" t="s">
        <v>207</v>
      </c>
      <c r="C21" s="191">
        <f t="shared" ref="C21:AC21" si="9">C22</f>
        <v>0.96799999999999997</v>
      </c>
      <c r="D21" s="192">
        <f t="shared" si="9"/>
        <v>198590</v>
      </c>
      <c r="E21" s="191">
        <f t="shared" si="9"/>
        <v>0</v>
      </c>
      <c r="F21" s="192">
        <f t="shared" si="9"/>
        <v>87629</v>
      </c>
      <c r="G21" s="192">
        <f t="shared" si="9"/>
        <v>0</v>
      </c>
      <c r="H21" s="192">
        <f t="shared" si="9"/>
        <v>83058</v>
      </c>
      <c r="I21" s="192">
        <f t="shared" si="9"/>
        <v>4571</v>
      </c>
      <c r="J21" s="191">
        <f t="shared" si="9"/>
        <v>0</v>
      </c>
      <c r="K21" s="192">
        <f t="shared" si="9"/>
        <v>291</v>
      </c>
      <c r="L21" s="192">
        <f t="shared" si="9"/>
        <v>0</v>
      </c>
      <c r="M21" s="192">
        <f t="shared" si="9"/>
        <v>0</v>
      </c>
      <c r="N21" s="192">
        <f t="shared" si="9"/>
        <v>291</v>
      </c>
      <c r="O21" s="191">
        <f t="shared" si="9"/>
        <v>0</v>
      </c>
      <c r="P21" s="192">
        <f t="shared" si="9"/>
        <v>67626</v>
      </c>
      <c r="Q21" s="192">
        <f t="shared" si="9"/>
        <v>0</v>
      </c>
      <c r="R21" s="192">
        <f t="shared" si="9"/>
        <v>64161</v>
      </c>
      <c r="S21" s="192">
        <f t="shared" si="9"/>
        <v>3465</v>
      </c>
      <c r="T21" s="191">
        <f t="shared" si="9"/>
        <v>0.96799999999999997</v>
      </c>
      <c r="U21" s="192">
        <f t="shared" si="9"/>
        <v>43044</v>
      </c>
      <c r="V21" s="192">
        <f t="shared" si="9"/>
        <v>0</v>
      </c>
      <c r="W21" s="192">
        <f t="shared" si="9"/>
        <v>40792</v>
      </c>
      <c r="X21" s="192">
        <f t="shared" si="9"/>
        <v>2252</v>
      </c>
      <c r="Y21" s="191">
        <f t="shared" si="9"/>
        <v>0</v>
      </c>
      <c r="Z21" s="192">
        <f t="shared" si="9"/>
        <v>0</v>
      </c>
      <c r="AA21" s="192">
        <f t="shared" si="9"/>
        <v>0</v>
      </c>
      <c r="AB21" s="192">
        <f t="shared" si="9"/>
        <v>0</v>
      </c>
      <c r="AC21" s="192">
        <f t="shared" si="9"/>
        <v>0</v>
      </c>
      <c r="AD21" s="51"/>
    </row>
    <row r="22" spans="1:30" ht="31.5" customHeight="1" outlineLevel="1" x14ac:dyDescent="0.2">
      <c r="A22" s="193" t="s">
        <v>1268</v>
      </c>
      <c r="B22" s="128" t="s">
        <v>207</v>
      </c>
      <c r="C22" s="195">
        <f>E22+J22+O22+T22+Y22</f>
        <v>0.96799999999999997</v>
      </c>
      <c r="D22" s="196">
        <f>F22+K22+P22+U22+Z22</f>
        <v>198590</v>
      </c>
      <c r="E22" s="195">
        <v>0</v>
      </c>
      <c r="F22" s="196">
        <f>G22+H22+I22</f>
        <v>87629</v>
      </c>
      <c r="G22" s="196">
        <v>0</v>
      </c>
      <c r="H22" s="196">
        <v>83058</v>
      </c>
      <c r="I22" s="196">
        <v>4571</v>
      </c>
      <c r="J22" s="195">
        <v>0</v>
      </c>
      <c r="K22" s="196">
        <f t="shared" ref="K22:K27" si="10">L22+M22+N22</f>
        <v>291</v>
      </c>
      <c r="L22" s="196">
        <v>0</v>
      </c>
      <c r="M22" s="196">
        <f>47204-41693-5511</f>
        <v>0</v>
      </c>
      <c r="N22" s="196">
        <f>2485-2194</f>
        <v>291</v>
      </c>
      <c r="O22" s="195">
        <v>0</v>
      </c>
      <c r="P22" s="196">
        <f>Q22+R22+S22</f>
        <v>67626</v>
      </c>
      <c r="Q22" s="196">
        <v>0</v>
      </c>
      <c r="R22" s="198">
        <f>47048+17113</f>
        <v>64161</v>
      </c>
      <c r="S22" s="198">
        <f>2476+88+901</f>
        <v>3465</v>
      </c>
      <c r="T22" s="197">
        <v>0.96799999999999997</v>
      </c>
      <c r="U22" s="196">
        <f>V22+W22+X22</f>
        <v>43044</v>
      </c>
      <c r="V22" s="196">
        <v>0</v>
      </c>
      <c r="W22" s="198">
        <v>40792</v>
      </c>
      <c r="X22" s="198">
        <v>2252</v>
      </c>
      <c r="Y22" s="197">
        <v>0</v>
      </c>
      <c r="Z22" s="196">
        <v>0</v>
      </c>
      <c r="AA22" s="198">
        <v>0</v>
      </c>
      <c r="AB22" s="198">
        <v>0</v>
      </c>
      <c r="AC22" s="198">
        <v>0</v>
      </c>
      <c r="AD22" s="46"/>
    </row>
    <row r="23" spans="1:30" s="3" customFormat="1" ht="71.25" customHeight="1" outlineLevel="1" x14ac:dyDescent="0.2">
      <c r="A23" s="189" t="s">
        <v>1269</v>
      </c>
      <c r="B23" s="200" t="s">
        <v>208</v>
      </c>
      <c r="C23" s="191">
        <f>C24</f>
        <v>1.5</v>
      </c>
      <c r="D23" s="192">
        <f>F23+K23+P23+U23+Z23</f>
        <v>174852</v>
      </c>
      <c r="E23" s="191">
        <f t="shared" ref="E23:J23" si="11">E24</f>
        <v>1.5</v>
      </c>
      <c r="F23" s="192">
        <f>F24</f>
        <v>167820</v>
      </c>
      <c r="G23" s="192">
        <f t="shared" si="11"/>
        <v>126793</v>
      </c>
      <c r="H23" s="192">
        <f t="shared" si="11"/>
        <v>38250</v>
      </c>
      <c r="I23" s="192">
        <f t="shared" si="11"/>
        <v>2777</v>
      </c>
      <c r="J23" s="191">
        <f t="shared" si="11"/>
        <v>0</v>
      </c>
      <c r="K23" s="192">
        <f t="shared" si="10"/>
        <v>7032</v>
      </c>
      <c r="L23" s="192">
        <v>0</v>
      </c>
      <c r="M23" s="192">
        <f t="shared" ref="M23:AC23" si="12">M24</f>
        <v>0</v>
      </c>
      <c r="N23" s="192">
        <f t="shared" si="12"/>
        <v>7032</v>
      </c>
      <c r="O23" s="191">
        <f t="shared" si="12"/>
        <v>0</v>
      </c>
      <c r="P23" s="192">
        <f>Q23+R23+S23</f>
        <v>0</v>
      </c>
      <c r="Q23" s="192">
        <v>0</v>
      </c>
      <c r="R23" s="192">
        <f t="shared" si="12"/>
        <v>0</v>
      </c>
      <c r="S23" s="192">
        <f t="shared" si="12"/>
        <v>0</v>
      </c>
      <c r="T23" s="191">
        <f t="shared" si="12"/>
        <v>0</v>
      </c>
      <c r="U23" s="192">
        <f t="shared" si="12"/>
        <v>0</v>
      </c>
      <c r="V23" s="192">
        <v>0</v>
      </c>
      <c r="W23" s="192">
        <f t="shared" si="12"/>
        <v>0</v>
      </c>
      <c r="X23" s="192">
        <f t="shared" si="12"/>
        <v>0</v>
      </c>
      <c r="Y23" s="191">
        <f t="shared" si="12"/>
        <v>0</v>
      </c>
      <c r="Z23" s="192">
        <f t="shared" si="12"/>
        <v>0</v>
      </c>
      <c r="AA23" s="192">
        <v>0</v>
      </c>
      <c r="AB23" s="192">
        <f t="shared" si="12"/>
        <v>0</v>
      </c>
      <c r="AC23" s="192">
        <f t="shared" si="12"/>
        <v>0</v>
      </c>
      <c r="AD23" s="51"/>
    </row>
    <row r="24" spans="1:30" ht="63" customHeight="1" outlineLevel="1" x14ac:dyDescent="0.2">
      <c r="A24" s="193" t="s">
        <v>1270</v>
      </c>
      <c r="B24" s="128" t="s">
        <v>208</v>
      </c>
      <c r="C24" s="195">
        <f>E24</f>
        <v>1.5</v>
      </c>
      <c r="D24" s="196">
        <f>F24+K24+P24+U24+Z24</f>
        <v>174852</v>
      </c>
      <c r="E24" s="195">
        <v>1.5</v>
      </c>
      <c r="F24" s="196">
        <f>G24+H24+I24</f>
        <v>167820</v>
      </c>
      <c r="G24" s="196">
        <v>126793</v>
      </c>
      <c r="H24" s="196">
        <v>38250</v>
      </c>
      <c r="I24" s="196">
        <v>2777</v>
      </c>
      <c r="J24" s="195">
        <v>0</v>
      </c>
      <c r="K24" s="196">
        <f t="shared" si="10"/>
        <v>7032</v>
      </c>
      <c r="L24" s="196">
        <v>0</v>
      </c>
      <c r="M24" s="196">
        <v>0</v>
      </c>
      <c r="N24" s="196">
        <f>7002+30</f>
        <v>7032</v>
      </c>
      <c r="O24" s="195">
        <v>0</v>
      </c>
      <c r="P24" s="192">
        <f t="shared" ref="P24:P25" si="13">Q24+R24+S24</f>
        <v>0</v>
      </c>
      <c r="Q24" s="196">
        <v>0</v>
      </c>
      <c r="R24" s="198">
        <v>0</v>
      </c>
      <c r="S24" s="198">
        <v>0</v>
      </c>
      <c r="T24" s="197">
        <v>0</v>
      </c>
      <c r="U24" s="196">
        <v>0</v>
      </c>
      <c r="V24" s="196">
        <v>0</v>
      </c>
      <c r="W24" s="198">
        <v>0</v>
      </c>
      <c r="X24" s="198">
        <v>0</v>
      </c>
      <c r="Y24" s="197">
        <v>0</v>
      </c>
      <c r="Z24" s="196">
        <v>0</v>
      </c>
      <c r="AA24" s="198">
        <v>0</v>
      </c>
      <c r="AB24" s="198">
        <v>0</v>
      </c>
      <c r="AC24" s="198">
        <v>0</v>
      </c>
      <c r="AD24" s="46"/>
    </row>
    <row r="25" spans="1:30" s="3" customFormat="1" ht="43.15" customHeight="1" outlineLevel="1" x14ac:dyDescent="0.2">
      <c r="A25" s="189" t="s">
        <v>1271</v>
      </c>
      <c r="B25" s="200" t="s">
        <v>320</v>
      </c>
      <c r="C25" s="191">
        <f>E25</f>
        <v>0</v>
      </c>
      <c r="D25" s="192">
        <f t="shared" ref="D25:D30" si="14">F25+K25+P25+U25+Z25</f>
        <v>0</v>
      </c>
      <c r="E25" s="191">
        <v>0</v>
      </c>
      <c r="F25" s="192">
        <f>G25+H25+I25</f>
        <v>0</v>
      </c>
      <c r="G25" s="192">
        <v>0</v>
      </c>
      <c r="H25" s="192">
        <v>0</v>
      </c>
      <c r="I25" s="192">
        <v>0</v>
      </c>
      <c r="J25" s="191">
        <v>0</v>
      </c>
      <c r="K25" s="192">
        <f t="shared" si="10"/>
        <v>0</v>
      </c>
      <c r="L25" s="192">
        <v>0</v>
      </c>
      <c r="M25" s="192">
        <v>0</v>
      </c>
      <c r="N25" s="192">
        <v>0</v>
      </c>
      <c r="O25" s="191">
        <v>0</v>
      </c>
      <c r="P25" s="192">
        <f t="shared" si="13"/>
        <v>0</v>
      </c>
      <c r="Q25" s="192">
        <v>0</v>
      </c>
      <c r="R25" s="201">
        <v>0</v>
      </c>
      <c r="S25" s="201">
        <f>5000-5000</f>
        <v>0</v>
      </c>
      <c r="T25" s="199">
        <v>0</v>
      </c>
      <c r="U25" s="192">
        <f>V25+W25+X25</f>
        <v>0</v>
      </c>
      <c r="V25" s="192">
        <v>0</v>
      </c>
      <c r="W25" s="201">
        <v>0</v>
      </c>
      <c r="X25" s="201">
        <f>5000-5000</f>
        <v>0</v>
      </c>
      <c r="Y25" s="199">
        <v>0</v>
      </c>
      <c r="Z25" s="192">
        <v>0</v>
      </c>
      <c r="AA25" s="201">
        <v>0</v>
      </c>
      <c r="AB25" s="201">
        <v>0</v>
      </c>
      <c r="AC25" s="201">
        <v>0</v>
      </c>
      <c r="AD25" s="51"/>
    </row>
    <row r="26" spans="1:30" s="3" customFormat="1" ht="132" customHeight="1" outlineLevel="1" x14ac:dyDescent="0.2">
      <c r="A26" s="189" t="s">
        <v>1272</v>
      </c>
      <c r="B26" s="200" t="s">
        <v>236</v>
      </c>
      <c r="C26" s="191">
        <f>E26+J26</f>
        <v>0</v>
      </c>
      <c r="D26" s="192">
        <f t="shared" si="14"/>
        <v>0</v>
      </c>
      <c r="E26" s="191">
        <v>0</v>
      </c>
      <c r="F26" s="192">
        <f>G26+H26+I26</f>
        <v>0</v>
      </c>
      <c r="G26" s="192">
        <v>0</v>
      </c>
      <c r="H26" s="192">
        <v>0</v>
      </c>
      <c r="I26" s="192">
        <v>0</v>
      </c>
      <c r="J26" s="191">
        <v>0</v>
      </c>
      <c r="K26" s="192">
        <f t="shared" si="10"/>
        <v>0</v>
      </c>
      <c r="L26" s="192">
        <v>0</v>
      </c>
      <c r="M26" s="192">
        <v>0</v>
      </c>
      <c r="N26" s="192">
        <v>0</v>
      </c>
      <c r="O26" s="191">
        <v>0</v>
      </c>
      <c r="P26" s="192">
        <f>Q26+R26+S26</f>
        <v>0</v>
      </c>
      <c r="Q26" s="192">
        <v>0</v>
      </c>
      <c r="R26" s="201">
        <v>0</v>
      </c>
      <c r="S26" s="201">
        <v>0</v>
      </c>
      <c r="T26" s="199">
        <v>0</v>
      </c>
      <c r="U26" s="192">
        <v>0</v>
      </c>
      <c r="V26" s="192">
        <v>0</v>
      </c>
      <c r="W26" s="201">
        <v>0</v>
      </c>
      <c r="X26" s="201">
        <v>0</v>
      </c>
      <c r="Y26" s="199">
        <v>0</v>
      </c>
      <c r="Z26" s="192">
        <v>0</v>
      </c>
      <c r="AA26" s="201">
        <v>0</v>
      </c>
      <c r="AB26" s="201">
        <v>0</v>
      </c>
      <c r="AC26" s="201">
        <v>0</v>
      </c>
      <c r="AD26" s="51"/>
    </row>
    <row r="27" spans="1:30" s="3" customFormat="1" ht="130.5" customHeight="1" outlineLevel="1" x14ac:dyDescent="0.2">
      <c r="A27" s="189" t="s">
        <v>1273</v>
      </c>
      <c r="B27" s="200" t="s">
        <v>237</v>
      </c>
      <c r="C27" s="191">
        <f>E27+J27</f>
        <v>0</v>
      </c>
      <c r="D27" s="192">
        <f t="shared" si="14"/>
        <v>0</v>
      </c>
      <c r="E27" s="191">
        <v>0</v>
      </c>
      <c r="F27" s="192">
        <f>G27+H27+I27</f>
        <v>0</v>
      </c>
      <c r="G27" s="192">
        <v>0</v>
      </c>
      <c r="H27" s="192">
        <v>0</v>
      </c>
      <c r="I27" s="192">
        <v>0</v>
      </c>
      <c r="J27" s="191">
        <v>0</v>
      </c>
      <c r="K27" s="192">
        <f t="shared" si="10"/>
        <v>0</v>
      </c>
      <c r="L27" s="192">
        <v>0</v>
      </c>
      <c r="M27" s="192">
        <v>0</v>
      </c>
      <c r="N27" s="192">
        <v>0</v>
      </c>
      <c r="O27" s="191">
        <v>0</v>
      </c>
      <c r="P27" s="192">
        <f>Q27+R27+S27</f>
        <v>0</v>
      </c>
      <c r="Q27" s="192">
        <v>0</v>
      </c>
      <c r="R27" s="201">
        <v>0</v>
      </c>
      <c r="S27" s="201">
        <v>0</v>
      </c>
      <c r="T27" s="199">
        <v>0</v>
      </c>
      <c r="U27" s="192">
        <v>0</v>
      </c>
      <c r="V27" s="192">
        <v>0</v>
      </c>
      <c r="W27" s="201">
        <v>0</v>
      </c>
      <c r="X27" s="201">
        <v>0</v>
      </c>
      <c r="Y27" s="199">
        <v>0</v>
      </c>
      <c r="Z27" s="192">
        <v>0</v>
      </c>
      <c r="AA27" s="201">
        <v>0</v>
      </c>
      <c r="AB27" s="201">
        <v>0</v>
      </c>
      <c r="AC27" s="201">
        <v>0</v>
      </c>
      <c r="AD27" s="51"/>
    </row>
    <row r="28" spans="1:30" s="3" customFormat="1" ht="57.6" customHeight="1" outlineLevel="1" x14ac:dyDescent="0.2">
      <c r="A28" s="189" t="s">
        <v>1274</v>
      </c>
      <c r="B28" s="200" t="s">
        <v>292</v>
      </c>
      <c r="C28" s="191">
        <f>E28</f>
        <v>0.6</v>
      </c>
      <c r="D28" s="192">
        <f>F28+K28+P28+U28+Z28</f>
        <v>67025</v>
      </c>
      <c r="E28" s="189">
        <f>E29+E30</f>
        <v>0.6</v>
      </c>
      <c r="F28" s="192">
        <f>F29+F30+F31</f>
        <v>66016</v>
      </c>
      <c r="G28" s="192">
        <f>G29+G30+G31</f>
        <v>0</v>
      </c>
      <c r="H28" s="192">
        <f>H29+H30+H31</f>
        <v>60962</v>
      </c>
      <c r="I28" s="192">
        <f>I29+I30+I31</f>
        <v>5054</v>
      </c>
      <c r="J28" s="191">
        <v>0</v>
      </c>
      <c r="K28" s="192">
        <f>K29+K30+K31</f>
        <v>1009</v>
      </c>
      <c r="L28" s="192">
        <f>L29+L30+L31</f>
        <v>0</v>
      </c>
      <c r="M28" s="192">
        <f>M29+M30+M31</f>
        <v>0</v>
      </c>
      <c r="N28" s="192">
        <f>N29+N30+N31</f>
        <v>1009</v>
      </c>
      <c r="O28" s="191">
        <v>0</v>
      </c>
      <c r="P28" s="192">
        <f t="shared" ref="P28:AC28" si="15">P29+P30</f>
        <v>0</v>
      </c>
      <c r="Q28" s="192">
        <f t="shared" si="15"/>
        <v>0</v>
      </c>
      <c r="R28" s="192">
        <f t="shared" si="15"/>
        <v>0</v>
      </c>
      <c r="S28" s="192">
        <f t="shared" si="15"/>
        <v>0</v>
      </c>
      <c r="T28" s="199">
        <v>0</v>
      </c>
      <c r="U28" s="192">
        <f t="shared" si="15"/>
        <v>0</v>
      </c>
      <c r="V28" s="192">
        <f t="shared" si="15"/>
        <v>0</v>
      </c>
      <c r="W28" s="192">
        <f t="shared" si="15"/>
        <v>0</v>
      </c>
      <c r="X28" s="192">
        <f t="shared" si="15"/>
        <v>0</v>
      </c>
      <c r="Y28" s="199">
        <v>0</v>
      </c>
      <c r="Z28" s="192">
        <f>Z29+Z30</f>
        <v>0</v>
      </c>
      <c r="AA28" s="192">
        <f t="shared" si="15"/>
        <v>0</v>
      </c>
      <c r="AB28" s="192">
        <f t="shared" si="15"/>
        <v>0</v>
      </c>
      <c r="AC28" s="192">
        <f t="shared" si="15"/>
        <v>0</v>
      </c>
      <c r="AD28" s="51"/>
    </row>
    <row r="29" spans="1:30" ht="54" customHeight="1" outlineLevel="1" x14ac:dyDescent="0.2">
      <c r="A29" s="193" t="s">
        <v>1275</v>
      </c>
      <c r="B29" s="128" t="s">
        <v>292</v>
      </c>
      <c r="C29" s="195">
        <f>E29</f>
        <v>0.6</v>
      </c>
      <c r="D29" s="196">
        <f t="shared" si="14"/>
        <v>64036</v>
      </c>
      <c r="E29" s="195">
        <v>0.6</v>
      </c>
      <c r="F29" s="196">
        <f>G29+H29+I29</f>
        <v>64036</v>
      </c>
      <c r="G29" s="196">
        <v>0</v>
      </c>
      <c r="H29" s="196">
        <v>60962</v>
      </c>
      <c r="I29" s="196">
        <v>3074</v>
      </c>
      <c r="J29" s="195">
        <v>0</v>
      </c>
      <c r="K29" s="196">
        <v>0</v>
      </c>
      <c r="L29" s="196">
        <v>0</v>
      </c>
      <c r="M29" s="196">
        <v>0</v>
      </c>
      <c r="N29" s="196">
        <v>0</v>
      </c>
      <c r="O29" s="195">
        <v>0</v>
      </c>
      <c r="P29" s="196">
        <v>0</v>
      </c>
      <c r="Q29" s="196">
        <v>0</v>
      </c>
      <c r="R29" s="198">
        <v>0</v>
      </c>
      <c r="S29" s="198">
        <v>0</v>
      </c>
      <c r="T29" s="197">
        <v>0</v>
      </c>
      <c r="U29" s="196">
        <v>0</v>
      </c>
      <c r="V29" s="196">
        <v>0</v>
      </c>
      <c r="W29" s="198">
        <v>0</v>
      </c>
      <c r="X29" s="198">
        <v>0</v>
      </c>
      <c r="Y29" s="197">
        <v>0</v>
      </c>
      <c r="Z29" s="196">
        <v>0</v>
      </c>
      <c r="AA29" s="198">
        <v>0</v>
      </c>
      <c r="AB29" s="198">
        <v>0</v>
      </c>
      <c r="AC29" s="198">
        <v>0</v>
      </c>
      <c r="AD29" s="46"/>
    </row>
    <row r="30" spans="1:30" ht="79.150000000000006" customHeight="1" outlineLevel="1" x14ac:dyDescent="0.2">
      <c r="A30" s="193" t="s">
        <v>1276</v>
      </c>
      <c r="B30" s="128" t="s">
        <v>317</v>
      </c>
      <c r="C30" s="195">
        <f>E30</f>
        <v>0</v>
      </c>
      <c r="D30" s="196">
        <f t="shared" si="14"/>
        <v>1980</v>
      </c>
      <c r="E30" s="195">
        <v>0</v>
      </c>
      <c r="F30" s="196">
        <f>G30+H30+I30</f>
        <v>1980</v>
      </c>
      <c r="G30" s="196">
        <v>0</v>
      </c>
      <c r="H30" s="196">
        <v>0</v>
      </c>
      <c r="I30" s="196">
        <v>1980</v>
      </c>
      <c r="J30" s="195">
        <v>0</v>
      </c>
      <c r="K30" s="196">
        <v>0</v>
      </c>
      <c r="L30" s="196">
        <v>0</v>
      </c>
      <c r="M30" s="196">
        <v>0</v>
      </c>
      <c r="N30" s="196">
        <v>0</v>
      </c>
      <c r="O30" s="195">
        <v>0</v>
      </c>
      <c r="P30" s="196">
        <v>0</v>
      </c>
      <c r="Q30" s="196">
        <v>0</v>
      </c>
      <c r="R30" s="198">
        <v>0</v>
      </c>
      <c r="S30" s="198">
        <v>0</v>
      </c>
      <c r="T30" s="197">
        <v>0</v>
      </c>
      <c r="U30" s="196">
        <v>0</v>
      </c>
      <c r="V30" s="196">
        <v>0</v>
      </c>
      <c r="W30" s="198">
        <v>0</v>
      </c>
      <c r="X30" s="198">
        <v>0</v>
      </c>
      <c r="Y30" s="197">
        <v>0</v>
      </c>
      <c r="Z30" s="196">
        <v>0</v>
      </c>
      <c r="AA30" s="198">
        <v>0</v>
      </c>
      <c r="AB30" s="198">
        <v>0</v>
      </c>
      <c r="AC30" s="198">
        <v>0</v>
      </c>
      <c r="AD30" s="46"/>
    </row>
    <row r="31" spans="1:30" ht="88.5" customHeight="1" outlineLevel="1" x14ac:dyDescent="0.2">
      <c r="A31" s="193" t="s">
        <v>1277</v>
      </c>
      <c r="B31" s="128" t="s">
        <v>400</v>
      </c>
      <c r="C31" s="195">
        <f>E31</f>
        <v>0</v>
      </c>
      <c r="D31" s="196">
        <f>F31+K31+P31+U31+Z31</f>
        <v>1009</v>
      </c>
      <c r="E31" s="195">
        <v>0</v>
      </c>
      <c r="F31" s="196">
        <f>G31+H31+I31</f>
        <v>0</v>
      </c>
      <c r="G31" s="196">
        <v>0</v>
      </c>
      <c r="H31" s="196">
        <v>0</v>
      </c>
      <c r="I31" s="196">
        <v>0</v>
      </c>
      <c r="J31" s="195">
        <v>0</v>
      </c>
      <c r="K31" s="196">
        <f>L31+M31+N31</f>
        <v>1009</v>
      </c>
      <c r="L31" s="196">
        <v>0</v>
      </c>
      <c r="M31" s="196">
        <v>0</v>
      </c>
      <c r="N31" s="196">
        <v>1009</v>
      </c>
      <c r="O31" s="195">
        <v>0</v>
      </c>
      <c r="P31" s="196">
        <v>0</v>
      </c>
      <c r="Q31" s="196">
        <v>0</v>
      </c>
      <c r="R31" s="198">
        <v>0</v>
      </c>
      <c r="S31" s="198">
        <v>0</v>
      </c>
      <c r="T31" s="197">
        <v>0</v>
      </c>
      <c r="U31" s="196">
        <v>0</v>
      </c>
      <c r="V31" s="196">
        <v>0</v>
      </c>
      <c r="W31" s="198">
        <v>0</v>
      </c>
      <c r="X31" s="198">
        <v>0</v>
      </c>
      <c r="Y31" s="197">
        <v>0</v>
      </c>
      <c r="Z31" s="196">
        <v>0</v>
      </c>
      <c r="AA31" s="198">
        <v>0</v>
      </c>
      <c r="AB31" s="198">
        <v>0</v>
      </c>
      <c r="AC31" s="198">
        <v>0</v>
      </c>
      <c r="AD31" s="46"/>
    </row>
    <row r="32" spans="1:30" ht="88.5" customHeight="1" outlineLevel="1" x14ac:dyDescent="0.2">
      <c r="A32" s="189" t="s">
        <v>1278</v>
      </c>
      <c r="B32" s="200" t="s">
        <v>571</v>
      </c>
      <c r="C32" s="191">
        <v>0</v>
      </c>
      <c r="D32" s="192">
        <f>F32+K32+P32+U32+Z32</f>
        <v>0</v>
      </c>
      <c r="E32" s="191">
        <v>0</v>
      </c>
      <c r="F32" s="192">
        <f>G32+H32+I32</f>
        <v>0</v>
      </c>
      <c r="G32" s="192">
        <v>0</v>
      </c>
      <c r="H32" s="192">
        <v>0</v>
      </c>
      <c r="I32" s="192">
        <v>0</v>
      </c>
      <c r="J32" s="191">
        <v>0</v>
      </c>
      <c r="K32" s="192">
        <f>L32+M32+N32</f>
        <v>0</v>
      </c>
      <c r="L32" s="192">
        <v>0</v>
      </c>
      <c r="M32" s="192">
        <v>0</v>
      </c>
      <c r="N32" s="192">
        <v>0</v>
      </c>
      <c r="O32" s="191">
        <v>0</v>
      </c>
      <c r="P32" s="192">
        <f>Q32+R32+S32</f>
        <v>0</v>
      </c>
      <c r="Q32" s="192">
        <v>0</v>
      </c>
      <c r="R32" s="192">
        <v>0</v>
      </c>
      <c r="S32" s="192">
        <v>0</v>
      </c>
      <c r="T32" s="199">
        <v>0</v>
      </c>
      <c r="U32" s="192">
        <f>V32+W32+X32</f>
        <v>0</v>
      </c>
      <c r="V32" s="192">
        <v>0</v>
      </c>
      <c r="W32" s="192">
        <v>0</v>
      </c>
      <c r="X32" s="192">
        <v>0</v>
      </c>
      <c r="Y32" s="199">
        <v>0</v>
      </c>
      <c r="Z32" s="192">
        <f>AA32+AB32+AC32</f>
        <v>0</v>
      </c>
      <c r="AA32" s="192">
        <v>0</v>
      </c>
      <c r="AB32" s="192">
        <v>0</v>
      </c>
      <c r="AC32" s="192">
        <v>0</v>
      </c>
      <c r="AD32" s="46"/>
    </row>
    <row r="33" spans="1:30" s="12" customFormat="1" ht="40.5" customHeight="1" x14ac:dyDescent="0.2">
      <c r="A33" s="202"/>
      <c r="B33" s="203" t="s">
        <v>489</v>
      </c>
      <c r="C33" s="204">
        <f t="shared" ref="C33:R33" si="16">C11+C16+C17+C18+C19+C20+C21+C23+C15+C25+C26+C27+C28+C32</f>
        <v>3.0680000000000001</v>
      </c>
      <c r="D33" s="205">
        <f t="shared" si="16"/>
        <v>440467</v>
      </c>
      <c r="E33" s="204">
        <f t="shared" si="16"/>
        <v>2.1</v>
      </c>
      <c r="F33" s="205">
        <f t="shared" si="16"/>
        <v>321465</v>
      </c>
      <c r="G33" s="205">
        <f t="shared" si="16"/>
        <v>126793</v>
      </c>
      <c r="H33" s="205">
        <f t="shared" si="16"/>
        <v>182270</v>
      </c>
      <c r="I33" s="205">
        <f t="shared" si="16"/>
        <v>12402</v>
      </c>
      <c r="J33" s="204">
        <f t="shared" si="16"/>
        <v>0</v>
      </c>
      <c r="K33" s="205">
        <f t="shared" si="16"/>
        <v>8332</v>
      </c>
      <c r="L33" s="205">
        <f t="shared" si="16"/>
        <v>0</v>
      </c>
      <c r="M33" s="205">
        <f t="shared" si="16"/>
        <v>0</v>
      </c>
      <c r="N33" s="205">
        <f t="shared" si="16"/>
        <v>8332</v>
      </c>
      <c r="O33" s="206">
        <f t="shared" si="16"/>
        <v>0</v>
      </c>
      <c r="P33" s="205">
        <f t="shared" si="16"/>
        <v>67626</v>
      </c>
      <c r="Q33" s="205">
        <f t="shared" si="16"/>
        <v>0</v>
      </c>
      <c r="R33" s="205">
        <f t="shared" si="16"/>
        <v>64161</v>
      </c>
      <c r="S33" s="205">
        <f>S11+S16+S17+S18+S19+S20+S21+S23+S15+S25+S26+S27+S32</f>
        <v>3465</v>
      </c>
      <c r="T33" s="204">
        <f>T11+T16+T17+T18+T19+T20+T21+T23+T15+T25+T26+T27+T28+T32</f>
        <v>0.96799999999999997</v>
      </c>
      <c r="U33" s="205">
        <f>V33+W33+X33</f>
        <v>43044</v>
      </c>
      <c r="V33" s="205">
        <f>V11+V16+V17+V18+V19+V20+V21+V23+V15+V25+V26+V27+V28+V32</f>
        <v>0</v>
      </c>
      <c r="W33" s="205">
        <f>W11+W16+W17+W18+W19+W20+W21+W23+W15+W25+W26+W27+W28+W32</f>
        <v>40792</v>
      </c>
      <c r="X33" s="205">
        <f>X11+X16+X17+X18+X19+X20+X21+X23+X15+X25+X26+X27+X28+X32</f>
        <v>2252</v>
      </c>
      <c r="Y33" s="204">
        <f>Y11+Y15+Y16+Y17+Y18+Y19+Y20+Y21+Y23+Y25+Y26+Y27+Y28+Y32</f>
        <v>0</v>
      </c>
      <c r="Z33" s="205">
        <f>Z11+Z16+Z17+Z18+Z19+Z20+Z21+Z23+Z15+Z25+Z26+Z27+Z28+Z32</f>
        <v>0</v>
      </c>
      <c r="AA33" s="205">
        <f>AA11+AA16+AA17+AA18+AA19+AA20+AA21+AA23+AA15+AA25+AA26+AA27+AA28+AA32</f>
        <v>0</v>
      </c>
      <c r="AB33" s="205">
        <f>AB11+AB16+AB17+AB18+AB19+AB20+AB21+AB23+AB15+AB25+AB26+AB27+AB28+AB32</f>
        <v>0</v>
      </c>
      <c r="AC33" s="205">
        <f>AC11+AC16+AC17+AC18+AC19+AC20+AC21+AC23+AC15+AC25+AC26+AC27+AC28+AC32</f>
        <v>0</v>
      </c>
      <c r="AD33" s="202"/>
    </row>
    <row r="34" spans="1:30" ht="40.5" customHeight="1" x14ac:dyDescent="0.2">
      <c r="A34" s="207" t="s">
        <v>41</v>
      </c>
      <c r="B34" s="447" t="s">
        <v>1108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9"/>
      <c r="AD34" s="46"/>
    </row>
    <row r="35" spans="1:30" s="3" customFormat="1" ht="112.15" customHeight="1" outlineLevel="1" x14ac:dyDescent="0.2">
      <c r="A35" s="189" t="s">
        <v>490</v>
      </c>
      <c r="B35" s="208" t="s">
        <v>46</v>
      </c>
      <c r="C35" s="191">
        <f t="shared" ref="C35:C36" si="17">E35+J35+O35+Y35+T35</f>
        <v>0</v>
      </c>
      <c r="D35" s="192">
        <f t="shared" ref="D35:D37" si="18">F35+K35+P35+Z35+U35</f>
        <v>0</v>
      </c>
      <c r="E35" s="191">
        <v>0</v>
      </c>
      <c r="F35" s="201">
        <f>G35+H35+I35</f>
        <v>0</v>
      </c>
      <c r="G35" s="192">
        <v>0</v>
      </c>
      <c r="H35" s="192">
        <v>0</v>
      </c>
      <c r="I35" s="192">
        <v>0</v>
      </c>
      <c r="J35" s="191">
        <v>0</v>
      </c>
      <c r="K35" s="192">
        <f>N35+M35+L35</f>
        <v>0</v>
      </c>
      <c r="L35" s="192">
        <v>0</v>
      </c>
      <c r="M35" s="192">
        <v>0</v>
      </c>
      <c r="N35" s="192">
        <v>0</v>
      </c>
      <c r="O35" s="191">
        <v>0</v>
      </c>
      <c r="P35" s="201">
        <f t="shared" ref="P35:P37" si="19">S35+R35+Q35</f>
        <v>0</v>
      </c>
      <c r="Q35" s="192">
        <v>0</v>
      </c>
      <c r="R35" s="192">
        <v>0</v>
      </c>
      <c r="S35" s="192">
        <v>0</v>
      </c>
      <c r="T35" s="191">
        <v>0</v>
      </c>
      <c r="U35" s="201">
        <f t="shared" ref="U35:U37" si="20">V35+W35+X35</f>
        <v>0</v>
      </c>
      <c r="V35" s="192">
        <v>0</v>
      </c>
      <c r="W35" s="192">
        <v>0</v>
      </c>
      <c r="X35" s="192">
        <v>0</v>
      </c>
      <c r="Y35" s="191">
        <v>0</v>
      </c>
      <c r="Z35" s="192">
        <f>AC35+AB35+AA35</f>
        <v>0</v>
      </c>
      <c r="AA35" s="192">
        <v>0</v>
      </c>
      <c r="AB35" s="192">
        <v>0</v>
      </c>
      <c r="AC35" s="192">
        <v>0</v>
      </c>
      <c r="AD35" s="51"/>
    </row>
    <row r="36" spans="1:30" s="3" customFormat="1" ht="105" customHeight="1" outlineLevel="1" x14ac:dyDescent="0.2">
      <c r="A36" s="189" t="s">
        <v>491</v>
      </c>
      <c r="B36" s="208" t="s">
        <v>130</v>
      </c>
      <c r="C36" s="191">
        <f t="shared" si="17"/>
        <v>0</v>
      </c>
      <c r="D36" s="192">
        <f t="shared" si="18"/>
        <v>0</v>
      </c>
      <c r="E36" s="191">
        <v>0</v>
      </c>
      <c r="F36" s="201">
        <f>G36+H36+I36</f>
        <v>0</v>
      </c>
      <c r="G36" s="192">
        <v>0</v>
      </c>
      <c r="H36" s="192">
        <v>0</v>
      </c>
      <c r="I36" s="192">
        <v>0</v>
      </c>
      <c r="J36" s="191">
        <v>0</v>
      </c>
      <c r="K36" s="192">
        <f t="shared" ref="K36:K37" si="21">N36+M36+L36</f>
        <v>0</v>
      </c>
      <c r="L36" s="192">
        <v>0</v>
      </c>
      <c r="M36" s="192">
        <v>0</v>
      </c>
      <c r="N36" s="192">
        <v>0</v>
      </c>
      <c r="O36" s="191">
        <v>0</v>
      </c>
      <c r="P36" s="201">
        <f t="shared" si="19"/>
        <v>0</v>
      </c>
      <c r="Q36" s="192">
        <v>0</v>
      </c>
      <c r="R36" s="192">
        <v>0</v>
      </c>
      <c r="S36" s="192">
        <v>0</v>
      </c>
      <c r="T36" s="191">
        <v>0</v>
      </c>
      <c r="U36" s="201">
        <f t="shared" si="20"/>
        <v>0</v>
      </c>
      <c r="V36" s="192">
        <v>0</v>
      </c>
      <c r="W36" s="192">
        <v>0</v>
      </c>
      <c r="X36" s="192">
        <v>0</v>
      </c>
      <c r="Y36" s="191">
        <v>0</v>
      </c>
      <c r="Z36" s="192">
        <f t="shared" ref="Z36:Z37" si="22">AC36+AB36+AA36</f>
        <v>0</v>
      </c>
      <c r="AA36" s="192">
        <v>0</v>
      </c>
      <c r="AB36" s="192">
        <v>0</v>
      </c>
      <c r="AC36" s="192">
        <v>0</v>
      </c>
      <c r="AD36" s="51"/>
    </row>
    <row r="37" spans="1:30" s="3" customFormat="1" ht="122.25" customHeight="1" outlineLevel="1" x14ac:dyDescent="0.2">
      <c r="A37" s="189" t="s">
        <v>492</v>
      </c>
      <c r="B37" s="208" t="s">
        <v>655</v>
      </c>
      <c r="C37" s="191">
        <f>E37+J37+O37+Y37+T37</f>
        <v>0</v>
      </c>
      <c r="D37" s="192">
        <f t="shared" si="18"/>
        <v>0</v>
      </c>
      <c r="E37" s="191">
        <v>0</v>
      </c>
      <c r="F37" s="201">
        <f t="shared" ref="F37" si="23">G37+H37+I37</f>
        <v>0</v>
      </c>
      <c r="G37" s="192">
        <v>0</v>
      </c>
      <c r="H37" s="192">
        <v>0</v>
      </c>
      <c r="I37" s="192">
        <v>0</v>
      </c>
      <c r="J37" s="191">
        <v>0</v>
      </c>
      <c r="K37" s="192">
        <f t="shared" si="21"/>
        <v>0</v>
      </c>
      <c r="L37" s="192">
        <v>0</v>
      </c>
      <c r="M37" s="192">
        <v>0</v>
      </c>
      <c r="N37" s="192">
        <v>0</v>
      </c>
      <c r="O37" s="191">
        <v>0</v>
      </c>
      <c r="P37" s="201">
        <f t="shared" si="19"/>
        <v>0</v>
      </c>
      <c r="Q37" s="192">
        <v>0</v>
      </c>
      <c r="R37" s="192">
        <v>0</v>
      </c>
      <c r="S37" s="192">
        <v>0</v>
      </c>
      <c r="T37" s="191">
        <v>0</v>
      </c>
      <c r="U37" s="201">
        <f t="shared" si="20"/>
        <v>0</v>
      </c>
      <c r="V37" s="192">
        <v>0</v>
      </c>
      <c r="W37" s="192">
        <v>0</v>
      </c>
      <c r="X37" s="192">
        <v>0</v>
      </c>
      <c r="Y37" s="191">
        <v>0</v>
      </c>
      <c r="Z37" s="192">
        <f t="shared" si="22"/>
        <v>0</v>
      </c>
      <c r="AA37" s="192">
        <v>0</v>
      </c>
      <c r="AB37" s="192">
        <v>0</v>
      </c>
      <c r="AC37" s="192">
        <v>0</v>
      </c>
      <c r="AD37" s="51"/>
    </row>
    <row r="38" spans="1:30" s="3" customFormat="1" ht="79.5" customHeight="1" outlineLevel="1" x14ac:dyDescent="0.2">
      <c r="A38" s="189" t="s">
        <v>493</v>
      </c>
      <c r="B38" s="208" t="s">
        <v>318</v>
      </c>
      <c r="C38" s="191">
        <f t="shared" ref="C38:D40" si="24">E38+J38+O38+T38+Y38</f>
        <v>2</v>
      </c>
      <c r="D38" s="192">
        <f>F38+K38+P38+U38+Z38</f>
        <v>184170</v>
      </c>
      <c r="E38" s="199">
        <v>1</v>
      </c>
      <c r="F38" s="201">
        <f>G38+H38+I38</f>
        <v>66560</v>
      </c>
      <c r="G38" s="201">
        <f>G39+G40</f>
        <v>0</v>
      </c>
      <c r="H38" s="201">
        <f>H39+H40</f>
        <v>62060</v>
      </c>
      <c r="I38" s="201">
        <f>I39+I40</f>
        <v>4500</v>
      </c>
      <c r="J38" s="191">
        <v>0</v>
      </c>
      <c r="K38" s="192">
        <f>K39+K40</f>
        <v>0</v>
      </c>
      <c r="L38" s="192">
        <f>L39+L40</f>
        <v>0</v>
      </c>
      <c r="M38" s="192">
        <f>M39+M40</f>
        <v>0</v>
      </c>
      <c r="N38" s="192">
        <f>N39+N40</f>
        <v>0</v>
      </c>
      <c r="O38" s="199">
        <f>O39+O40</f>
        <v>1</v>
      </c>
      <c r="P38" s="201">
        <f>S38+R38+Q38</f>
        <v>117610</v>
      </c>
      <c r="Q38" s="201">
        <v>0</v>
      </c>
      <c r="R38" s="201">
        <f>R39+R40+R41</f>
        <v>110000</v>
      </c>
      <c r="S38" s="201">
        <f>S39+S40+S41</f>
        <v>7610</v>
      </c>
      <c r="T38" s="199">
        <v>0</v>
      </c>
      <c r="U38" s="201">
        <f>V38+W38+X38</f>
        <v>0</v>
      </c>
      <c r="V38" s="201">
        <v>0</v>
      </c>
      <c r="W38" s="201">
        <v>0</v>
      </c>
      <c r="X38" s="201">
        <v>0</v>
      </c>
      <c r="Y38" s="199">
        <v>0</v>
      </c>
      <c r="Z38" s="201">
        <v>0</v>
      </c>
      <c r="AA38" s="201">
        <v>0</v>
      </c>
      <c r="AB38" s="201">
        <v>0</v>
      </c>
      <c r="AC38" s="201">
        <v>0</v>
      </c>
      <c r="AD38" s="51"/>
    </row>
    <row r="39" spans="1:30" ht="79.5" customHeight="1" outlineLevel="1" x14ac:dyDescent="0.2">
      <c r="A39" s="193" t="s">
        <v>494</v>
      </c>
      <c r="B39" s="209" t="s">
        <v>318</v>
      </c>
      <c r="C39" s="195">
        <f t="shared" si="24"/>
        <v>2</v>
      </c>
      <c r="D39" s="196">
        <f t="shared" si="24"/>
        <v>180619</v>
      </c>
      <c r="E39" s="197">
        <v>1</v>
      </c>
      <c r="F39" s="198">
        <f>G39+H39+I39</f>
        <v>65189</v>
      </c>
      <c r="G39" s="198">
        <v>0</v>
      </c>
      <c r="H39" s="198">
        <f>62060</f>
        <v>62060</v>
      </c>
      <c r="I39" s="198">
        <v>3129</v>
      </c>
      <c r="J39" s="195">
        <v>0</v>
      </c>
      <c r="K39" s="196">
        <f>L39+M39+N39</f>
        <v>0</v>
      </c>
      <c r="L39" s="196">
        <v>0</v>
      </c>
      <c r="M39" s="198">
        <f>61000-33953-27047</f>
        <v>0</v>
      </c>
      <c r="N39" s="198">
        <f>3756-2091-1665</f>
        <v>0</v>
      </c>
      <c r="O39" s="197">
        <v>1</v>
      </c>
      <c r="P39" s="198">
        <f>S39+R39</f>
        <v>115430</v>
      </c>
      <c r="Q39" s="198">
        <v>0</v>
      </c>
      <c r="R39" s="198">
        <v>108735</v>
      </c>
      <c r="S39" s="198">
        <v>6695</v>
      </c>
      <c r="T39" s="197">
        <v>0</v>
      </c>
      <c r="U39" s="198">
        <f>V39+W39+X39</f>
        <v>0</v>
      </c>
      <c r="V39" s="198">
        <v>0</v>
      </c>
      <c r="W39" s="198">
        <v>0</v>
      </c>
      <c r="X39" s="198">
        <v>0</v>
      </c>
      <c r="Y39" s="197">
        <v>0</v>
      </c>
      <c r="Z39" s="198">
        <v>0</v>
      </c>
      <c r="AA39" s="198">
        <v>0</v>
      </c>
      <c r="AB39" s="198">
        <v>0</v>
      </c>
      <c r="AC39" s="198">
        <v>0</v>
      </c>
      <c r="AD39" s="46"/>
    </row>
    <row r="40" spans="1:30" ht="93" customHeight="1" outlineLevel="1" x14ac:dyDescent="0.2">
      <c r="A40" s="193" t="s">
        <v>495</v>
      </c>
      <c r="B40" s="209" t="s">
        <v>326</v>
      </c>
      <c r="C40" s="195">
        <f t="shared" si="24"/>
        <v>0</v>
      </c>
      <c r="D40" s="196">
        <f t="shared" si="24"/>
        <v>2208</v>
      </c>
      <c r="E40" s="197">
        <v>0</v>
      </c>
      <c r="F40" s="198">
        <f>G40+H40+I40</f>
        <v>1371</v>
      </c>
      <c r="G40" s="198">
        <v>0</v>
      </c>
      <c r="H40" s="198">
        <v>0</v>
      </c>
      <c r="I40" s="198">
        <v>1371</v>
      </c>
      <c r="J40" s="195">
        <v>0</v>
      </c>
      <c r="K40" s="196">
        <v>0</v>
      </c>
      <c r="L40" s="196">
        <v>0</v>
      </c>
      <c r="M40" s="198">
        <v>0</v>
      </c>
      <c r="N40" s="198">
        <v>0</v>
      </c>
      <c r="O40" s="197">
        <v>0</v>
      </c>
      <c r="P40" s="198">
        <f>Q40+R40+S40</f>
        <v>837</v>
      </c>
      <c r="Q40" s="198">
        <v>0</v>
      </c>
      <c r="R40" s="198">
        <v>0</v>
      </c>
      <c r="S40" s="198">
        <f>1366+836-1365</f>
        <v>837</v>
      </c>
      <c r="T40" s="197">
        <v>0</v>
      </c>
      <c r="U40" s="198">
        <v>0</v>
      </c>
      <c r="V40" s="198">
        <v>0</v>
      </c>
      <c r="W40" s="198">
        <v>0</v>
      </c>
      <c r="X40" s="198">
        <v>0</v>
      </c>
      <c r="Y40" s="197">
        <v>0</v>
      </c>
      <c r="Z40" s="198">
        <v>0</v>
      </c>
      <c r="AA40" s="198">
        <v>0</v>
      </c>
      <c r="AB40" s="198">
        <v>0</v>
      </c>
      <c r="AC40" s="198">
        <v>0</v>
      </c>
      <c r="AD40" s="46"/>
    </row>
    <row r="41" spans="1:30" ht="27" customHeight="1" outlineLevel="1" x14ac:dyDescent="0.2">
      <c r="A41" s="193"/>
      <c r="B41" s="209" t="s">
        <v>216</v>
      </c>
      <c r="C41" s="195">
        <f>E41+J41+O41+T41+Y41</f>
        <v>0</v>
      </c>
      <c r="D41" s="196">
        <f>F41+K41+P41+U41+Z41</f>
        <v>1343</v>
      </c>
      <c r="E41" s="197">
        <v>0</v>
      </c>
      <c r="F41" s="198">
        <f>G41+H41+I41</f>
        <v>0</v>
      </c>
      <c r="G41" s="198">
        <v>0</v>
      </c>
      <c r="H41" s="198">
        <v>0</v>
      </c>
      <c r="I41" s="198">
        <v>0</v>
      </c>
      <c r="J41" s="195">
        <v>0</v>
      </c>
      <c r="K41" s="196">
        <f>L41+M41+N41</f>
        <v>0</v>
      </c>
      <c r="L41" s="196">
        <v>0</v>
      </c>
      <c r="M41" s="198">
        <f>35662-35662</f>
        <v>0</v>
      </c>
      <c r="N41" s="198">
        <v>0</v>
      </c>
      <c r="O41" s="197">
        <v>0</v>
      </c>
      <c r="P41" s="198">
        <f>Q41+R41+S41</f>
        <v>1343</v>
      </c>
      <c r="Q41" s="198">
        <v>0</v>
      </c>
      <c r="R41" s="198">
        <v>1265</v>
      </c>
      <c r="S41" s="198">
        <v>78</v>
      </c>
      <c r="T41" s="197">
        <v>0</v>
      </c>
      <c r="U41" s="198">
        <v>0</v>
      </c>
      <c r="V41" s="198">
        <v>0</v>
      </c>
      <c r="W41" s="198">
        <v>0</v>
      </c>
      <c r="X41" s="198">
        <v>0</v>
      </c>
      <c r="Y41" s="197">
        <v>0</v>
      </c>
      <c r="Z41" s="198">
        <v>0</v>
      </c>
      <c r="AA41" s="198">
        <v>0</v>
      </c>
      <c r="AB41" s="198">
        <v>0</v>
      </c>
      <c r="AC41" s="193">
        <v>0</v>
      </c>
      <c r="AD41" s="46"/>
    </row>
    <row r="42" spans="1:30" s="3" customFormat="1" ht="106.5" customHeight="1" outlineLevel="1" x14ac:dyDescent="0.2">
      <c r="A42" s="189" t="s">
        <v>496</v>
      </c>
      <c r="B42" s="208" t="s">
        <v>359</v>
      </c>
      <c r="C42" s="191">
        <f>E42+J42+O42+T42+Y42</f>
        <v>0.99299999999999999</v>
      </c>
      <c r="D42" s="192">
        <f>F42+K42+P42+U42+Z42</f>
        <v>222522</v>
      </c>
      <c r="E42" s="199">
        <v>0</v>
      </c>
      <c r="F42" s="201">
        <f>G42+H42+I42</f>
        <v>0</v>
      </c>
      <c r="G42" s="201">
        <v>0</v>
      </c>
      <c r="H42" s="201">
        <v>0</v>
      </c>
      <c r="I42" s="201">
        <v>0</v>
      </c>
      <c r="J42" s="191">
        <f>0.45-0.42</f>
        <v>3.0000000000000027E-2</v>
      </c>
      <c r="K42" s="192">
        <f>L42+M42+N42</f>
        <v>2196</v>
      </c>
      <c r="L42" s="192">
        <v>0</v>
      </c>
      <c r="M42" s="201">
        <f>35662-35662</f>
        <v>0</v>
      </c>
      <c r="N42" s="201">
        <v>2196</v>
      </c>
      <c r="O42" s="199">
        <v>0.96299999999999997</v>
      </c>
      <c r="P42" s="201">
        <f>Q42+R42+S42</f>
        <v>219169</v>
      </c>
      <c r="Q42" s="201">
        <v>0</v>
      </c>
      <c r="R42" s="201">
        <f>0+196000+1952</f>
        <v>197952</v>
      </c>
      <c r="S42" s="201">
        <f>8048+360+5272+7537</f>
        <v>21217</v>
      </c>
      <c r="T42" s="199">
        <v>0</v>
      </c>
      <c r="U42" s="205">
        <f>V42+W42+X42</f>
        <v>1157</v>
      </c>
      <c r="V42" s="201">
        <v>0</v>
      </c>
      <c r="W42" s="201">
        <f>14769-14769</f>
        <v>0</v>
      </c>
      <c r="X42" s="201">
        <f>747+410</f>
        <v>1157</v>
      </c>
      <c r="Y42" s="199">
        <v>0</v>
      </c>
      <c r="Z42" s="201">
        <v>0</v>
      </c>
      <c r="AA42" s="201">
        <v>0</v>
      </c>
      <c r="AB42" s="201">
        <v>0</v>
      </c>
      <c r="AC42" s="201">
        <v>0</v>
      </c>
      <c r="AD42" s="51"/>
    </row>
    <row r="43" spans="1:30" s="13" customFormat="1" ht="42" customHeight="1" x14ac:dyDescent="0.2">
      <c r="A43" s="210"/>
      <c r="B43" s="211" t="s">
        <v>497</v>
      </c>
      <c r="C43" s="204">
        <f t="shared" ref="C43:S43" si="25">C35+C36+C37+C38+C42</f>
        <v>2.9929999999999999</v>
      </c>
      <c r="D43" s="205">
        <f t="shared" si="25"/>
        <v>406692</v>
      </c>
      <c r="E43" s="204">
        <f t="shared" si="25"/>
        <v>1</v>
      </c>
      <c r="F43" s="205">
        <f t="shared" si="25"/>
        <v>66560</v>
      </c>
      <c r="G43" s="205">
        <f t="shared" si="25"/>
        <v>0</v>
      </c>
      <c r="H43" s="205">
        <f t="shared" si="25"/>
        <v>62060</v>
      </c>
      <c r="I43" s="205">
        <f t="shared" si="25"/>
        <v>4500</v>
      </c>
      <c r="J43" s="204">
        <f t="shared" si="25"/>
        <v>3.0000000000000027E-2</v>
      </c>
      <c r="K43" s="205">
        <f t="shared" si="25"/>
        <v>2196</v>
      </c>
      <c r="L43" s="205">
        <f t="shared" si="25"/>
        <v>0</v>
      </c>
      <c r="M43" s="205">
        <f t="shared" si="25"/>
        <v>0</v>
      </c>
      <c r="N43" s="205">
        <f t="shared" si="25"/>
        <v>2196</v>
      </c>
      <c r="O43" s="204">
        <f t="shared" si="25"/>
        <v>1.9630000000000001</v>
      </c>
      <c r="P43" s="205">
        <f t="shared" si="25"/>
        <v>336779</v>
      </c>
      <c r="Q43" s="205">
        <f t="shared" si="25"/>
        <v>0</v>
      </c>
      <c r="R43" s="205">
        <f t="shared" si="25"/>
        <v>307952</v>
      </c>
      <c r="S43" s="205">
        <f t="shared" si="25"/>
        <v>28827</v>
      </c>
      <c r="T43" s="204">
        <f>T35+Y36+Y37+T38+T42</f>
        <v>0</v>
      </c>
      <c r="U43" s="205">
        <f>U35+U36+U37+U38+U42</f>
        <v>1157</v>
      </c>
      <c r="V43" s="205">
        <f>V35+AA36+AA37+V38+V42</f>
        <v>0</v>
      </c>
      <c r="W43" s="205">
        <f t="shared" ref="W43:AC43" si="26">W35+W36+W37+W38+W42</f>
        <v>0</v>
      </c>
      <c r="X43" s="205">
        <f t="shared" si="26"/>
        <v>1157</v>
      </c>
      <c r="Y43" s="204">
        <f t="shared" si="26"/>
        <v>0</v>
      </c>
      <c r="Z43" s="205">
        <f t="shared" si="26"/>
        <v>0</v>
      </c>
      <c r="AA43" s="205">
        <f t="shared" si="26"/>
        <v>0</v>
      </c>
      <c r="AB43" s="205">
        <f t="shared" si="26"/>
        <v>0</v>
      </c>
      <c r="AC43" s="205">
        <f t="shared" si="26"/>
        <v>0</v>
      </c>
      <c r="AD43" s="212"/>
    </row>
    <row r="44" spans="1:30" s="14" customFormat="1" ht="29.45" customHeight="1" x14ac:dyDescent="0.2">
      <c r="A44" s="213" t="s">
        <v>132</v>
      </c>
      <c r="B44" s="438" t="s">
        <v>498</v>
      </c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40"/>
      <c r="AD44" s="214"/>
    </row>
    <row r="45" spans="1:30" s="14" customFormat="1" ht="163.5" customHeight="1" outlineLevel="1" x14ac:dyDescent="0.2">
      <c r="A45" s="215" t="s">
        <v>1279</v>
      </c>
      <c r="B45" s="216" t="s">
        <v>129</v>
      </c>
      <c r="C45" s="217">
        <v>0</v>
      </c>
      <c r="D45" s="218">
        <f t="shared" ref="D45:D52" si="27">F45+K45+P45+U45+Z45</f>
        <v>21758</v>
      </c>
      <c r="E45" s="195">
        <v>0</v>
      </c>
      <c r="F45" s="196">
        <f>I45</f>
        <v>5316</v>
      </c>
      <c r="G45" s="196">
        <v>0</v>
      </c>
      <c r="H45" s="196">
        <v>0</v>
      </c>
      <c r="I45" s="196">
        <f>5960-644</f>
        <v>5316</v>
      </c>
      <c r="J45" s="217">
        <v>0</v>
      </c>
      <c r="K45" s="218">
        <f t="shared" ref="K45:K50" si="28">L45+M45+N45</f>
        <v>5316</v>
      </c>
      <c r="L45" s="218">
        <v>0</v>
      </c>
      <c r="M45" s="219">
        <v>0</v>
      </c>
      <c r="N45" s="218">
        <v>5316</v>
      </c>
      <c r="O45" s="217">
        <v>0</v>
      </c>
      <c r="P45" s="218">
        <f>Q45+R45+S45</f>
        <v>5315</v>
      </c>
      <c r="Q45" s="218">
        <v>0</v>
      </c>
      <c r="R45" s="219">
        <v>0</v>
      </c>
      <c r="S45" s="218">
        <v>5315</v>
      </c>
      <c r="T45" s="220">
        <v>0</v>
      </c>
      <c r="U45" s="219">
        <f>V45+W45+X45</f>
        <v>5811</v>
      </c>
      <c r="V45" s="219">
        <v>0</v>
      </c>
      <c r="W45" s="219">
        <v>0</v>
      </c>
      <c r="X45" s="219">
        <f>5315+496</f>
        <v>5811</v>
      </c>
      <c r="Y45" s="220">
        <v>0</v>
      </c>
      <c r="Z45" s="219">
        <v>0</v>
      </c>
      <c r="AA45" s="219">
        <v>0</v>
      </c>
      <c r="AB45" s="219">
        <v>0</v>
      </c>
      <c r="AC45" s="219">
        <v>0</v>
      </c>
      <c r="AD45" s="221"/>
    </row>
    <row r="46" spans="1:30" s="14" customFormat="1" ht="133.5" customHeight="1" outlineLevel="1" x14ac:dyDescent="0.2">
      <c r="A46" s="215" t="s">
        <v>1280</v>
      </c>
      <c r="B46" s="216" t="s">
        <v>131</v>
      </c>
      <c r="C46" s="217">
        <v>0</v>
      </c>
      <c r="D46" s="218">
        <f t="shared" si="27"/>
        <v>16702</v>
      </c>
      <c r="E46" s="195">
        <v>0</v>
      </c>
      <c r="F46" s="196">
        <f>I46</f>
        <v>4685</v>
      </c>
      <c r="G46" s="196">
        <v>0</v>
      </c>
      <c r="H46" s="196">
        <v>0</v>
      </c>
      <c r="I46" s="196">
        <v>4685</v>
      </c>
      <c r="J46" s="217">
        <v>0</v>
      </c>
      <c r="K46" s="218">
        <f t="shared" si="28"/>
        <v>0</v>
      </c>
      <c r="L46" s="218">
        <v>0</v>
      </c>
      <c r="M46" s="219">
        <v>0</v>
      </c>
      <c r="N46" s="218">
        <v>0</v>
      </c>
      <c r="O46" s="217">
        <v>0</v>
      </c>
      <c r="P46" s="218">
        <f>Q46+R46+S46</f>
        <v>4685</v>
      </c>
      <c r="Q46" s="218">
        <v>0</v>
      </c>
      <c r="R46" s="219">
        <v>0</v>
      </c>
      <c r="S46" s="218">
        <v>4685</v>
      </c>
      <c r="T46" s="220">
        <v>0</v>
      </c>
      <c r="U46" s="219">
        <f>V46+W46+X46</f>
        <v>7332</v>
      </c>
      <c r="V46" s="219">
        <v>0</v>
      </c>
      <c r="W46" s="219">
        <v>0</v>
      </c>
      <c r="X46" s="219">
        <f>4685+71+2576</f>
        <v>7332</v>
      </c>
      <c r="Y46" s="220">
        <v>0</v>
      </c>
      <c r="Z46" s="219">
        <v>0</v>
      </c>
      <c r="AA46" s="219">
        <v>0</v>
      </c>
      <c r="AB46" s="219">
        <v>0</v>
      </c>
      <c r="AC46" s="219">
        <v>0</v>
      </c>
      <c r="AD46" s="221"/>
    </row>
    <row r="47" spans="1:30" s="14" customFormat="1" ht="93" customHeight="1" outlineLevel="1" x14ac:dyDescent="0.2">
      <c r="A47" s="215" t="s">
        <v>1281</v>
      </c>
      <c r="B47" s="216" t="s">
        <v>656</v>
      </c>
      <c r="C47" s="195">
        <f>E47+J47+O47++Y47+T47</f>
        <v>0.1</v>
      </c>
      <c r="D47" s="218">
        <f>F47+K47+P47+U47+Z47</f>
        <v>8025</v>
      </c>
      <c r="E47" s="195">
        <f>1-1</f>
        <v>0</v>
      </c>
      <c r="F47" s="196">
        <f>I47</f>
        <v>0</v>
      </c>
      <c r="G47" s="196">
        <v>0</v>
      </c>
      <c r="H47" s="196">
        <v>0</v>
      </c>
      <c r="I47" s="196">
        <v>0</v>
      </c>
      <c r="J47" s="217">
        <v>0</v>
      </c>
      <c r="K47" s="218">
        <f t="shared" si="28"/>
        <v>0</v>
      </c>
      <c r="L47" s="218">
        <v>0</v>
      </c>
      <c r="M47" s="219">
        <v>0</v>
      </c>
      <c r="N47" s="218">
        <v>0</v>
      </c>
      <c r="O47" s="217">
        <v>0</v>
      </c>
      <c r="P47" s="218">
        <f>Q47+R47+S47</f>
        <v>0</v>
      </c>
      <c r="Q47" s="218">
        <v>0</v>
      </c>
      <c r="R47" s="219">
        <v>0</v>
      </c>
      <c r="S47" s="218">
        <f>324-324</f>
        <v>0</v>
      </c>
      <c r="T47" s="220">
        <v>0</v>
      </c>
      <c r="U47" s="219">
        <f t="shared" ref="U47:U48" si="29">V47+W47+X47</f>
        <v>0</v>
      </c>
      <c r="V47" s="219">
        <v>0</v>
      </c>
      <c r="W47" s="219">
        <v>0</v>
      </c>
      <c r="X47" s="219">
        <v>0</v>
      </c>
      <c r="Y47" s="220">
        <v>0.1</v>
      </c>
      <c r="Z47" s="219">
        <f t="shared" ref="Z47:Z69" si="30">AA47+AB47+AC47</f>
        <v>8025</v>
      </c>
      <c r="AA47" s="219">
        <v>0</v>
      </c>
      <c r="AB47" s="219">
        <v>0</v>
      </c>
      <c r="AC47" s="219">
        <f>8452-427</f>
        <v>8025</v>
      </c>
      <c r="AD47" s="221"/>
    </row>
    <row r="48" spans="1:30" ht="121.5" customHeight="1" outlineLevel="1" x14ac:dyDescent="0.2">
      <c r="A48" s="215" t="s">
        <v>1282</v>
      </c>
      <c r="B48" s="209" t="s">
        <v>408</v>
      </c>
      <c r="C48" s="195">
        <f t="shared" ref="C48:C69" si="31">E48+J48+O48++Y48+T48</f>
        <v>0</v>
      </c>
      <c r="D48" s="218">
        <f t="shared" si="27"/>
        <v>53</v>
      </c>
      <c r="E48" s="197">
        <v>0</v>
      </c>
      <c r="F48" s="198">
        <v>0</v>
      </c>
      <c r="G48" s="198">
        <v>0</v>
      </c>
      <c r="H48" s="198">
        <v>0</v>
      </c>
      <c r="I48" s="198">
        <v>0</v>
      </c>
      <c r="J48" s="195">
        <v>0</v>
      </c>
      <c r="K48" s="218">
        <f t="shared" si="28"/>
        <v>53</v>
      </c>
      <c r="L48" s="196">
        <v>0</v>
      </c>
      <c r="M48" s="198">
        <v>0</v>
      </c>
      <c r="N48" s="198">
        <v>53</v>
      </c>
      <c r="O48" s="197">
        <v>0</v>
      </c>
      <c r="P48" s="198">
        <f>S48</f>
        <v>0</v>
      </c>
      <c r="Q48" s="198">
        <v>0</v>
      </c>
      <c r="R48" s="198">
        <v>0</v>
      </c>
      <c r="S48" s="198">
        <v>0</v>
      </c>
      <c r="T48" s="197">
        <v>0</v>
      </c>
      <c r="U48" s="219">
        <f t="shared" si="29"/>
        <v>0</v>
      </c>
      <c r="V48" s="196">
        <v>0</v>
      </c>
      <c r="W48" s="196">
        <v>0</v>
      </c>
      <c r="X48" s="196">
        <v>0</v>
      </c>
      <c r="Y48" s="197">
        <v>0</v>
      </c>
      <c r="Z48" s="219">
        <f t="shared" si="30"/>
        <v>0</v>
      </c>
      <c r="AA48" s="198">
        <v>0</v>
      </c>
      <c r="AB48" s="198">
        <v>0</v>
      </c>
      <c r="AC48" s="198">
        <v>0</v>
      </c>
      <c r="AD48" s="46"/>
    </row>
    <row r="49" spans="1:30" s="14" customFormat="1" ht="85.15" customHeight="1" outlineLevel="1" x14ac:dyDescent="0.2">
      <c r="A49" s="215" t="s">
        <v>1283</v>
      </c>
      <c r="B49" s="70" t="s">
        <v>368</v>
      </c>
      <c r="C49" s="195">
        <f t="shared" si="31"/>
        <v>0</v>
      </c>
      <c r="D49" s="218">
        <f t="shared" si="27"/>
        <v>5920</v>
      </c>
      <c r="E49" s="195">
        <v>0</v>
      </c>
      <c r="F49" s="196">
        <f>I49</f>
        <v>0</v>
      </c>
      <c r="G49" s="196">
        <v>0</v>
      </c>
      <c r="H49" s="196">
        <v>0</v>
      </c>
      <c r="I49" s="196">
        <v>0</v>
      </c>
      <c r="J49" s="217">
        <v>0</v>
      </c>
      <c r="K49" s="218">
        <f t="shared" si="28"/>
        <v>0</v>
      </c>
      <c r="L49" s="218">
        <v>0</v>
      </c>
      <c r="M49" s="219">
        <v>0</v>
      </c>
      <c r="N49" s="218">
        <v>0</v>
      </c>
      <c r="O49" s="217">
        <v>0</v>
      </c>
      <c r="P49" s="218">
        <f>S49</f>
        <v>0</v>
      </c>
      <c r="Q49" s="218">
        <v>0</v>
      </c>
      <c r="R49" s="219">
        <v>0</v>
      </c>
      <c r="S49" s="218">
        <f>4887-4887</f>
        <v>0</v>
      </c>
      <c r="T49" s="220">
        <v>0</v>
      </c>
      <c r="U49" s="219">
        <f>V49+W49+X49</f>
        <v>5920</v>
      </c>
      <c r="V49" s="219">
        <v>0</v>
      </c>
      <c r="W49" s="219">
        <v>0</v>
      </c>
      <c r="X49" s="219">
        <f>6358-196-79-163</f>
        <v>5920</v>
      </c>
      <c r="Y49" s="220">
        <v>0</v>
      </c>
      <c r="Z49" s="219">
        <f t="shared" si="30"/>
        <v>0</v>
      </c>
      <c r="AA49" s="219">
        <v>0</v>
      </c>
      <c r="AB49" s="219">
        <v>0</v>
      </c>
      <c r="AC49" s="219">
        <v>0</v>
      </c>
      <c r="AD49" s="221"/>
    </row>
    <row r="50" spans="1:30" s="14" customFormat="1" ht="102" customHeight="1" outlineLevel="1" x14ac:dyDescent="0.2">
      <c r="A50" s="215" t="s">
        <v>1284</v>
      </c>
      <c r="B50" s="70" t="s">
        <v>605</v>
      </c>
      <c r="C50" s="195">
        <f t="shared" si="31"/>
        <v>1.3</v>
      </c>
      <c r="D50" s="218">
        <f t="shared" si="27"/>
        <v>15681</v>
      </c>
      <c r="E50" s="195">
        <v>0</v>
      </c>
      <c r="F50" s="196">
        <v>0</v>
      </c>
      <c r="G50" s="196">
        <v>0</v>
      </c>
      <c r="H50" s="196">
        <v>0</v>
      </c>
      <c r="I50" s="196">
        <v>0</v>
      </c>
      <c r="J50" s="217">
        <v>0</v>
      </c>
      <c r="K50" s="218">
        <f t="shared" si="28"/>
        <v>0</v>
      </c>
      <c r="L50" s="218">
        <v>0</v>
      </c>
      <c r="M50" s="219">
        <v>0</v>
      </c>
      <c r="N50" s="218">
        <v>0</v>
      </c>
      <c r="O50" s="217">
        <v>0</v>
      </c>
      <c r="P50" s="218">
        <v>0</v>
      </c>
      <c r="Q50" s="218">
        <v>0</v>
      </c>
      <c r="R50" s="219">
        <v>0</v>
      </c>
      <c r="S50" s="218">
        <v>0</v>
      </c>
      <c r="T50" s="220">
        <v>0</v>
      </c>
      <c r="U50" s="219">
        <v>0</v>
      </c>
      <c r="V50" s="219">
        <v>0</v>
      </c>
      <c r="W50" s="219">
        <v>0</v>
      </c>
      <c r="X50" s="219">
        <v>0</v>
      </c>
      <c r="Y50" s="220">
        <v>1.3</v>
      </c>
      <c r="Z50" s="219">
        <f t="shared" si="30"/>
        <v>15681</v>
      </c>
      <c r="AA50" s="219">
        <v>0</v>
      </c>
      <c r="AB50" s="219">
        <v>0</v>
      </c>
      <c r="AC50" s="219">
        <v>15681</v>
      </c>
      <c r="AD50" s="221"/>
    </row>
    <row r="51" spans="1:30" s="14" customFormat="1" ht="117.75" customHeight="1" outlineLevel="1" x14ac:dyDescent="0.2">
      <c r="A51" s="215" t="s">
        <v>1285</v>
      </c>
      <c r="B51" s="70" t="s">
        <v>645</v>
      </c>
      <c r="C51" s="195">
        <f t="shared" si="31"/>
        <v>0</v>
      </c>
      <c r="D51" s="218">
        <f t="shared" si="27"/>
        <v>0</v>
      </c>
      <c r="E51" s="195">
        <v>0</v>
      </c>
      <c r="F51" s="196">
        <f>I51</f>
        <v>0</v>
      </c>
      <c r="G51" s="196">
        <v>0</v>
      </c>
      <c r="H51" s="196">
        <v>0</v>
      </c>
      <c r="I51" s="196">
        <v>0</v>
      </c>
      <c r="J51" s="217">
        <v>0</v>
      </c>
      <c r="K51" s="218">
        <f t="shared" ref="K51:K58" si="32">L51+M51+N51</f>
        <v>0</v>
      </c>
      <c r="L51" s="218">
        <v>0</v>
      </c>
      <c r="M51" s="219">
        <v>0</v>
      </c>
      <c r="N51" s="218">
        <v>0</v>
      </c>
      <c r="O51" s="217">
        <v>0</v>
      </c>
      <c r="P51" s="218">
        <f>S51</f>
        <v>0</v>
      </c>
      <c r="Q51" s="218">
        <v>0</v>
      </c>
      <c r="R51" s="219">
        <v>0</v>
      </c>
      <c r="S51" s="218">
        <v>0</v>
      </c>
      <c r="T51" s="220">
        <v>0</v>
      </c>
      <c r="U51" s="219">
        <f t="shared" ref="U51:U70" si="33">V51+W51+X51</f>
        <v>0</v>
      </c>
      <c r="V51" s="219">
        <v>0</v>
      </c>
      <c r="W51" s="219">
        <v>0</v>
      </c>
      <c r="X51" s="219">
        <f>5991-5991</f>
        <v>0</v>
      </c>
      <c r="Y51" s="220">
        <v>0</v>
      </c>
      <c r="Z51" s="219">
        <f t="shared" si="30"/>
        <v>0</v>
      </c>
      <c r="AA51" s="219">
        <v>0</v>
      </c>
      <c r="AB51" s="219">
        <v>0</v>
      </c>
      <c r="AC51" s="219">
        <v>0</v>
      </c>
      <c r="AD51" s="221"/>
    </row>
    <row r="52" spans="1:30" s="14" customFormat="1" ht="119.25" customHeight="1" outlineLevel="1" x14ac:dyDescent="0.2">
      <c r="A52" s="215" t="s">
        <v>1286</v>
      </c>
      <c r="B52" s="70" t="s">
        <v>602</v>
      </c>
      <c r="C52" s="195">
        <f t="shared" si="31"/>
        <v>0</v>
      </c>
      <c r="D52" s="218">
        <f t="shared" si="27"/>
        <v>6900</v>
      </c>
      <c r="E52" s="195">
        <v>0</v>
      </c>
      <c r="F52" s="196">
        <v>0</v>
      </c>
      <c r="G52" s="196">
        <v>0</v>
      </c>
      <c r="H52" s="196">
        <v>0</v>
      </c>
      <c r="I52" s="196">
        <v>0</v>
      </c>
      <c r="J52" s="217">
        <v>0</v>
      </c>
      <c r="K52" s="218">
        <f t="shared" si="32"/>
        <v>0</v>
      </c>
      <c r="L52" s="218">
        <v>0</v>
      </c>
      <c r="M52" s="219">
        <v>0</v>
      </c>
      <c r="N52" s="218">
        <v>0</v>
      </c>
      <c r="O52" s="217">
        <v>0</v>
      </c>
      <c r="P52" s="218">
        <f>S52</f>
        <v>0</v>
      </c>
      <c r="Q52" s="218">
        <v>0</v>
      </c>
      <c r="R52" s="219">
        <v>0</v>
      </c>
      <c r="S52" s="218">
        <v>0</v>
      </c>
      <c r="T52" s="220">
        <v>0</v>
      </c>
      <c r="U52" s="219">
        <f t="shared" si="33"/>
        <v>6900</v>
      </c>
      <c r="V52" s="219">
        <v>0</v>
      </c>
      <c r="W52" s="219">
        <v>0</v>
      </c>
      <c r="X52" s="219">
        <v>6900</v>
      </c>
      <c r="Y52" s="220">
        <v>0</v>
      </c>
      <c r="Z52" s="219">
        <f t="shared" si="30"/>
        <v>0</v>
      </c>
      <c r="AA52" s="219">
        <v>0</v>
      </c>
      <c r="AB52" s="219">
        <v>0</v>
      </c>
      <c r="AC52" s="219">
        <v>0</v>
      </c>
      <c r="AD52" s="221"/>
    </row>
    <row r="53" spans="1:30" s="14" customFormat="1" ht="145.5" customHeight="1" outlineLevel="1" x14ac:dyDescent="0.2">
      <c r="A53" s="215" t="s">
        <v>1287</v>
      </c>
      <c r="B53" s="70" t="s">
        <v>323</v>
      </c>
      <c r="C53" s="195">
        <f t="shared" si="31"/>
        <v>0</v>
      </c>
      <c r="D53" s="218">
        <f t="shared" ref="D53:D74" si="34">F53+K53+P53+U53+Z53</f>
        <v>10340</v>
      </c>
      <c r="E53" s="195">
        <v>0</v>
      </c>
      <c r="F53" s="196">
        <f t="shared" ref="F53:F69" si="35">G53+H53+I53</f>
        <v>6871</v>
      </c>
      <c r="G53" s="196">
        <v>0</v>
      </c>
      <c r="H53" s="196">
        <v>0</v>
      </c>
      <c r="I53" s="196">
        <v>6871</v>
      </c>
      <c r="J53" s="217">
        <v>0</v>
      </c>
      <c r="K53" s="218">
        <f>L53+M53+N53</f>
        <v>3469</v>
      </c>
      <c r="L53" s="218">
        <v>0</v>
      </c>
      <c r="M53" s="219">
        <v>0</v>
      </c>
      <c r="N53" s="218">
        <f>3361+108</f>
        <v>3469</v>
      </c>
      <c r="O53" s="217">
        <v>0</v>
      </c>
      <c r="P53" s="218">
        <f t="shared" ref="P53:P73" si="36">Q53+R53+S53</f>
        <v>0</v>
      </c>
      <c r="Q53" s="218">
        <v>0</v>
      </c>
      <c r="R53" s="219">
        <v>0</v>
      </c>
      <c r="S53" s="218">
        <v>0</v>
      </c>
      <c r="T53" s="220">
        <v>0</v>
      </c>
      <c r="U53" s="219">
        <f t="shared" si="33"/>
        <v>0</v>
      </c>
      <c r="V53" s="219">
        <v>0</v>
      </c>
      <c r="W53" s="219">
        <v>0</v>
      </c>
      <c r="X53" s="219">
        <v>0</v>
      </c>
      <c r="Y53" s="220">
        <v>0</v>
      </c>
      <c r="Z53" s="219">
        <f t="shared" si="30"/>
        <v>0</v>
      </c>
      <c r="AA53" s="219">
        <v>0</v>
      </c>
      <c r="AB53" s="219">
        <v>0</v>
      </c>
      <c r="AC53" s="219">
        <v>0</v>
      </c>
      <c r="AD53" s="221"/>
    </row>
    <row r="54" spans="1:30" s="14" customFormat="1" ht="73.5" customHeight="1" outlineLevel="1" x14ac:dyDescent="0.2">
      <c r="A54" s="215" t="s">
        <v>1288</v>
      </c>
      <c r="B54" s="70" t="s">
        <v>604</v>
      </c>
      <c r="C54" s="195">
        <f t="shared" si="31"/>
        <v>0.34</v>
      </c>
      <c r="D54" s="218">
        <f t="shared" si="34"/>
        <v>0</v>
      </c>
      <c r="E54" s="195">
        <v>0</v>
      </c>
      <c r="F54" s="196">
        <f t="shared" si="35"/>
        <v>0</v>
      </c>
      <c r="G54" s="196">
        <v>0</v>
      </c>
      <c r="H54" s="196">
        <v>0</v>
      </c>
      <c r="I54" s="196">
        <v>0</v>
      </c>
      <c r="J54" s="217">
        <v>0</v>
      </c>
      <c r="K54" s="218">
        <f t="shared" si="32"/>
        <v>0</v>
      </c>
      <c r="L54" s="218">
        <v>0</v>
      </c>
      <c r="M54" s="219">
        <v>0</v>
      </c>
      <c r="N54" s="218">
        <v>0</v>
      </c>
      <c r="O54" s="217">
        <v>0</v>
      </c>
      <c r="P54" s="218">
        <f t="shared" si="36"/>
        <v>0</v>
      </c>
      <c r="Q54" s="218">
        <v>0</v>
      </c>
      <c r="R54" s="219">
        <v>0</v>
      </c>
      <c r="S54" s="218">
        <v>0</v>
      </c>
      <c r="T54" s="220">
        <v>0</v>
      </c>
      <c r="U54" s="219">
        <f t="shared" si="33"/>
        <v>0</v>
      </c>
      <c r="V54" s="219">
        <v>0</v>
      </c>
      <c r="W54" s="219">
        <v>0</v>
      </c>
      <c r="X54" s="219">
        <v>0</v>
      </c>
      <c r="Y54" s="220">
        <v>0.34</v>
      </c>
      <c r="Z54" s="219">
        <f t="shared" si="30"/>
        <v>0</v>
      </c>
      <c r="AA54" s="219">
        <v>0</v>
      </c>
      <c r="AB54" s="219">
        <v>0</v>
      </c>
      <c r="AC54" s="219">
        <f>3639-3639</f>
        <v>0</v>
      </c>
      <c r="AD54" s="221"/>
    </row>
    <row r="55" spans="1:30" s="14" customFormat="1" ht="165.75" customHeight="1" outlineLevel="1" x14ac:dyDescent="0.2">
      <c r="A55" s="215" t="s">
        <v>1289</v>
      </c>
      <c r="B55" s="70" t="s">
        <v>212</v>
      </c>
      <c r="C55" s="195">
        <f t="shared" si="31"/>
        <v>0</v>
      </c>
      <c r="D55" s="218">
        <f t="shared" si="34"/>
        <v>3016</v>
      </c>
      <c r="E55" s="195">
        <v>0</v>
      </c>
      <c r="F55" s="196">
        <f t="shared" si="35"/>
        <v>1512</v>
      </c>
      <c r="G55" s="196">
        <v>0</v>
      </c>
      <c r="H55" s="196">
        <v>0</v>
      </c>
      <c r="I55" s="196">
        <v>1512</v>
      </c>
      <c r="J55" s="217">
        <v>0</v>
      </c>
      <c r="K55" s="218">
        <f t="shared" si="32"/>
        <v>1504</v>
      </c>
      <c r="L55" s="218">
        <v>0</v>
      </c>
      <c r="M55" s="219">
        <v>0</v>
      </c>
      <c r="N55" s="218">
        <v>1504</v>
      </c>
      <c r="O55" s="217">
        <v>0</v>
      </c>
      <c r="P55" s="218">
        <f t="shared" si="36"/>
        <v>0</v>
      </c>
      <c r="Q55" s="218">
        <v>0</v>
      </c>
      <c r="R55" s="219">
        <v>0</v>
      </c>
      <c r="S55" s="218">
        <v>0</v>
      </c>
      <c r="T55" s="220">
        <v>0</v>
      </c>
      <c r="U55" s="219">
        <f t="shared" si="33"/>
        <v>0</v>
      </c>
      <c r="V55" s="219">
        <v>0</v>
      </c>
      <c r="W55" s="219">
        <v>0</v>
      </c>
      <c r="X55" s="219">
        <v>0</v>
      </c>
      <c r="Y55" s="220">
        <v>0</v>
      </c>
      <c r="Z55" s="219">
        <f t="shared" si="30"/>
        <v>0</v>
      </c>
      <c r="AA55" s="219">
        <v>0</v>
      </c>
      <c r="AB55" s="219">
        <v>0</v>
      </c>
      <c r="AC55" s="219">
        <v>0</v>
      </c>
      <c r="AD55" s="221"/>
    </row>
    <row r="56" spans="1:30" s="14" customFormat="1" ht="75" customHeight="1" outlineLevel="1" x14ac:dyDescent="0.2">
      <c r="A56" s="215" t="s">
        <v>1290</v>
      </c>
      <c r="B56" s="70" t="s">
        <v>213</v>
      </c>
      <c r="C56" s="195">
        <f t="shared" si="31"/>
        <v>0</v>
      </c>
      <c r="D56" s="218">
        <f t="shared" si="34"/>
        <v>1100</v>
      </c>
      <c r="E56" s="195">
        <v>0</v>
      </c>
      <c r="F56" s="196">
        <f t="shared" si="35"/>
        <v>1100</v>
      </c>
      <c r="G56" s="196">
        <v>0</v>
      </c>
      <c r="H56" s="196">
        <v>0</v>
      </c>
      <c r="I56" s="196">
        <v>1100</v>
      </c>
      <c r="J56" s="217">
        <v>0</v>
      </c>
      <c r="K56" s="218">
        <f t="shared" si="32"/>
        <v>0</v>
      </c>
      <c r="L56" s="218">
        <v>0</v>
      </c>
      <c r="M56" s="219">
        <v>0</v>
      </c>
      <c r="N56" s="218">
        <v>0</v>
      </c>
      <c r="O56" s="217">
        <v>0</v>
      </c>
      <c r="P56" s="218">
        <f t="shared" si="36"/>
        <v>0</v>
      </c>
      <c r="Q56" s="218">
        <v>0</v>
      </c>
      <c r="R56" s="219">
        <v>0</v>
      </c>
      <c r="S56" s="218">
        <v>0</v>
      </c>
      <c r="T56" s="220">
        <v>0</v>
      </c>
      <c r="U56" s="219">
        <f t="shared" si="33"/>
        <v>0</v>
      </c>
      <c r="V56" s="219">
        <v>0</v>
      </c>
      <c r="W56" s="219">
        <v>0</v>
      </c>
      <c r="X56" s="219">
        <v>0</v>
      </c>
      <c r="Y56" s="220">
        <v>0</v>
      </c>
      <c r="Z56" s="219">
        <f t="shared" si="30"/>
        <v>0</v>
      </c>
      <c r="AA56" s="219">
        <v>0</v>
      </c>
      <c r="AB56" s="219">
        <v>0</v>
      </c>
      <c r="AC56" s="219">
        <v>0</v>
      </c>
      <c r="AD56" s="221"/>
    </row>
    <row r="57" spans="1:30" s="14" customFormat="1" ht="110.45" customHeight="1" outlineLevel="1" x14ac:dyDescent="0.2">
      <c r="A57" s="215" t="s">
        <v>1291</v>
      </c>
      <c r="B57" s="70" t="s">
        <v>238</v>
      </c>
      <c r="C57" s="195">
        <f t="shared" si="31"/>
        <v>0</v>
      </c>
      <c r="D57" s="218">
        <f t="shared" si="34"/>
        <v>18791</v>
      </c>
      <c r="E57" s="195">
        <v>0</v>
      </c>
      <c r="F57" s="196">
        <f t="shared" si="35"/>
        <v>6923</v>
      </c>
      <c r="G57" s="196">
        <v>0</v>
      </c>
      <c r="H57" s="196">
        <v>6590</v>
      </c>
      <c r="I57" s="196">
        <v>333</v>
      </c>
      <c r="J57" s="217">
        <v>0</v>
      </c>
      <c r="K57" s="218">
        <f t="shared" si="32"/>
        <v>6357</v>
      </c>
      <c r="L57" s="218">
        <v>0</v>
      </c>
      <c r="M57" s="219">
        <v>0</v>
      </c>
      <c r="N57" s="218">
        <v>6357</v>
      </c>
      <c r="O57" s="217">
        <v>0</v>
      </c>
      <c r="P57" s="218">
        <f t="shared" si="36"/>
        <v>5511</v>
      </c>
      <c r="Q57" s="218">
        <v>0</v>
      </c>
      <c r="R57" s="219">
        <v>0</v>
      </c>
      <c r="S57" s="218">
        <f>7211-1700</f>
        <v>5511</v>
      </c>
      <c r="T57" s="220">
        <v>0</v>
      </c>
      <c r="U57" s="219">
        <f t="shared" si="33"/>
        <v>0</v>
      </c>
      <c r="V57" s="219">
        <v>0</v>
      </c>
      <c r="W57" s="219">
        <v>0</v>
      </c>
      <c r="X57" s="219">
        <v>0</v>
      </c>
      <c r="Y57" s="220">
        <v>0</v>
      </c>
      <c r="Z57" s="219">
        <f t="shared" si="30"/>
        <v>0</v>
      </c>
      <c r="AA57" s="219">
        <v>0</v>
      </c>
      <c r="AB57" s="219">
        <v>0</v>
      </c>
      <c r="AC57" s="219">
        <v>0</v>
      </c>
      <c r="AD57" s="221"/>
    </row>
    <row r="58" spans="1:30" s="14" customFormat="1" ht="236.45" customHeight="1" outlineLevel="1" x14ac:dyDescent="0.2">
      <c r="A58" s="215" t="s">
        <v>1292</v>
      </c>
      <c r="B58" s="70" t="s">
        <v>239</v>
      </c>
      <c r="C58" s="195">
        <f t="shared" si="31"/>
        <v>0</v>
      </c>
      <c r="D58" s="218">
        <f t="shared" si="34"/>
        <v>778</v>
      </c>
      <c r="E58" s="195">
        <v>0</v>
      </c>
      <c r="F58" s="196">
        <f t="shared" si="35"/>
        <v>778</v>
      </c>
      <c r="G58" s="196">
        <v>0</v>
      </c>
      <c r="H58" s="196">
        <v>0</v>
      </c>
      <c r="I58" s="196">
        <v>778</v>
      </c>
      <c r="J58" s="217">
        <v>0</v>
      </c>
      <c r="K58" s="218">
        <f t="shared" si="32"/>
        <v>0</v>
      </c>
      <c r="L58" s="218">
        <v>0</v>
      </c>
      <c r="M58" s="219">
        <v>0</v>
      </c>
      <c r="N58" s="218">
        <v>0</v>
      </c>
      <c r="O58" s="217">
        <v>0</v>
      </c>
      <c r="P58" s="218">
        <f t="shared" si="36"/>
        <v>0</v>
      </c>
      <c r="Q58" s="218">
        <v>0</v>
      </c>
      <c r="R58" s="219">
        <v>0</v>
      </c>
      <c r="S58" s="218">
        <v>0</v>
      </c>
      <c r="T58" s="220">
        <v>0</v>
      </c>
      <c r="U58" s="219">
        <f t="shared" si="33"/>
        <v>0</v>
      </c>
      <c r="V58" s="219">
        <v>0</v>
      </c>
      <c r="W58" s="219">
        <v>0</v>
      </c>
      <c r="X58" s="219">
        <v>0</v>
      </c>
      <c r="Y58" s="220">
        <v>0</v>
      </c>
      <c r="Z58" s="219">
        <f t="shared" si="30"/>
        <v>0</v>
      </c>
      <c r="AA58" s="219">
        <v>0</v>
      </c>
      <c r="AB58" s="219">
        <v>0</v>
      </c>
      <c r="AC58" s="219">
        <v>0</v>
      </c>
      <c r="AD58" s="221"/>
    </row>
    <row r="59" spans="1:30" s="14" customFormat="1" ht="116.25" customHeight="1" outlineLevel="1" x14ac:dyDescent="0.2">
      <c r="A59" s="215" t="s">
        <v>1293</v>
      </c>
      <c r="B59" s="70" t="s">
        <v>287</v>
      </c>
      <c r="C59" s="195">
        <f t="shared" si="31"/>
        <v>0</v>
      </c>
      <c r="D59" s="218">
        <f t="shared" si="34"/>
        <v>4370</v>
      </c>
      <c r="E59" s="195">
        <v>0</v>
      </c>
      <c r="F59" s="196">
        <f t="shared" si="35"/>
        <v>4370</v>
      </c>
      <c r="G59" s="196">
        <v>0</v>
      </c>
      <c r="H59" s="196">
        <v>4160</v>
      </c>
      <c r="I59" s="196">
        <v>210</v>
      </c>
      <c r="J59" s="217">
        <v>0</v>
      </c>
      <c r="K59" s="218">
        <f t="shared" ref="K59:K64" si="37">L59+M59+N59</f>
        <v>0</v>
      </c>
      <c r="L59" s="218">
        <v>0</v>
      </c>
      <c r="M59" s="219">
        <v>0</v>
      </c>
      <c r="N59" s="218">
        <v>0</v>
      </c>
      <c r="O59" s="217">
        <v>0</v>
      </c>
      <c r="P59" s="218">
        <f t="shared" si="36"/>
        <v>0</v>
      </c>
      <c r="Q59" s="218">
        <v>0</v>
      </c>
      <c r="R59" s="219">
        <v>0</v>
      </c>
      <c r="S59" s="218">
        <v>0</v>
      </c>
      <c r="T59" s="220">
        <v>0</v>
      </c>
      <c r="U59" s="219">
        <f t="shared" si="33"/>
        <v>0</v>
      </c>
      <c r="V59" s="219">
        <v>0</v>
      </c>
      <c r="W59" s="219">
        <v>0</v>
      </c>
      <c r="X59" s="219">
        <v>0</v>
      </c>
      <c r="Y59" s="220">
        <v>0</v>
      </c>
      <c r="Z59" s="219">
        <f t="shared" si="30"/>
        <v>0</v>
      </c>
      <c r="AA59" s="219">
        <v>0</v>
      </c>
      <c r="AB59" s="219">
        <v>0</v>
      </c>
      <c r="AC59" s="219">
        <v>0</v>
      </c>
      <c r="AD59" s="221"/>
    </row>
    <row r="60" spans="1:30" s="14" customFormat="1" ht="109.5" customHeight="1" outlineLevel="1" x14ac:dyDescent="0.2">
      <c r="A60" s="215" t="s">
        <v>1294</v>
      </c>
      <c r="B60" s="70" t="s">
        <v>288</v>
      </c>
      <c r="C60" s="195">
        <f t="shared" si="31"/>
        <v>0</v>
      </c>
      <c r="D60" s="218">
        <f t="shared" si="34"/>
        <v>4081</v>
      </c>
      <c r="E60" s="195">
        <v>0</v>
      </c>
      <c r="F60" s="196">
        <f t="shared" si="35"/>
        <v>4081</v>
      </c>
      <c r="G60" s="196">
        <v>0</v>
      </c>
      <c r="H60" s="196">
        <v>3885</v>
      </c>
      <c r="I60" s="196">
        <v>196</v>
      </c>
      <c r="J60" s="217">
        <v>0</v>
      </c>
      <c r="K60" s="218">
        <f t="shared" si="37"/>
        <v>0</v>
      </c>
      <c r="L60" s="218">
        <v>0</v>
      </c>
      <c r="M60" s="219">
        <v>0</v>
      </c>
      <c r="N60" s="218">
        <v>0</v>
      </c>
      <c r="O60" s="217">
        <v>0</v>
      </c>
      <c r="P60" s="218">
        <f t="shared" si="36"/>
        <v>0</v>
      </c>
      <c r="Q60" s="218">
        <v>0</v>
      </c>
      <c r="R60" s="219">
        <v>0</v>
      </c>
      <c r="S60" s="218">
        <v>0</v>
      </c>
      <c r="T60" s="220">
        <v>0</v>
      </c>
      <c r="U60" s="219">
        <f t="shared" si="33"/>
        <v>0</v>
      </c>
      <c r="V60" s="219">
        <v>0</v>
      </c>
      <c r="W60" s="219">
        <v>0</v>
      </c>
      <c r="X60" s="219">
        <v>0</v>
      </c>
      <c r="Y60" s="220">
        <v>0</v>
      </c>
      <c r="Z60" s="219">
        <f t="shared" si="30"/>
        <v>0</v>
      </c>
      <c r="AA60" s="219">
        <v>0</v>
      </c>
      <c r="AB60" s="219">
        <v>0</v>
      </c>
      <c r="AC60" s="219">
        <v>0</v>
      </c>
      <c r="AD60" s="221"/>
    </row>
    <row r="61" spans="1:30" s="14" customFormat="1" ht="95.25" customHeight="1" outlineLevel="1" x14ac:dyDescent="0.2">
      <c r="A61" s="215" t="s">
        <v>1295</v>
      </c>
      <c r="B61" s="70" t="s">
        <v>289</v>
      </c>
      <c r="C61" s="195">
        <f t="shared" si="31"/>
        <v>0</v>
      </c>
      <c r="D61" s="218">
        <f t="shared" si="34"/>
        <v>1786</v>
      </c>
      <c r="E61" s="195">
        <v>0</v>
      </c>
      <c r="F61" s="196">
        <f t="shared" si="35"/>
        <v>1786</v>
      </c>
      <c r="G61" s="196">
        <v>0</v>
      </c>
      <c r="H61" s="196">
        <v>1700</v>
      </c>
      <c r="I61" s="196">
        <v>86</v>
      </c>
      <c r="J61" s="217">
        <v>0</v>
      </c>
      <c r="K61" s="218">
        <f t="shared" si="37"/>
        <v>0</v>
      </c>
      <c r="L61" s="218">
        <v>0</v>
      </c>
      <c r="M61" s="219">
        <v>0</v>
      </c>
      <c r="N61" s="218">
        <v>0</v>
      </c>
      <c r="O61" s="217">
        <v>0</v>
      </c>
      <c r="P61" s="218">
        <f t="shared" si="36"/>
        <v>0</v>
      </c>
      <c r="Q61" s="218">
        <v>0</v>
      </c>
      <c r="R61" s="219">
        <v>0</v>
      </c>
      <c r="S61" s="218">
        <v>0</v>
      </c>
      <c r="T61" s="220">
        <v>0</v>
      </c>
      <c r="U61" s="219">
        <f t="shared" si="33"/>
        <v>0</v>
      </c>
      <c r="V61" s="219">
        <v>0</v>
      </c>
      <c r="W61" s="219">
        <v>0</v>
      </c>
      <c r="X61" s="219">
        <v>0</v>
      </c>
      <c r="Y61" s="220">
        <v>0</v>
      </c>
      <c r="Z61" s="219">
        <f t="shared" si="30"/>
        <v>0</v>
      </c>
      <c r="AA61" s="219">
        <v>0</v>
      </c>
      <c r="AB61" s="219">
        <v>0</v>
      </c>
      <c r="AC61" s="219">
        <v>0</v>
      </c>
      <c r="AD61" s="221"/>
    </row>
    <row r="62" spans="1:30" s="14" customFormat="1" ht="105.6" customHeight="1" outlineLevel="1" x14ac:dyDescent="0.2">
      <c r="A62" s="215" t="s">
        <v>1296</v>
      </c>
      <c r="B62" s="70" t="s">
        <v>345</v>
      </c>
      <c r="C62" s="195">
        <f t="shared" si="31"/>
        <v>0</v>
      </c>
      <c r="D62" s="218">
        <f t="shared" si="34"/>
        <v>3041</v>
      </c>
      <c r="E62" s="195">
        <v>0</v>
      </c>
      <c r="F62" s="196">
        <f t="shared" si="35"/>
        <v>3041</v>
      </c>
      <c r="G62" s="196">
        <v>0</v>
      </c>
      <c r="H62" s="196">
        <v>0</v>
      </c>
      <c r="I62" s="196">
        <v>3041</v>
      </c>
      <c r="J62" s="217">
        <v>0</v>
      </c>
      <c r="K62" s="218">
        <f t="shared" si="37"/>
        <v>0</v>
      </c>
      <c r="L62" s="218">
        <v>0</v>
      </c>
      <c r="M62" s="219">
        <v>0</v>
      </c>
      <c r="N62" s="218">
        <v>0</v>
      </c>
      <c r="O62" s="217">
        <v>0</v>
      </c>
      <c r="P62" s="218">
        <f t="shared" si="36"/>
        <v>0</v>
      </c>
      <c r="Q62" s="218">
        <v>0</v>
      </c>
      <c r="R62" s="219">
        <v>0</v>
      </c>
      <c r="S62" s="218">
        <v>0</v>
      </c>
      <c r="T62" s="220">
        <v>0</v>
      </c>
      <c r="U62" s="219">
        <f t="shared" si="33"/>
        <v>0</v>
      </c>
      <c r="V62" s="219">
        <v>0</v>
      </c>
      <c r="W62" s="219">
        <v>0</v>
      </c>
      <c r="X62" s="219">
        <v>0</v>
      </c>
      <c r="Y62" s="220">
        <v>0</v>
      </c>
      <c r="Z62" s="219">
        <f t="shared" si="30"/>
        <v>0</v>
      </c>
      <c r="AA62" s="219">
        <v>0</v>
      </c>
      <c r="AB62" s="219">
        <v>0</v>
      </c>
      <c r="AC62" s="219">
        <v>0</v>
      </c>
      <c r="AD62" s="221"/>
    </row>
    <row r="63" spans="1:30" s="14" customFormat="1" ht="93.75" customHeight="1" outlineLevel="1" x14ac:dyDescent="0.2">
      <c r="A63" s="215" t="s">
        <v>1297</v>
      </c>
      <c r="B63" s="70" t="s">
        <v>346</v>
      </c>
      <c r="C63" s="195">
        <f t="shared" si="31"/>
        <v>0</v>
      </c>
      <c r="D63" s="218">
        <f t="shared" si="34"/>
        <v>3893</v>
      </c>
      <c r="E63" s="195">
        <v>0</v>
      </c>
      <c r="F63" s="196">
        <f t="shared" si="35"/>
        <v>3893</v>
      </c>
      <c r="G63" s="196">
        <v>0</v>
      </c>
      <c r="H63" s="196">
        <v>0</v>
      </c>
      <c r="I63" s="196">
        <f>3893</f>
        <v>3893</v>
      </c>
      <c r="J63" s="217">
        <v>0</v>
      </c>
      <c r="K63" s="218">
        <f t="shared" si="37"/>
        <v>0</v>
      </c>
      <c r="L63" s="218">
        <v>0</v>
      </c>
      <c r="M63" s="219">
        <v>0</v>
      </c>
      <c r="N63" s="218">
        <v>0</v>
      </c>
      <c r="O63" s="217">
        <v>0</v>
      </c>
      <c r="P63" s="218">
        <f t="shared" si="36"/>
        <v>0</v>
      </c>
      <c r="Q63" s="218">
        <v>0</v>
      </c>
      <c r="R63" s="219">
        <v>0</v>
      </c>
      <c r="S63" s="218">
        <v>0</v>
      </c>
      <c r="T63" s="220">
        <v>0</v>
      </c>
      <c r="U63" s="219">
        <f t="shared" si="33"/>
        <v>0</v>
      </c>
      <c r="V63" s="219">
        <v>0</v>
      </c>
      <c r="W63" s="219">
        <v>0</v>
      </c>
      <c r="X63" s="219">
        <v>0</v>
      </c>
      <c r="Y63" s="220">
        <v>0</v>
      </c>
      <c r="Z63" s="219">
        <f t="shared" si="30"/>
        <v>0</v>
      </c>
      <c r="AA63" s="219">
        <v>0</v>
      </c>
      <c r="AB63" s="219">
        <v>0</v>
      </c>
      <c r="AC63" s="219">
        <v>0</v>
      </c>
      <c r="AD63" s="221"/>
    </row>
    <row r="64" spans="1:30" s="14" customFormat="1" ht="72" customHeight="1" outlineLevel="1" x14ac:dyDescent="0.2">
      <c r="A64" s="215" t="s">
        <v>1298</v>
      </c>
      <c r="B64" s="70" t="s">
        <v>366</v>
      </c>
      <c r="C64" s="195">
        <f t="shared" si="31"/>
        <v>0</v>
      </c>
      <c r="D64" s="218">
        <f t="shared" si="34"/>
        <v>263</v>
      </c>
      <c r="E64" s="195">
        <v>0</v>
      </c>
      <c r="F64" s="196">
        <f t="shared" si="35"/>
        <v>0</v>
      </c>
      <c r="G64" s="196">
        <v>0</v>
      </c>
      <c r="H64" s="196">
        <v>0</v>
      </c>
      <c r="I64" s="196">
        <v>0</v>
      </c>
      <c r="J64" s="217">
        <v>0</v>
      </c>
      <c r="K64" s="218">
        <f t="shared" si="37"/>
        <v>263</v>
      </c>
      <c r="L64" s="218">
        <v>0</v>
      </c>
      <c r="M64" s="219">
        <v>0</v>
      </c>
      <c r="N64" s="218">
        <v>263</v>
      </c>
      <c r="O64" s="217">
        <v>0</v>
      </c>
      <c r="P64" s="218">
        <f t="shared" si="36"/>
        <v>0</v>
      </c>
      <c r="Q64" s="218">
        <v>0</v>
      </c>
      <c r="R64" s="219">
        <v>0</v>
      </c>
      <c r="S64" s="218">
        <v>0</v>
      </c>
      <c r="T64" s="220">
        <v>0</v>
      </c>
      <c r="U64" s="219">
        <f t="shared" si="33"/>
        <v>0</v>
      </c>
      <c r="V64" s="219">
        <v>0</v>
      </c>
      <c r="W64" s="219">
        <v>0</v>
      </c>
      <c r="X64" s="219">
        <v>0</v>
      </c>
      <c r="Y64" s="220">
        <v>0</v>
      </c>
      <c r="Z64" s="219">
        <f t="shared" si="30"/>
        <v>0</v>
      </c>
      <c r="AA64" s="219">
        <v>0</v>
      </c>
      <c r="AB64" s="219">
        <v>0</v>
      </c>
      <c r="AC64" s="219">
        <v>0</v>
      </c>
      <c r="AD64" s="221"/>
    </row>
    <row r="65" spans="1:31" s="14" customFormat="1" ht="69.75" customHeight="1" outlineLevel="1" x14ac:dyDescent="0.2">
      <c r="A65" s="215" t="s">
        <v>1300</v>
      </c>
      <c r="B65" s="70" t="s">
        <v>369</v>
      </c>
      <c r="C65" s="195">
        <f t="shared" si="31"/>
        <v>2.36</v>
      </c>
      <c r="D65" s="218">
        <f t="shared" si="34"/>
        <v>25870</v>
      </c>
      <c r="E65" s="195">
        <v>0</v>
      </c>
      <c r="F65" s="196">
        <f t="shared" si="35"/>
        <v>0</v>
      </c>
      <c r="G65" s="196">
        <v>0</v>
      </c>
      <c r="H65" s="196">
        <v>0</v>
      </c>
      <c r="I65" s="196">
        <v>0</v>
      </c>
      <c r="J65" s="217">
        <v>0</v>
      </c>
      <c r="K65" s="218">
        <f>SUM(L65:N65)</f>
        <v>0</v>
      </c>
      <c r="L65" s="218">
        <v>0</v>
      </c>
      <c r="M65" s="219">
        <v>0</v>
      </c>
      <c r="N65" s="218">
        <f>2016-1236-780</f>
        <v>0</v>
      </c>
      <c r="O65" s="217">
        <v>0</v>
      </c>
      <c r="P65" s="218">
        <f t="shared" si="36"/>
        <v>0</v>
      </c>
      <c r="Q65" s="218">
        <v>0</v>
      </c>
      <c r="R65" s="219">
        <v>0</v>
      </c>
      <c r="S65" s="218">
        <f>1366-1366</f>
        <v>0</v>
      </c>
      <c r="T65" s="220">
        <v>0</v>
      </c>
      <c r="U65" s="219">
        <f t="shared" si="33"/>
        <v>0</v>
      </c>
      <c r="V65" s="219">
        <v>0</v>
      </c>
      <c r="W65" s="219">
        <v>0</v>
      </c>
      <c r="X65" s="219">
        <v>0</v>
      </c>
      <c r="Y65" s="220">
        <v>2.36</v>
      </c>
      <c r="Z65" s="219">
        <f t="shared" si="30"/>
        <v>25870</v>
      </c>
      <c r="AA65" s="219">
        <v>0</v>
      </c>
      <c r="AB65" s="219">
        <v>0</v>
      </c>
      <c r="AC65" s="219">
        <v>25870</v>
      </c>
      <c r="AD65" s="221"/>
    </row>
    <row r="66" spans="1:31" s="14" customFormat="1" ht="119.25" customHeight="1" outlineLevel="1" x14ac:dyDescent="0.2">
      <c r="A66" s="215" t="s">
        <v>1299</v>
      </c>
      <c r="B66" s="70" t="s">
        <v>1358</v>
      </c>
      <c r="C66" s="195">
        <f t="shared" si="31"/>
        <v>0</v>
      </c>
      <c r="D66" s="218">
        <f t="shared" si="34"/>
        <v>79</v>
      </c>
      <c r="E66" s="195">
        <v>0</v>
      </c>
      <c r="F66" s="196">
        <f t="shared" si="35"/>
        <v>0</v>
      </c>
      <c r="G66" s="196">
        <v>0</v>
      </c>
      <c r="H66" s="196">
        <v>0</v>
      </c>
      <c r="I66" s="196">
        <v>0</v>
      </c>
      <c r="J66" s="217">
        <v>0</v>
      </c>
      <c r="K66" s="218">
        <f>SUM(L66:N66)</f>
        <v>0</v>
      </c>
      <c r="L66" s="218">
        <v>0</v>
      </c>
      <c r="M66" s="219">
        <v>0</v>
      </c>
      <c r="N66" s="218">
        <f>476-476</f>
        <v>0</v>
      </c>
      <c r="O66" s="217">
        <v>0</v>
      </c>
      <c r="P66" s="218">
        <f t="shared" si="36"/>
        <v>0</v>
      </c>
      <c r="Q66" s="218">
        <v>0</v>
      </c>
      <c r="R66" s="219">
        <v>0</v>
      </c>
      <c r="S66" s="218">
        <v>0</v>
      </c>
      <c r="T66" s="220">
        <v>0</v>
      </c>
      <c r="U66" s="219">
        <f t="shared" si="33"/>
        <v>79</v>
      </c>
      <c r="V66" s="219">
        <v>0</v>
      </c>
      <c r="W66" s="219">
        <v>0</v>
      </c>
      <c r="X66" s="219">
        <v>79</v>
      </c>
      <c r="Y66" s="220">
        <v>0</v>
      </c>
      <c r="Z66" s="219">
        <f t="shared" si="30"/>
        <v>0</v>
      </c>
      <c r="AA66" s="219">
        <v>0</v>
      </c>
      <c r="AB66" s="219">
        <v>0</v>
      </c>
      <c r="AC66" s="219">
        <v>0</v>
      </c>
      <c r="AD66" s="221"/>
    </row>
    <row r="67" spans="1:31" s="14" customFormat="1" ht="86.25" customHeight="1" outlineLevel="1" x14ac:dyDescent="0.2">
      <c r="A67" s="215" t="s">
        <v>499</v>
      </c>
      <c r="B67" s="70" t="s">
        <v>603</v>
      </c>
      <c r="C67" s="195">
        <f t="shared" si="31"/>
        <v>0</v>
      </c>
      <c r="D67" s="218">
        <f t="shared" si="34"/>
        <v>0</v>
      </c>
      <c r="E67" s="195">
        <v>0</v>
      </c>
      <c r="F67" s="196">
        <f t="shared" si="35"/>
        <v>0</v>
      </c>
      <c r="G67" s="196">
        <v>0</v>
      </c>
      <c r="H67" s="196">
        <v>0</v>
      </c>
      <c r="I67" s="196">
        <v>0</v>
      </c>
      <c r="J67" s="217">
        <v>0</v>
      </c>
      <c r="K67" s="218">
        <f>SUM(L67:N67)</f>
        <v>0</v>
      </c>
      <c r="L67" s="218">
        <v>0</v>
      </c>
      <c r="M67" s="219">
        <v>0</v>
      </c>
      <c r="N67" s="218">
        <f>476-476</f>
        <v>0</v>
      </c>
      <c r="O67" s="217">
        <v>0</v>
      </c>
      <c r="P67" s="218">
        <f t="shared" si="36"/>
        <v>0</v>
      </c>
      <c r="Q67" s="218">
        <v>0</v>
      </c>
      <c r="R67" s="219">
        <v>0</v>
      </c>
      <c r="S67" s="218">
        <f>1752-836-916</f>
        <v>0</v>
      </c>
      <c r="T67" s="220">
        <v>0</v>
      </c>
      <c r="U67" s="219">
        <f t="shared" si="33"/>
        <v>0</v>
      </c>
      <c r="V67" s="219">
        <v>0</v>
      </c>
      <c r="W67" s="219">
        <v>0</v>
      </c>
      <c r="X67" s="219">
        <v>0</v>
      </c>
      <c r="Y67" s="220">
        <v>0</v>
      </c>
      <c r="Z67" s="219">
        <f t="shared" si="30"/>
        <v>0</v>
      </c>
      <c r="AA67" s="219">
        <v>0</v>
      </c>
      <c r="AB67" s="219">
        <v>0</v>
      </c>
      <c r="AC67" s="219">
        <f>9040-9040</f>
        <v>0</v>
      </c>
      <c r="AD67" s="221"/>
    </row>
    <row r="68" spans="1:31" s="14" customFormat="1" ht="108" customHeight="1" outlineLevel="1" x14ac:dyDescent="0.2">
      <c r="A68" s="215" t="s">
        <v>1301</v>
      </c>
      <c r="B68" s="70" t="s">
        <v>532</v>
      </c>
      <c r="C68" s="195">
        <f>E68+J68+O68++Y68+T68</f>
        <v>0.1</v>
      </c>
      <c r="D68" s="218">
        <f t="shared" si="34"/>
        <v>0</v>
      </c>
      <c r="E68" s="195">
        <v>0</v>
      </c>
      <c r="F68" s="196">
        <f t="shared" si="35"/>
        <v>0</v>
      </c>
      <c r="G68" s="196">
        <f>H68+I68+J68</f>
        <v>0</v>
      </c>
      <c r="H68" s="196">
        <f>I68+J68+K68</f>
        <v>0</v>
      </c>
      <c r="I68" s="196">
        <f>J68+K68+L68</f>
        <v>0</v>
      </c>
      <c r="J68" s="217">
        <v>0</v>
      </c>
      <c r="K68" s="218">
        <f>SUM(L68:N68)</f>
        <v>0</v>
      </c>
      <c r="L68" s="218">
        <f>SUM(M68:O68)</f>
        <v>0</v>
      </c>
      <c r="M68" s="218">
        <f>SUM(N68:P68)</f>
        <v>0</v>
      </c>
      <c r="N68" s="218">
        <f>SUM(O68:Q68)</f>
        <v>0</v>
      </c>
      <c r="O68" s="217">
        <v>0</v>
      </c>
      <c r="P68" s="218">
        <f t="shared" si="36"/>
        <v>0</v>
      </c>
      <c r="Q68" s="218">
        <v>0</v>
      </c>
      <c r="R68" s="219">
        <v>0</v>
      </c>
      <c r="S68" s="218">
        <v>0</v>
      </c>
      <c r="T68" s="220">
        <v>0.1</v>
      </c>
      <c r="U68" s="219">
        <f t="shared" si="33"/>
        <v>0</v>
      </c>
      <c r="V68" s="219">
        <v>0</v>
      </c>
      <c r="W68" s="219">
        <v>0</v>
      </c>
      <c r="X68" s="219">
        <f>295+29-324</f>
        <v>0</v>
      </c>
      <c r="Y68" s="220">
        <v>0</v>
      </c>
      <c r="Z68" s="219">
        <f t="shared" si="30"/>
        <v>0</v>
      </c>
      <c r="AA68" s="219">
        <v>0</v>
      </c>
      <c r="AB68" s="219">
        <v>0</v>
      </c>
      <c r="AC68" s="219">
        <v>0</v>
      </c>
      <c r="AD68" s="221"/>
    </row>
    <row r="69" spans="1:31" s="14" customFormat="1" ht="94.5" customHeight="1" outlineLevel="1" x14ac:dyDescent="0.2">
      <c r="A69" s="215" t="s">
        <v>1302</v>
      </c>
      <c r="B69" s="70" t="s">
        <v>551</v>
      </c>
      <c r="C69" s="195">
        <f t="shared" si="31"/>
        <v>2.1</v>
      </c>
      <c r="D69" s="218">
        <f t="shared" si="34"/>
        <v>9051</v>
      </c>
      <c r="E69" s="195">
        <v>0</v>
      </c>
      <c r="F69" s="196">
        <f t="shared" si="35"/>
        <v>0</v>
      </c>
      <c r="G69" s="196">
        <v>0</v>
      </c>
      <c r="H69" s="196">
        <v>0</v>
      </c>
      <c r="I69" s="196">
        <v>0</v>
      </c>
      <c r="J69" s="217">
        <v>0</v>
      </c>
      <c r="K69" s="218">
        <v>0</v>
      </c>
      <c r="L69" s="218">
        <v>0</v>
      </c>
      <c r="M69" s="218">
        <v>0</v>
      </c>
      <c r="N69" s="218">
        <v>0</v>
      </c>
      <c r="O69" s="217">
        <v>0</v>
      </c>
      <c r="P69" s="218">
        <f t="shared" si="36"/>
        <v>0</v>
      </c>
      <c r="Q69" s="218">
        <v>0</v>
      </c>
      <c r="R69" s="218">
        <v>0</v>
      </c>
      <c r="S69" s="218">
        <v>0</v>
      </c>
      <c r="T69" s="220">
        <v>2.1</v>
      </c>
      <c r="U69" s="219">
        <f t="shared" si="33"/>
        <v>9051</v>
      </c>
      <c r="V69" s="219">
        <v>0</v>
      </c>
      <c r="W69" s="219">
        <v>0</v>
      </c>
      <c r="X69" s="219">
        <f>3391+1716-641+4585</f>
        <v>9051</v>
      </c>
      <c r="Y69" s="220">
        <v>0</v>
      </c>
      <c r="Z69" s="219">
        <f t="shared" si="30"/>
        <v>0</v>
      </c>
      <c r="AA69" s="219">
        <v>0</v>
      </c>
      <c r="AB69" s="219">
        <v>0</v>
      </c>
      <c r="AC69" s="219">
        <v>0</v>
      </c>
      <c r="AD69" s="221"/>
    </row>
    <row r="70" spans="1:31" s="14" customFormat="1" ht="96" customHeight="1" outlineLevel="1" x14ac:dyDescent="0.2">
      <c r="A70" s="215" t="s">
        <v>1303</v>
      </c>
      <c r="B70" s="216" t="s">
        <v>549</v>
      </c>
      <c r="C70" s="217">
        <f>E70+J70+O70+T70+Y70</f>
        <v>0</v>
      </c>
      <c r="D70" s="218">
        <f t="shared" si="34"/>
        <v>4066</v>
      </c>
      <c r="E70" s="195">
        <v>0</v>
      </c>
      <c r="F70" s="196">
        <v>0</v>
      </c>
      <c r="G70" s="196">
        <v>0</v>
      </c>
      <c r="H70" s="196">
        <v>0</v>
      </c>
      <c r="I70" s="196">
        <v>0</v>
      </c>
      <c r="J70" s="217">
        <v>0</v>
      </c>
      <c r="K70" s="218">
        <f>L70+M70+N70</f>
        <v>0</v>
      </c>
      <c r="L70" s="218">
        <v>0</v>
      </c>
      <c r="M70" s="218">
        <v>0</v>
      </c>
      <c r="N70" s="218">
        <v>0</v>
      </c>
      <c r="O70" s="217">
        <v>0</v>
      </c>
      <c r="P70" s="218">
        <f t="shared" si="36"/>
        <v>0</v>
      </c>
      <c r="Q70" s="218">
        <v>0</v>
      </c>
      <c r="R70" s="218">
        <v>0</v>
      </c>
      <c r="S70" s="218">
        <f>592+235+222-1049</f>
        <v>0</v>
      </c>
      <c r="T70" s="220">
        <v>0</v>
      </c>
      <c r="U70" s="219">
        <f t="shared" si="33"/>
        <v>0</v>
      </c>
      <c r="V70" s="219">
        <v>0</v>
      </c>
      <c r="W70" s="219">
        <v>0</v>
      </c>
      <c r="X70" s="219">
        <f>3315-3315</f>
        <v>0</v>
      </c>
      <c r="Y70" s="217">
        <v>0</v>
      </c>
      <c r="Z70" s="218">
        <f>AA70+AC70</f>
        <v>4066</v>
      </c>
      <c r="AA70" s="218">
        <v>0</v>
      </c>
      <c r="AB70" s="218">
        <v>0</v>
      </c>
      <c r="AC70" s="218">
        <v>4066</v>
      </c>
      <c r="AD70" s="221"/>
    </row>
    <row r="71" spans="1:31" s="14" customFormat="1" ht="96" customHeight="1" outlineLevel="1" x14ac:dyDescent="0.2">
      <c r="A71" s="215" t="s">
        <v>1304</v>
      </c>
      <c r="B71" s="216" t="s">
        <v>594</v>
      </c>
      <c r="C71" s="217">
        <f>E71+J71+O71+T71+Y71</f>
        <v>0.03</v>
      </c>
      <c r="D71" s="218">
        <f t="shared" si="34"/>
        <v>1800</v>
      </c>
      <c r="E71" s="195">
        <v>0</v>
      </c>
      <c r="F71" s="196">
        <v>0</v>
      </c>
      <c r="G71" s="196">
        <v>0</v>
      </c>
      <c r="H71" s="196">
        <v>0</v>
      </c>
      <c r="I71" s="196">
        <v>0</v>
      </c>
      <c r="J71" s="217">
        <v>0</v>
      </c>
      <c r="K71" s="218">
        <v>0</v>
      </c>
      <c r="L71" s="218">
        <v>0</v>
      </c>
      <c r="M71" s="218">
        <v>0</v>
      </c>
      <c r="N71" s="218">
        <v>0</v>
      </c>
      <c r="O71" s="217">
        <v>0</v>
      </c>
      <c r="P71" s="218">
        <v>0</v>
      </c>
      <c r="Q71" s="218">
        <v>0</v>
      </c>
      <c r="R71" s="218">
        <v>0</v>
      </c>
      <c r="S71" s="218">
        <v>0</v>
      </c>
      <c r="T71" s="220">
        <v>0.03</v>
      </c>
      <c r="U71" s="219">
        <f>SUM(V71:X71)</f>
        <v>1800</v>
      </c>
      <c r="V71" s="219">
        <v>0</v>
      </c>
      <c r="W71" s="219">
        <v>0</v>
      </c>
      <c r="X71" s="219">
        <f>2663-120-743</f>
        <v>1800</v>
      </c>
      <c r="Y71" s="217">
        <v>0</v>
      </c>
      <c r="Z71" s="218">
        <f>AA71+AC71</f>
        <v>0</v>
      </c>
      <c r="AA71" s="218">
        <v>0</v>
      </c>
      <c r="AB71" s="218">
        <v>0</v>
      </c>
      <c r="AC71" s="218">
        <v>0</v>
      </c>
      <c r="AD71" s="221"/>
    </row>
    <row r="72" spans="1:31" s="14" customFormat="1" ht="96" customHeight="1" outlineLevel="1" x14ac:dyDescent="0.2">
      <c r="A72" s="215" t="s">
        <v>1305</v>
      </c>
      <c r="B72" s="216" t="s">
        <v>595</v>
      </c>
      <c r="C72" s="217">
        <f>E72+J72+O72+T72+Y72</f>
        <v>0.74</v>
      </c>
      <c r="D72" s="218">
        <f t="shared" si="34"/>
        <v>7548</v>
      </c>
      <c r="E72" s="195">
        <v>0</v>
      </c>
      <c r="F72" s="196">
        <v>0</v>
      </c>
      <c r="G72" s="196">
        <v>0</v>
      </c>
      <c r="H72" s="196">
        <v>0</v>
      </c>
      <c r="I72" s="196">
        <v>0</v>
      </c>
      <c r="J72" s="217">
        <v>0</v>
      </c>
      <c r="K72" s="218">
        <v>0</v>
      </c>
      <c r="L72" s="218">
        <v>0</v>
      </c>
      <c r="M72" s="218">
        <v>0</v>
      </c>
      <c r="N72" s="218">
        <v>0</v>
      </c>
      <c r="O72" s="217">
        <v>0</v>
      </c>
      <c r="P72" s="218">
        <v>0</v>
      </c>
      <c r="Q72" s="218">
        <v>0</v>
      </c>
      <c r="R72" s="218">
        <v>0</v>
      </c>
      <c r="S72" s="218">
        <v>0</v>
      </c>
      <c r="T72" s="220">
        <v>0</v>
      </c>
      <c r="U72" s="219">
        <f>SUM(V72:X72)</f>
        <v>0</v>
      </c>
      <c r="V72" s="219">
        <v>0</v>
      </c>
      <c r="W72" s="219">
        <v>0</v>
      </c>
      <c r="X72" s="219">
        <v>0</v>
      </c>
      <c r="Y72" s="217">
        <v>0.74</v>
      </c>
      <c r="Z72" s="218">
        <f>AA72+AC72</f>
        <v>7548</v>
      </c>
      <c r="AA72" s="218">
        <v>0</v>
      </c>
      <c r="AB72" s="218">
        <v>0</v>
      </c>
      <c r="AC72" s="218">
        <v>7548</v>
      </c>
      <c r="AD72" s="221"/>
    </row>
    <row r="73" spans="1:31" s="14" customFormat="1" ht="31.5" customHeight="1" outlineLevel="1" x14ac:dyDescent="0.2">
      <c r="A73" s="215" t="s">
        <v>1306</v>
      </c>
      <c r="B73" s="70" t="s">
        <v>534</v>
      </c>
      <c r="C73" s="217">
        <v>0</v>
      </c>
      <c r="D73" s="218">
        <f t="shared" si="34"/>
        <v>2572</v>
      </c>
      <c r="E73" s="195">
        <v>0</v>
      </c>
      <c r="F73" s="196">
        <f>G73+H73+I73</f>
        <v>988</v>
      </c>
      <c r="G73" s="196">
        <v>0</v>
      </c>
      <c r="H73" s="196">
        <v>0</v>
      </c>
      <c r="I73" s="196">
        <v>988</v>
      </c>
      <c r="J73" s="217">
        <v>0</v>
      </c>
      <c r="K73" s="218">
        <f>L73+M73+N73</f>
        <v>1584</v>
      </c>
      <c r="L73" s="218">
        <v>0</v>
      </c>
      <c r="M73" s="219">
        <v>0</v>
      </c>
      <c r="N73" s="218">
        <v>1584</v>
      </c>
      <c r="O73" s="217">
        <v>0</v>
      </c>
      <c r="P73" s="218">
        <f t="shared" si="36"/>
        <v>0</v>
      </c>
      <c r="Q73" s="218">
        <v>0</v>
      </c>
      <c r="R73" s="219">
        <v>0</v>
      </c>
      <c r="S73" s="218">
        <v>0</v>
      </c>
      <c r="T73" s="220">
        <v>0</v>
      </c>
      <c r="U73" s="219">
        <f>V73+W73+X73</f>
        <v>0</v>
      </c>
      <c r="V73" s="219">
        <v>0</v>
      </c>
      <c r="W73" s="219">
        <v>0</v>
      </c>
      <c r="X73" s="219">
        <v>0</v>
      </c>
      <c r="Y73" s="220">
        <v>0</v>
      </c>
      <c r="Z73" s="219">
        <f>AA73+AB73+AC73</f>
        <v>0</v>
      </c>
      <c r="AA73" s="219">
        <v>0</v>
      </c>
      <c r="AB73" s="219">
        <v>0</v>
      </c>
      <c r="AC73" s="219">
        <v>0</v>
      </c>
      <c r="AD73" s="221"/>
    </row>
    <row r="74" spans="1:31" s="14" customFormat="1" ht="21" customHeight="1" outlineLevel="1" x14ac:dyDescent="0.2">
      <c r="A74" s="215"/>
      <c r="B74" s="209" t="s">
        <v>216</v>
      </c>
      <c r="C74" s="217">
        <v>0</v>
      </c>
      <c r="D74" s="218">
        <f t="shared" si="34"/>
        <v>1492</v>
      </c>
      <c r="E74" s="195">
        <v>0</v>
      </c>
      <c r="F74" s="196">
        <v>0</v>
      </c>
      <c r="G74" s="196">
        <v>0</v>
      </c>
      <c r="H74" s="196">
        <v>0</v>
      </c>
      <c r="I74" s="196">
        <v>0</v>
      </c>
      <c r="J74" s="217">
        <v>0</v>
      </c>
      <c r="K74" s="218">
        <v>0</v>
      </c>
      <c r="L74" s="218">
        <v>0</v>
      </c>
      <c r="M74" s="219">
        <v>0</v>
      </c>
      <c r="N74" s="218">
        <v>0</v>
      </c>
      <c r="O74" s="217">
        <v>0</v>
      </c>
      <c r="P74" s="218">
        <v>0</v>
      </c>
      <c r="Q74" s="218">
        <v>0</v>
      </c>
      <c r="R74" s="219">
        <v>0</v>
      </c>
      <c r="S74" s="218">
        <v>0</v>
      </c>
      <c r="T74" s="220">
        <v>0</v>
      </c>
      <c r="U74" s="219">
        <f>V74+W74+X74</f>
        <v>0</v>
      </c>
      <c r="V74" s="219">
        <v>0</v>
      </c>
      <c r="W74" s="219">
        <v>0</v>
      </c>
      <c r="X74" s="219">
        <v>0</v>
      </c>
      <c r="Y74" s="220">
        <v>0</v>
      </c>
      <c r="Z74" s="219">
        <f>AA74+AB74+AC74</f>
        <v>1492</v>
      </c>
      <c r="AA74" s="219">
        <v>0</v>
      </c>
      <c r="AB74" s="219">
        <v>0</v>
      </c>
      <c r="AC74" s="219">
        <v>1492</v>
      </c>
      <c r="AD74" s="221"/>
    </row>
    <row r="75" spans="1:31" s="14" customFormat="1" ht="91.15" customHeight="1" x14ac:dyDescent="0.2">
      <c r="A75" s="222"/>
      <c r="B75" s="223" t="s">
        <v>500</v>
      </c>
      <c r="C75" s="224">
        <f t="shared" ref="C75:T75" si="38">SUM(C45:C70)</f>
        <v>6.2999999999999989</v>
      </c>
      <c r="D75" s="225">
        <f>SUM(D45:D72)+D74</f>
        <v>176404</v>
      </c>
      <c r="E75" s="224">
        <f t="shared" si="38"/>
        <v>0</v>
      </c>
      <c r="F75" s="225">
        <f t="shared" si="38"/>
        <v>44356</v>
      </c>
      <c r="G75" s="225">
        <f t="shared" si="38"/>
        <v>0</v>
      </c>
      <c r="H75" s="225">
        <f t="shared" si="38"/>
        <v>16335</v>
      </c>
      <c r="I75" s="225">
        <f t="shared" si="38"/>
        <v>28021</v>
      </c>
      <c r="J75" s="224">
        <f t="shared" si="38"/>
        <v>0</v>
      </c>
      <c r="K75" s="225">
        <f t="shared" si="38"/>
        <v>16962</v>
      </c>
      <c r="L75" s="225">
        <f t="shared" si="38"/>
        <v>0</v>
      </c>
      <c r="M75" s="225">
        <f t="shared" si="38"/>
        <v>0</v>
      </c>
      <c r="N75" s="225">
        <f t="shared" si="38"/>
        <v>16962</v>
      </c>
      <c r="O75" s="224">
        <f t="shared" si="38"/>
        <v>0</v>
      </c>
      <c r="P75" s="225">
        <f t="shared" si="38"/>
        <v>15511</v>
      </c>
      <c r="Q75" s="225">
        <f t="shared" si="38"/>
        <v>0</v>
      </c>
      <c r="R75" s="225">
        <f t="shared" si="38"/>
        <v>0</v>
      </c>
      <c r="S75" s="225">
        <f t="shared" si="38"/>
        <v>15511</v>
      </c>
      <c r="T75" s="224">
        <f t="shared" si="38"/>
        <v>2.2000000000000002</v>
      </c>
      <c r="U75" s="225">
        <f>SUM(U45:U74)</f>
        <v>36893</v>
      </c>
      <c r="V75" s="225">
        <f>SUM(V45:V70)</f>
        <v>0</v>
      </c>
      <c r="W75" s="225">
        <f>SUM(W45:W70)</f>
        <v>0</v>
      </c>
      <c r="X75" s="225">
        <f>SUM(X45:X74)</f>
        <v>36893</v>
      </c>
      <c r="Y75" s="224">
        <f>SUM(Y45:Y70)</f>
        <v>4.0999999999999996</v>
      </c>
      <c r="Z75" s="225">
        <f>SUM(Z45:Z74)</f>
        <v>62682</v>
      </c>
      <c r="AA75" s="225">
        <f>SUM(AA45:AA70)</f>
        <v>0</v>
      </c>
      <c r="AB75" s="225">
        <f>SUM(AB45:AB70)</f>
        <v>0</v>
      </c>
      <c r="AC75" s="225">
        <f>SUM(AC45:AC74)</f>
        <v>62682</v>
      </c>
      <c r="AD75" s="221"/>
      <c r="AE75" s="15"/>
    </row>
    <row r="76" spans="1:31" s="14" customFormat="1" ht="30" customHeight="1" x14ac:dyDescent="0.2">
      <c r="A76" s="222"/>
      <c r="B76" s="226" t="s">
        <v>386</v>
      </c>
      <c r="C76" s="227">
        <v>0</v>
      </c>
      <c r="D76" s="228">
        <f>F76+K76+P76+U76+Z76</f>
        <v>2572</v>
      </c>
      <c r="E76" s="227">
        <v>0</v>
      </c>
      <c r="F76" s="228">
        <f>G76+H76+I76</f>
        <v>988</v>
      </c>
      <c r="G76" s="228">
        <v>0</v>
      </c>
      <c r="H76" s="228">
        <v>0</v>
      </c>
      <c r="I76" s="228">
        <v>988</v>
      </c>
      <c r="J76" s="227">
        <v>0</v>
      </c>
      <c r="K76" s="228">
        <f>L76+M76+N76</f>
        <v>1584</v>
      </c>
      <c r="L76" s="228">
        <v>0</v>
      </c>
      <c r="M76" s="228">
        <v>0</v>
      </c>
      <c r="N76" s="228">
        <f>N73</f>
        <v>1584</v>
      </c>
      <c r="O76" s="227">
        <v>0</v>
      </c>
      <c r="P76" s="228">
        <f>Q76+R76+S76</f>
        <v>0</v>
      </c>
      <c r="Q76" s="228">
        <v>0</v>
      </c>
      <c r="R76" s="228">
        <v>0</v>
      </c>
      <c r="S76" s="228">
        <v>0</v>
      </c>
      <c r="T76" s="227">
        <v>0</v>
      </c>
      <c r="U76" s="228">
        <f>V76+W76+X76</f>
        <v>0</v>
      </c>
      <c r="V76" s="228">
        <v>0</v>
      </c>
      <c r="W76" s="228">
        <v>0</v>
      </c>
      <c r="X76" s="228">
        <v>0</v>
      </c>
      <c r="Y76" s="227">
        <v>0</v>
      </c>
      <c r="Z76" s="228">
        <f>AA76+AB76+AC76</f>
        <v>0</v>
      </c>
      <c r="AA76" s="228">
        <v>0</v>
      </c>
      <c r="AB76" s="228">
        <v>0</v>
      </c>
      <c r="AC76" s="228">
        <v>0</v>
      </c>
      <c r="AD76" s="221"/>
      <c r="AE76" s="15"/>
    </row>
    <row r="77" spans="1:31" s="14" customFormat="1" ht="45" customHeight="1" x14ac:dyDescent="0.2">
      <c r="A77" s="213" t="s">
        <v>451</v>
      </c>
      <c r="B77" s="438" t="s">
        <v>1110</v>
      </c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9"/>
      <c r="U77" s="439"/>
      <c r="V77" s="439"/>
      <c r="W77" s="439"/>
      <c r="X77" s="439"/>
      <c r="Y77" s="439"/>
      <c r="Z77" s="439"/>
      <c r="AA77" s="439"/>
      <c r="AB77" s="439"/>
      <c r="AC77" s="440"/>
      <c r="AD77" s="221"/>
    </row>
    <row r="78" spans="1:31" s="14" customFormat="1" ht="95.25" customHeight="1" outlineLevel="1" x14ac:dyDescent="0.2">
      <c r="A78" s="193" t="s">
        <v>1307</v>
      </c>
      <c r="B78" s="216" t="s">
        <v>7</v>
      </c>
      <c r="C78" s="217">
        <f>E78+J78+O78+Y78+T78</f>
        <v>0</v>
      </c>
      <c r="D78" s="196">
        <f>F78+K78+P78+Z78+U78</f>
        <v>0</v>
      </c>
      <c r="E78" s="195">
        <v>0</v>
      </c>
      <c r="F78" s="196">
        <v>0</v>
      </c>
      <c r="G78" s="196">
        <v>0</v>
      </c>
      <c r="H78" s="196">
        <v>0</v>
      </c>
      <c r="I78" s="196">
        <v>0</v>
      </c>
      <c r="J78" s="217">
        <v>0</v>
      </c>
      <c r="K78" s="229">
        <f>SUM(L78:N78)</f>
        <v>0</v>
      </c>
      <c r="L78" s="218">
        <v>0</v>
      </c>
      <c r="M78" s="218">
        <v>0</v>
      </c>
      <c r="N78" s="218">
        <v>0</v>
      </c>
      <c r="O78" s="217">
        <v>0</v>
      </c>
      <c r="P78" s="218">
        <f>SUM(Q78:S78)</f>
        <v>0</v>
      </c>
      <c r="Q78" s="218">
        <v>0</v>
      </c>
      <c r="R78" s="218">
        <v>0</v>
      </c>
      <c r="S78" s="218">
        <v>0</v>
      </c>
      <c r="T78" s="217">
        <v>0</v>
      </c>
      <c r="U78" s="218">
        <f>SUM(V78:X78)</f>
        <v>0</v>
      </c>
      <c r="V78" s="218">
        <v>0</v>
      </c>
      <c r="W78" s="218">
        <v>0</v>
      </c>
      <c r="X78" s="218">
        <v>0</v>
      </c>
      <c r="Y78" s="220">
        <v>0</v>
      </c>
      <c r="Z78" s="219">
        <f t="shared" ref="Z78:Z83" si="39">AA78+AB78+AC78</f>
        <v>0</v>
      </c>
      <c r="AA78" s="219">
        <v>0</v>
      </c>
      <c r="AB78" s="219">
        <v>0</v>
      </c>
      <c r="AC78" s="219">
        <v>0</v>
      </c>
      <c r="AD78" s="214"/>
    </row>
    <row r="79" spans="1:31" s="14" customFormat="1" ht="65.45" customHeight="1" outlineLevel="1" x14ac:dyDescent="0.2">
      <c r="A79" s="193" t="s">
        <v>1308</v>
      </c>
      <c r="B79" s="216" t="s">
        <v>39</v>
      </c>
      <c r="C79" s="217">
        <f>E79+J79+O79+Y79+T79</f>
        <v>0</v>
      </c>
      <c r="D79" s="196">
        <f t="shared" ref="D79:D88" si="40">F79+K79+P79+Z79+U79</f>
        <v>0</v>
      </c>
      <c r="E79" s="195">
        <v>0</v>
      </c>
      <c r="F79" s="196">
        <v>0</v>
      </c>
      <c r="G79" s="196">
        <v>0</v>
      </c>
      <c r="H79" s="196">
        <v>0</v>
      </c>
      <c r="I79" s="196">
        <v>0</v>
      </c>
      <c r="J79" s="217">
        <v>0</v>
      </c>
      <c r="K79" s="229">
        <f t="shared" ref="K79:K84" si="41">SUM(L79:N79)</f>
        <v>0</v>
      </c>
      <c r="L79" s="218">
        <v>0</v>
      </c>
      <c r="M79" s="218">
        <v>0</v>
      </c>
      <c r="N79" s="218">
        <v>0</v>
      </c>
      <c r="O79" s="217">
        <v>0</v>
      </c>
      <c r="P79" s="218">
        <v>0</v>
      </c>
      <c r="Q79" s="218">
        <v>0</v>
      </c>
      <c r="R79" s="218">
        <v>0</v>
      </c>
      <c r="S79" s="218">
        <v>0</v>
      </c>
      <c r="T79" s="217">
        <v>0</v>
      </c>
      <c r="U79" s="218">
        <f t="shared" ref="U79:U90" si="42">SUM(V79:X79)</f>
        <v>0</v>
      </c>
      <c r="V79" s="218">
        <v>0</v>
      </c>
      <c r="W79" s="218">
        <v>0</v>
      </c>
      <c r="X79" s="218">
        <v>0</v>
      </c>
      <c r="Y79" s="220">
        <v>0</v>
      </c>
      <c r="Z79" s="219">
        <f t="shared" si="39"/>
        <v>0</v>
      </c>
      <c r="AA79" s="219">
        <v>0</v>
      </c>
      <c r="AB79" s="219">
        <v>0</v>
      </c>
      <c r="AC79" s="219">
        <v>0</v>
      </c>
      <c r="AD79" s="214"/>
    </row>
    <row r="80" spans="1:31" s="14" customFormat="1" ht="90.6" customHeight="1" outlineLevel="1" x14ac:dyDescent="0.2">
      <c r="A80" s="193" t="s">
        <v>1309</v>
      </c>
      <c r="B80" s="216" t="s">
        <v>40</v>
      </c>
      <c r="C80" s="217">
        <f>E80+J80+O80+Y80+T80</f>
        <v>0</v>
      </c>
      <c r="D80" s="196">
        <f t="shared" si="40"/>
        <v>0</v>
      </c>
      <c r="E80" s="195">
        <v>0</v>
      </c>
      <c r="F80" s="196">
        <v>0</v>
      </c>
      <c r="G80" s="196">
        <v>0</v>
      </c>
      <c r="H80" s="196">
        <v>0</v>
      </c>
      <c r="I80" s="196">
        <v>0</v>
      </c>
      <c r="J80" s="217">
        <v>0</v>
      </c>
      <c r="K80" s="229">
        <v>0</v>
      </c>
      <c r="L80" s="218">
        <v>0</v>
      </c>
      <c r="M80" s="218">
        <v>0</v>
      </c>
      <c r="N80" s="218">
        <v>0</v>
      </c>
      <c r="O80" s="217">
        <v>0</v>
      </c>
      <c r="P80" s="218">
        <v>0</v>
      </c>
      <c r="Q80" s="218">
        <v>0</v>
      </c>
      <c r="R80" s="218">
        <v>0</v>
      </c>
      <c r="S80" s="218">
        <v>0</v>
      </c>
      <c r="T80" s="217">
        <v>0</v>
      </c>
      <c r="U80" s="218">
        <f t="shared" si="42"/>
        <v>0</v>
      </c>
      <c r="V80" s="218">
        <v>0</v>
      </c>
      <c r="W80" s="218">
        <v>0</v>
      </c>
      <c r="X80" s="218">
        <v>0</v>
      </c>
      <c r="Y80" s="220">
        <v>0</v>
      </c>
      <c r="Z80" s="219">
        <f t="shared" si="39"/>
        <v>0</v>
      </c>
      <c r="AA80" s="219">
        <v>0</v>
      </c>
      <c r="AB80" s="219">
        <v>0</v>
      </c>
      <c r="AC80" s="219">
        <v>0</v>
      </c>
      <c r="AD80" s="214"/>
    </row>
    <row r="81" spans="1:30" s="14" customFormat="1" ht="60" customHeight="1" outlineLevel="1" x14ac:dyDescent="0.2">
      <c r="A81" s="193" t="s">
        <v>1310</v>
      </c>
      <c r="B81" s="216" t="s">
        <v>175</v>
      </c>
      <c r="C81" s="217">
        <f t="shared" ref="C81:C97" si="43">E81+J81+O81+T81+Y81</f>
        <v>0</v>
      </c>
      <c r="D81" s="196">
        <f t="shared" si="40"/>
        <v>0</v>
      </c>
      <c r="E81" s="195">
        <v>0</v>
      </c>
      <c r="F81" s="196">
        <v>0</v>
      </c>
      <c r="G81" s="196">
        <v>0</v>
      </c>
      <c r="H81" s="196">
        <v>0</v>
      </c>
      <c r="I81" s="196">
        <v>0</v>
      </c>
      <c r="J81" s="217">
        <v>0</v>
      </c>
      <c r="K81" s="229">
        <v>0</v>
      </c>
      <c r="L81" s="218">
        <v>0</v>
      </c>
      <c r="M81" s="218">
        <v>0</v>
      </c>
      <c r="N81" s="218">
        <v>0</v>
      </c>
      <c r="O81" s="217">
        <v>0</v>
      </c>
      <c r="P81" s="218">
        <v>0</v>
      </c>
      <c r="Q81" s="218">
        <v>0</v>
      </c>
      <c r="R81" s="218">
        <v>0</v>
      </c>
      <c r="S81" s="218">
        <v>0</v>
      </c>
      <c r="T81" s="220">
        <v>0</v>
      </c>
      <c r="U81" s="218">
        <f t="shared" si="42"/>
        <v>0</v>
      </c>
      <c r="V81" s="219">
        <v>0</v>
      </c>
      <c r="W81" s="219">
        <v>0</v>
      </c>
      <c r="X81" s="219">
        <v>0</v>
      </c>
      <c r="Y81" s="220">
        <v>0</v>
      </c>
      <c r="Z81" s="219">
        <f t="shared" si="39"/>
        <v>0</v>
      </c>
      <c r="AA81" s="219">
        <v>0</v>
      </c>
      <c r="AB81" s="218">
        <v>0</v>
      </c>
      <c r="AC81" s="219">
        <v>0</v>
      </c>
      <c r="AD81" s="214"/>
    </row>
    <row r="82" spans="1:30" s="14" customFormat="1" ht="98.45" customHeight="1" outlineLevel="1" x14ac:dyDescent="0.2">
      <c r="A82" s="193" t="s">
        <v>1311</v>
      </c>
      <c r="B82" s="216" t="s">
        <v>176</v>
      </c>
      <c r="C82" s="217">
        <f t="shared" si="43"/>
        <v>0</v>
      </c>
      <c r="D82" s="196">
        <f t="shared" si="40"/>
        <v>0</v>
      </c>
      <c r="E82" s="195">
        <v>0</v>
      </c>
      <c r="F82" s="196">
        <v>0</v>
      </c>
      <c r="G82" s="196">
        <v>0</v>
      </c>
      <c r="H82" s="196">
        <v>0</v>
      </c>
      <c r="I82" s="196">
        <v>0</v>
      </c>
      <c r="J82" s="217">
        <v>0</v>
      </c>
      <c r="K82" s="229">
        <f t="shared" si="41"/>
        <v>0</v>
      </c>
      <c r="L82" s="218">
        <v>0</v>
      </c>
      <c r="M82" s="218">
        <v>0</v>
      </c>
      <c r="N82" s="218">
        <v>0</v>
      </c>
      <c r="O82" s="217">
        <v>0</v>
      </c>
      <c r="P82" s="218">
        <v>0</v>
      </c>
      <c r="Q82" s="218">
        <v>0</v>
      </c>
      <c r="R82" s="218">
        <v>0</v>
      </c>
      <c r="S82" s="218">
        <v>0</v>
      </c>
      <c r="T82" s="220">
        <v>0</v>
      </c>
      <c r="U82" s="218">
        <f t="shared" si="42"/>
        <v>0</v>
      </c>
      <c r="V82" s="219">
        <v>0</v>
      </c>
      <c r="W82" s="219">
        <v>0</v>
      </c>
      <c r="X82" s="219">
        <v>0</v>
      </c>
      <c r="Y82" s="220">
        <v>0</v>
      </c>
      <c r="Z82" s="219">
        <f t="shared" si="39"/>
        <v>0</v>
      </c>
      <c r="AA82" s="219">
        <v>0</v>
      </c>
      <c r="AB82" s="218">
        <v>0</v>
      </c>
      <c r="AC82" s="219">
        <v>0</v>
      </c>
      <c r="AD82" s="214"/>
    </row>
    <row r="83" spans="1:30" s="14" customFormat="1" ht="60" customHeight="1" outlineLevel="1" x14ac:dyDescent="0.2">
      <c r="A83" s="193" t="s">
        <v>1312</v>
      </c>
      <c r="B83" s="216" t="s">
        <v>658</v>
      </c>
      <c r="C83" s="217">
        <f t="shared" si="43"/>
        <v>0</v>
      </c>
      <c r="D83" s="196">
        <f t="shared" si="40"/>
        <v>0</v>
      </c>
      <c r="E83" s="195">
        <v>0</v>
      </c>
      <c r="F83" s="196">
        <v>0</v>
      </c>
      <c r="G83" s="196">
        <v>0</v>
      </c>
      <c r="H83" s="196">
        <v>0</v>
      </c>
      <c r="I83" s="196">
        <v>0</v>
      </c>
      <c r="J83" s="217">
        <v>0</v>
      </c>
      <c r="K83" s="229">
        <f t="shared" si="41"/>
        <v>0</v>
      </c>
      <c r="L83" s="218">
        <v>0</v>
      </c>
      <c r="M83" s="218">
        <v>0</v>
      </c>
      <c r="N83" s="218">
        <v>0</v>
      </c>
      <c r="O83" s="217">
        <v>0</v>
      </c>
      <c r="P83" s="218">
        <v>0</v>
      </c>
      <c r="Q83" s="218">
        <v>0</v>
      </c>
      <c r="R83" s="218">
        <v>0</v>
      </c>
      <c r="S83" s="218">
        <v>0</v>
      </c>
      <c r="T83" s="220">
        <v>0</v>
      </c>
      <c r="U83" s="218">
        <f t="shared" si="42"/>
        <v>0</v>
      </c>
      <c r="V83" s="219">
        <v>0</v>
      </c>
      <c r="W83" s="219">
        <v>0</v>
      </c>
      <c r="X83" s="219">
        <v>0</v>
      </c>
      <c r="Y83" s="220">
        <v>0</v>
      </c>
      <c r="Z83" s="219">
        <f t="shared" si="39"/>
        <v>0</v>
      </c>
      <c r="AA83" s="219">
        <v>0</v>
      </c>
      <c r="AB83" s="218">
        <v>0</v>
      </c>
      <c r="AC83" s="219">
        <v>0</v>
      </c>
      <c r="AD83" s="214"/>
    </row>
    <row r="84" spans="1:30" s="14" customFormat="1" ht="82.9" customHeight="1" outlineLevel="1" x14ac:dyDescent="0.2">
      <c r="A84" s="193" t="s">
        <v>1313</v>
      </c>
      <c r="B84" s="216" t="s">
        <v>657</v>
      </c>
      <c r="C84" s="217">
        <f t="shared" si="43"/>
        <v>0</v>
      </c>
      <c r="D84" s="196">
        <f t="shared" si="40"/>
        <v>0</v>
      </c>
      <c r="E84" s="195">
        <v>0</v>
      </c>
      <c r="F84" s="196">
        <v>0</v>
      </c>
      <c r="G84" s="196">
        <v>0</v>
      </c>
      <c r="H84" s="196">
        <v>0</v>
      </c>
      <c r="I84" s="196">
        <v>0</v>
      </c>
      <c r="J84" s="217">
        <v>0</v>
      </c>
      <c r="K84" s="229">
        <f t="shared" si="41"/>
        <v>0</v>
      </c>
      <c r="L84" s="218">
        <v>0</v>
      </c>
      <c r="M84" s="218">
        <v>0</v>
      </c>
      <c r="N84" s="218">
        <v>0</v>
      </c>
      <c r="O84" s="217">
        <v>0</v>
      </c>
      <c r="P84" s="218">
        <v>0</v>
      </c>
      <c r="Q84" s="218">
        <v>0</v>
      </c>
      <c r="R84" s="218">
        <v>0</v>
      </c>
      <c r="S84" s="218">
        <v>0</v>
      </c>
      <c r="T84" s="220">
        <v>0</v>
      </c>
      <c r="U84" s="218">
        <f t="shared" si="42"/>
        <v>0</v>
      </c>
      <c r="V84" s="219">
        <v>0</v>
      </c>
      <c r="W84" s="219">
        <v>0</v>
      </c>
      <c r="X84" s="219">
        <v>0</v>
      </c>
      <c r="Y84" s="220">
        <v>0</v>
      </c>
      <c r="Z84" s="219">
        <v>0</v>
      </c>
      <c r="AA84" s="219">
        <v>0</v>
      </c>
      <c r="AB84" s="218">
        <v>0</v>
      </c>
      <c r="AC84" s="219">
        <v>0</v>
      </c>
      <c r="AD84" s="214"/>
    </row>
    <row r="85" spans="1:30" s="14" customFormat="1" ht="122.25" customHeight="1" outlineLevel="1" x14ac:dyDescent="0.2">
      <c r="A85" s="193" t="s">
        <v>1314</v>
      </c>
      <c r="B85" s="216" t="s">
        <v>222</v>
      </c>
      <c r="C85" s="217">
        <f t="shared" si="43"/>
        <v>11.08</v>
      </c>
      <c r="D85" s="196">
        <f>F85+K85+P85+Z85+U85</f>
        <v>54661</v>
      </c>
      <c r="E85" s="195">
        <v>5.54</v>
      </c>
      <c r="F85" s="196">
        <f>H85+I85</f>
        <v>41382</v>
      </c>
      <c r="G85" s="196">
        <v>0</v>
      </c>
      <c r="H85" s="196">
        <f>39396</f>
        <v>39396</v>
      </c>
      <c r="I85" s="196">
        <f>1986</f>
        <v>1986</v>
      </c>
      <c r="J85" s="217">
        <v>5.54</v>
      </c>
      <c r="K85" s="229">
        <f>SUM(L85:N85)</f>
        <v>13279</v>
      </c>
      <c r="L85" s="218">
        <v>0</v>
      </c>
      <c r="M85" s="218">
        <v>12509</v>
      </c>
      <c r="N85" s="218">
        <v>770</v>
      </c>
      <c r="O85" s="217">
        <v>0</v>
      </c>
      <c r="P85" s="218">
        <v>0</v>
      </c>
      <c r="Q85" s="218">
        <v>0</v>
      </c>
      <c r="R85" s="218">
        <v>0</v>
      </c>
      <c r="S85" s="218">
        <v>0</v>
      </c>
      <c r="T85" s="220">
        <v>0</v>
      </c>
      <c r="U85" s="218">
        <f>SUM(V85:X85)</f>
        <v>0</v>
      </c>
      <c r="V85" s="219">
        <v>0</v>
      </c>
      <c r="W85" s="219">
        <v>0</v>
      </c>
      <c r="X85" s="219">
        <v>0</v>
      </c>
      <c r="Y85" s="220">
        <v>0</v>
      </c>
      <c r="Z85" s="219">
        <v>0</v>
      </c>
      <c r="AA85" s="219">
        <v>0</v>
      </c>
      <c r="AB85" s="218">
        <v>0</v>
      </c>
      <c r="AC85" s="219">
        <v>0</v>
      </c>
      <c r="AD85" s="214"/>
    </row>
    <row r="86" spans="1:30" s="14" customFormat="1" ht="144.6" customHeight="1" outlineLevel="1" x14ac:dyDescent="0.2">
      <c r="A86" s="193" t="s">
        <v>1315</v>
      </c>
      <c r="B86" s="216" t="s">
        <v>319</v>
      </c>
      <c r="C86" s="217">
        <f t="shared" si="43"/>
        <v>0</v>
      </c>
      <c r="D86" s="196">
        <f t="shared" si="40"/>
        <v>90</v>
      </c>
      <c r="E86" s="195">
        <v>0</v>
      </c>
      <c r="F86" s="196">
        <f>G86+H86+I86</f>
        <v>90</v>
      </c>
      <c r="G86" s="196">
        <v>0</v>
      </c>
      <c r="H86" s="196">
        <v>0</v>
      </c>
      <c r="I86" s="196">
        <v>90</v>
      </c>
      <c r="J86" s="217">
        <v>0</v>
      </c>
      <c r="K86" s="218">
        <f>SUM(L86:N86)</f>
        <v>0</v>
      </c>
      <c r="L86" s="218">
        <v>0</v>
      </c>
      <c r="M86" s="218">
        <v>0</v>
      </c>
      <c r="N86" s="218">
        <v>0</v>
      </c>
      <c r="O86" s="217">
        <v>0</v>
      </c>
      <c r="P86" s="218">
        <v>0</v>
      </c>
      <c r="Q86" s="218">
        <v>0</v>
      </c>
      <c r="R86" s="218">
        <v>0</v>
      </c>
      <c r="S86" s="218">
        <v>0</v>
      </c>
      <c r="T86" s="220">
        <v>0</v>
      </c>
      <c r="U86" s="218">
        <f t="shared" si="42"/>
        <v>0</v>
      </c>
      <c r="V86" s="219">
        <v>0</v>
      </c>
      <c r="W86" s="219">
        <v>0</v>
      </c>
      <c r="X86" s="219">
        <v>0</v>
      </c>
      <c r="Y86" s="220">
        <v>0</v>
      </c>
      <c r="Z86" s="219">
        <v>0</v>
      </c>
      <c r="AA86" s="219">
        <v>0</v>
      </c>
      <c r="AB86" s="219">
        <v>0</v>
      </c>
      <c r="AC86" s="219">
        <v>0</v>
      </c>
      <c r="AD86" s="214"/>
    </row>
    <row r="87" spans="1:30" s="14" customFormat="1" ht="174.75" customHeight="1" outlineLevel="1" x14ac:dyDescent="0.2">
      <c r="A87" s="193" t="s">
        <v>1316</v>
      </c>
      <c r="B87" s="216" t="s">
        <v>329</v>
      </c>
      <c r="C87" s="217">
        <f t="shared" si="43"/>
        <v>0</v>
      </c>
      <c r="D87" s="196">
        <f t="shared" si="40"/>
        <v>469</v>
      </c>
      <c r="E87" s="195">
        <v>0</v>
      </c>
      <c r="F87" s="196">
        <f>G87+H87+I87</f>
        <v>426</v>
      </c>
      <c r="G87" s="196">
        <v>0</v>
      </c>
      <c r="H87" s="196">
        <v>0</v>
      </c>
      <c r="I87" s="196">
        <v>426</v>
      </c>
      <c r="J87" s="217">
        <v>0</v>
      </c>
      <c r="K87" s="218">
        <f>SUM(L87:N87)</f>
        <v>43</v>
      </c>
      <c r="L87" s="218">
        <v>0</v>
      </c>
      <c r="M87" s="218">
        <v>0</v>
      </c>
      <c r="N87" s="218">
        <v>43</v>
      </c>
      <c r="O87" s="217">
        <v>0</v>
      </c>
      <c r="P87" s="218">
        <v>0</v>
      </c>
      <c r="Q87" s="218">
        <v>0</v>
      </c>
      <c r="R87" s="218">
        <v>0</v>
      </c>
      <c r="S87" s="218">
        <v>0</v>
      </c>
      <c r="T87" s="220">
        <v>0</v>
      </c>
      <c r="U87" s="218">
        <f t="shared" si="42"/>
        <v>0</v>
      </c>
      <c r="V87" s="219">
        <v>0</v>
      </c>
      <c r="W87" s="219">
        <v>0</v>
      </c>
      <c r="X87" s="219">
        <v>0</v>
      </c>
      <c r="Y87" s="220">
        <v>0</v>
      </c>
      <c r="Z87" s="219">
        <v>0</v>
      </c>
      <c r="AA87" s="219">
        <v>0</v>
      </c>
      <c r="AB87" s="219">
        <v>0</v>
      </c>
      <c r="AC87" s="219">
        <v>0</v>
      </c>
      <c r="AD87" s="214"/>
    </row>
    <row r="88" spans="1:30" s="14" customFormat="1" ht="101.25" customHeight="1" outlineLevel="1" x14ac:dyDescent="0.2">
      <c r="A88" s="193" t="s">
        <v>1317</v>
      </c>
      <c r="B88" s="216" t="s">
        <v>35</v>
      </c>
      <c r="C88" s="217">
        <f t="shared" si="43"/>
        <v>0</v>
      </c>
      <c r="D88" s="196">
        <f t="shared" si="40"/>
        <v>0</v>
      </c>
      <c r="E88" s="195">
        <v>0</v>
      </c>
      <c r="F88" s="196">
        <v>0</v>
      </c>
      <c r="G88" s="196">
        <v>0</v>
      </c>
      <c r="H88" s="196">
        <v>0</v>
      </c>
      <c r="I88" s="196">
        <v>0</v>
      </c>
      <c r="J88" s="217">
        <v>0</v>
      </c>
      <c r="K88" s="229">
        <f>SUM(L88:N88)</f>
        <v>0</v>
      </c>
      <c r="L88" s="218">
        <v>0</v>
      </c>
      <c r="M88" s="218">
        <v>0</v>
      </c>
      <c r="N88" s="218">
        <v>0</v>
      </c>
      <c r="O88" s="217">
        <v>0</v>
      </c>
      <c r="P88" s="218">
        <f>SUM(Q88:S88)</f>
        <v>0</v>
      </c>
      <c r="Q88" s="218">
        <v>0</v>
      </c>
      <c r="R88" s="218">
        <v>0</v>
      </c>
      <c r="S88" s="218">
        <v>0</v>
      </c>
      <c r="T88" s="220">
        <v>0</v>
      </c>
      <c r="U88" s="218">
        <f t="shared" si="42"/>
        <v>0</v>
      </c>
      <c r="V88" s="219">
        <v>0</v>
      </c>
      <c r="W88" s="219">
        <v>0</v>
      </c>
      <c r="X88" s="219">
        <v>0</v>
      </c>
      <c r="Y88" s="220">
        <v>0</v>
      </c>
      <c r="Z88" s="219">
        <f>AA88+AB88+AC88</f>
        <v>0</v>
      </c>
      <c r="AA88" s="219">
        <v>0</v>
      </c>
      <c r="AB88" s="219">
        <v>0</v>
      </c>
      <c r="AC88" s="219">
        <v>0</v>
      </c>
      <c r="AD88" s="214"/>
    </row>
    <row r="89" spans="1:30" s="14" customFormat="1" ht="117.6" customHeight="1" outlineLevel="1" x14ac:dyDescent="0.2">
      <c r="A89" s="193" t="s">
        <v>1318</v>
      </c>
      <c r="B89" s="216" t="s">
        <v>32</v>
      </c>
      <c r="C89" s="217">
        <f>E89+J89+O89+T89+Y89</f>
        <v>0</v>
      </c>
      <c r="D89" s="196">
        <f>F89+K89+P89+U89+Z89</f>
        <v>5132</v>
      </c>
      <c r="E89" s="195">
        <v>0</v>
      </c>
      <c r="F89" s="196">
        <f>G89+H89+I89</f>
        <v>0</v>
      </c>
      <c r="G89" s="196">
        <v>0</v>
      </c>
      <c r="H89" s="196">
        <v>0</v>
      </c>
      <c r="I89" s="196">
        <v>0</v>
      </c>
      <c r="J89" s="217">
        <v>0</v>
      </c>
      <c r="K89" s="229">
        <f>L89+M89+N89</f>
        <v>300</v>
      </c>
      <c r="L89" s="229">
        <v>0</v>
      </c>
      <c r="M89" s="229">
        <v>0</v>
      </c>
      <c r="N89" s="229">
        <f>4993-4129-51-281-232</f>
        <v>300</v>
      </c>
      <c r="O89" s="217">
        <v>0</v>
      </c>
      <c r="P89" s="229">
        <f t="shared" ref="P89:P90" si="44">SUM(Q89:S89)</f>
        <v>4051</v>
      </c>
      <c r="Q89" s="229">
        <v>0</v>
      </c>
      <c r="R89" s="229">
        <v>0</v>
      </c>
      <c r="S89" s="229">
        <v>4051</v>
      </c>
      <c r="T89" s="220">
        <v>0</v>
      </c>
      <c r="U89" s="229">
        <f t="shared" si="42"/>
        <v>781</v>
      </c>
      <c r="V89" s="229">
        <v>0</v>
      </c>
      <c r="W89" s="229">
        <v>0</v>
      </c>
      <c r="X89" s="229">
        <f>4096-3315</f>
        <v>781</v>
      </c>
      <c r="Y89" s="229">
        <f t="shared" ref="Y89:AC89" si="45">SUM(Z89:AB89)</f>
        <v>0</v>
      </c>
      <c r="Z89" s="229">
        <f t="shared" si="45"/>
        <v>0</v>
      </c>
      <c r="AA89" s="229">
        <f t="shared" si="45"/>
        <v>0</v>
      </c>
      <c r="AB89" s="229">
        <f t="shared" si="45"/>
        <v>0</v>
      </c>
      <c r="AC89" s="229">
        <f t="shared" si="45"/>
        <v>0</v>
      </c>
      <c r="AD89" s="214"/>
    </row>
    <row r="90" spans="1:30" s="14" customFormat="1" ht="117.6" customHeight="1" outlineLevel="1" x14ac:dyDescent="0.2">
      <c r="A90" s="193" t="s">
        <v>1319</v>
      </c>
      <c r="B90" s="216" t="s">
        <v>31</v>
      </c>
      <c r="C90" s="217">
        <f t="shared" si="43"/>
        <v>0</v>
      </c>
      <c r="D90" s="196">
        <f>F90+Z90+P90+K90+U90</f>
        <v>0</v>
      </c>
      <c r="E90" s="217">
        <f>G90+L90+Q90+V90+AA90</f>
        <v>0</v>
      </c>
      <c r="F90" s="196">
        <f>G90+H90+I90</f>
        <v>0</v>
      </c>
      <c r="G90" s="196">
        <v>0</v>
      </c>
      <c r="H90" s="196">
        <v>0</v>
      </c>
      <c r="I90" s="196">
        <v>0</v>
      </c>
      <c r="J90" s="217">
        <v>0</v>
      </c>
      <c r="K90" s="229">
        <f>SUM(L90:N90)</f>
        <v>0</v>
      </c>
      <c r="L90" s="218">
        <v>0</v>
      </c>
      <c r="M90" s="218">
        <v>0</v>
      </c>
      <c r="N90" s="218">
        <v>0</v>
      </c>
      <c r="O90" s="217">
        <v>0</v>
      </c>
      <c r="P90" s="229">
        <f t="shared" si="44"/>
        <v>0</v>
      </c>
      <c r="Q90" s="218">
        <v>0</v>
      </c>
      <c r="R90" s="218">
        <v>0</v>
      </c>
      <c r="S90" s="218">
        <v>0</v>
      </c>
      <c r="T90" s="220">
        <v>0</v>
      </c>
      <c r="U90" s="229">
        <f t="shared" si="42"/>
        <v>0</v>
      </c>
      <c r="V90" s="219">
        <v>0</v>
      </c>
      <c r="W90" s="219">
        <v>0</v>
      </c>
      <c r="X90" s="219">
        <v>0</v>
      </c>
      <c r="Y90" s="217">
        <v>0</v>
      </c>
      <c r="Z90" s="219">
        <f>AA90+AB90+AC90</f>
        <v>0</v>
      </c>
      <c r="AA90" s="219">
        <v>0</v>
      </c>
      <c r="AB90" s="218">
        <v>0</v>
      </c>
      <c r="AC90" s="230">
        <v>0</v>
      </c>
      <c r="AD90" s="214"/>
    </row>
    <row r="91" spans="1:30" s="15" customFormat="1" ht="114.75" customHeight="1" outlineLevel="1" x14ac:dyDescent="0.2">
      <c r="A91" s="215" t="s">
        <v>1320</v>
      </c>
      <c r="B91" s="231" t="s">
        <v>285</v>
      </c>
      <c r="C91" s="342">
        <f t="shared" si="43"/>
        <v>0</v>
      </c>
      <c r="D91" s="232">
        <f t="shared" ref="D91:D95" si="46">F91+K91+P91+U91+Z91</f>
        <v>34322</v>
      </c>
      <c r="E91" s="195">
        <v>0</v>
      </c>
      <c r="F91" s="229">
        <f>G91+H91+I91</f>
        <v>21761</v>
      </c>
      <c r="G91" s="229">
        <v>0</v>
      </c>
      <c r="H91" s="196">
        <v>20716</v>
      </c>
      <c r="I91" s="196">
        <v>1045</v>
      </c>
      <c r="J91" s="342">
        <v>0</v>
      </c>
      <c r="K91" s="218">
        <f t="shared" ref="K91:K95" si="47">L91+M91+N91</f>
        <v>12561</v>
      </c>
      <c r="L91" s="218">
        <v>0</v>
      </c>
      <c r="M91" s="218">
        <v>0</v>
      </c>
      <c r="N91" s="218">
        <v>12561</v>
      </c>
      <c r="O91" s="217">
        <v>0</v>
      </c>
      <c r="P91" s="218">
        <f>S91</f>
        <v>0</v>
      </c>
      <c r="Q91" s="218">
        <v>0</v>
      </c>
      <c r="R91" s="218">
        <v>0</v>
      </c>
      <c r="S91" s="218">
        <v>0</v>
      </c>
      <c r="T91" s="217">
        <v>0</v>
      </c>
      <c r="U91" s="218">
        <v>0</v>
      </c>
      <c r="V91" s="218">
        <v>0</v>
      </c>
      <c r="W91" s="218">
        <v>0</v>
      </c>
      <c r="X91" s="218">
        <v>0</v>
      </c>
      <c r="Y91" s="217">
        <v>0</v>
      </c>
      <c r="Z91" s="218">
        <v>0</v>
      </c>
      <c r="AA91" s="218">
        <v>0</v>
      </c>
      <c r="AB91" s="218">
        <v>0</v>
      </c>
      <c r="AC91" s="218">
        <v>0</v>
      </c>
      <c r="AD91" s="221"/>
    </row>
    <row r="92" spans="1:30" s="15" customFormat="1" ht="114.75" customHeight="1" outlineLevel="1" x14ac:dyDescent="0.2">
      <c r="A92" s="215" t="s">
        <v>1321</v>
      </c>
      <c r="B92" s="231" t="s">
        <v>327</v>
      </c>
      <c r="C92" s="342">
        <f t="shared" si="43"/>
        <v>0</v>
      </c>
      <c r="D92" s="232">
        <f t="shared" si="46"/>
        <v>932</v>
      </c>
      <c r="E92" s="195">
        <v>0</v>
      </c>
      <c r="F92" s="229">
        <f>G92+H92+I92</f>
        <v>466</v>
      </c>
      <c r="G92" s="229">
        <v>0</v>
      </c>
      <c r="H92" s="196">
        <v>0</v>
      </c>
      <c r="I92" s="196">
        <v>466</v>
      </c>
      <c r="J92" s="342">
        <v>0</v>
      </c>
      <c r="K92" s="218">
        <f t="shared" si="47"/>
        <v>466</v>
      </c>
      <c r="L92" s="218">
        <v>0</v>
      </c>
      <c r="M92" s="218">
        <v>0</v>
      </c>
      <c r="N92" s="218">
        <v>466</v>
      </c>
      <c r="O92" s="217">
        <v>0</v>
      </c>
      <c r="P92" s="218">
        <f>S92</f>
        <v>0</v>
      </c>
      <c r="Q92" s="218">
        <v>0</v>
      </c>
      <c r="R92" s="218">
        <v>0</v>
      </c>
      <c r="S92" s="218">
        <v>0</v>
      </c>
      <c r="T92" s="217">
        <v>0</v>
      </c>
      <c r="U92" s="218">
        <v>0</v>
      </c>
      <c r="V92" s="218">
        <v>0</v>
      </c>
      <c r="W92" s="218">
        <v>0</v>
      </c>
      <c r="X92" s="218">
        <v>0</v>
      </c>
      <c r="Y92" s="217">
        <v>0</v>
      </c>
      <c r="Z92" s="218">
        <v>0</v>
      </c>
      <c r="AA92" s="218">
        <v>0</v>
      </c>
      <c r="AB92" s="218">
        <v>0</v>
      </c>
      <c r="AC92" s="218">
        <v>0</v>
      </c>
      <c r="AD92" s="221"/>
    </row>
    <row r="93" spans="1:30" s="14" customFormat="1" ht="71.45" customHeight="1" outlineLevel="1" x14ac:dyDescent="0.2">
      <c r="A93" s="193" t="s">
        <v>1322</v>
      </c>
      <c r="B93" s="216" t="s">
        <v>33</v>
      </c>
      <c r="C93" s="217">
        <v>40.97</v>
      </c>
      <c r="D93" s="196">
        <f>F93+K93+P93+U93+Z93</f>
        <v>432960</v>
      </c>
      <c r="E93" s="195">
        <v>0</v>
      </c>
      <c r="F93" s="196">
        <v>0</v>
      </c>
      <c r="G93" s="196">
        <v>0</v>
      </c>
      <c r="H93" s="196">
        <v>0</v>
      </c>
      <c r="I93" s="196">
        <v>0</v>
      </c>
      <c r="J93" s="217">
        <v>40.94</v>
      </c>
      <c r="K93" s="218">
        <f t="shared" si="47"/>
        <v>214595</v>
      </c>
      <c r="L93" s="218">
        <v>0</v>
      </c>
      <c r="M93" s="218">
        <v>202149</v>
      </c>
      <c r="N93" s="218">
        <v>12446</v>
      </c>
      <c r="O93" s="217">
        <v>40.94</v>
      </c>
      <c r="P93" s="218">
        <f>Q93+R93+S93</f>
        <v>109342</v>
      </c>
      <c r="Q93" s="218">
        <v>0</v>
      </c>
      <c r="R93" s="218">
        <v>103000</v>
      </c>
      <c r="S93" s="218">
        <v>6342</v>
      </c>
      <c r="T93" s="220">
        <v>40.97</v>
      </c>
      <c r="U93" s="219">
        <f>V93+W93+X93</f>
        <v>109023</v>
      </c>
      <c r="V93" s="219">
        <v>0</v>
      </c>
      <c r="W93" s="219">
        <v>103000</v>
      </c>
      <c r="X93" s="219">
        <v>6023</v>
      </c>
      <c r="Y93" s="217">
        <v>0</v>
      </c>
      <c r="Z93" s="218">
        <f>AA93+AC93</f>
        <v>0</v>
      </c>
      <c r="AA93" s="218">
        <v>0</v>
      </c>
      <c r="AB93" s="218">
        <v>0</v>
      </c>
      <c r="AC93" s="218">
        <v>0</v>
      </c>
      <c r="AD93" s="214"/>
    </row>
    <row r="94" spans="1:30" s="14" customFormat="1" ht="71.45" customHeight="1" outlineLevel="1" x14ac:dyDescent="0.2">
      <c r="A94" s="193" t="s">
        <v>1323</v>
      </c>
      <c r="B94" s="216" t="s">
        <v>519</v>
      </c>
      <c r="C94" s="217">
        <f t="shared" si="43"/>
        <v>0</v>
      </c>
      <c r="D94" s="196">
        <f t="shared" si="46"/>
        <v>76305</v>
      </c>
      <c r="E94" s="195">
        <f>G94+L94+Q94+V94+AA94</f>
        <v>0</v>
      </c>
      <c r="F94" s="196">
        <f>G94+H94+I94</f>
        <v>0</v>
      </c>
      <c r="G94" s="196">
        <v>0</v>
      </c>
      <c r="H94" s="196">
        <v>0</v>
      </c>
      <c r="I94" s="196">
        <v>0</v>
      </c>
      <c r="J94" s="217">
        <v>0</v>
      </c>
      <c r="K94" s="218">
        <f t="shared" si="47"/>
        <v>0</v>
      </c>
      <c r="L94" s="218">
        <v>0</v>
      </c>
      <c r="M94" s="218">
        <v>0</v>
      </c>
      <c r="N94" s="218">
        <v>0</v>
      </c>
      <c r="O94" s="217">
        <v>0</v>
      </c>
      <c r="P94" s="218">
        <f>Q94+R94+S94</f>
        <v>76305</v>
      </c>
      <c r="Q94" s="218">
        <v>0</v>
      </c>
      <c r="R94" s="218">
        <f>70000+1879</f>
        <v>71879</v>
      </c>
      <c r="S94" s="218">
        <f>4310+116</f>
        <v>4426</v>
      </c>
      <c r="T94" s="220">
        <v>0</v>
      </c>
      <c r="U94" s="219">
        <v>0</v>
      </c>
      <c r="V94" s="219">
        <v>0</v>
      </c>
      <c r="W94" s="219">
        <v>0</v>
      </c>
      <c r="X94" s="219">
        <v>0</v>
      </c>
      <c r="Y94" s="217">
        <v>0</v>
      </c>
      <c r="Z94" s="218">
        <f>AA94+AB94+AC94</f>
        <v>0</v>
      </c>
      <c r="AA94" s="218">
        <v>0</v>
      </c>
      <c r="AB94" s="218">
        <v>0</v>
      </c>
      <c r="AC94" s="218">
        <v>0</v>
      </c>
      <c r="AD94" s="214"/>
    </row>
    <row r="95" spans="1:30" s="14" customFormat="1" ht="71.45" customHeight="1" outlineLevel="1" x14ac:dyDescent="0.2">
      <c r="A95" s="193" t="s">
        <v>1324</v>
      </c>
      <c r="B95" s="216" t="s">
        <v>584</v>
      </c>
      <c r="C95" s="217">
        <f t="shared" si="43"/>
        <v>0</v>
      </c>
      <c r="D95" s="196">
        <f t="shared" si="46"/>
        <v>528</v>
      </c>
      <c r="E95" s="195">
        <f>G95+L95+Q95+V95+AA95</f>
        <v>0</v>
      </c>
      <c r="F95" s="196">
        <f>G95+H95+I95</f>
        <v>0</v>
      </c>
      <c r="G95" s="196">
        <v>0</v>
      </c>
      <c r="H95" s="196">
        <v>0</v>
      </c>
      <c r="I95" s="196">
        <v>0</v>
      </c>
      <c r="J95" s="217">
        <v>0</v>
      </c>
      <c r="K95" s="218">
        <f t="shared" si="47"/>
        <v>0</v>
      </c>
      <c r="L95" s="218">
        <v>0</v>
      </c>
      <c r="M95" s="218">
        <v>0</v>
      </c>
      <c r="N95" s="218">
        <v>0</v>
      </c>
      <c r="O95" s="217">
        <v>0</v>
      </c>
      <c r="P95" s="218">
        <f>Q95+R95+S95</f>
        <v>528</v>
      </c>
      <c r="Q95" s="218">
        <v>0</v>
      </c>
      <c r="R95" s="218">
        <v>0</v>
      </c>
      <c r="S95" s="218">
        <f>1650-169+30-514-469</f>
        <v>528</v>
      </c>
      <c r="T95" s="220">
        <v>0</v>
      </c>
      <c r="U95" s="219">
        <v>0</v>
      </c>
      <c r="V95" s="219">
        <v>0</v>
      </c>
      <c r="W95" s="219">
        <v>0</v>
      </c>
      <c r="X95" s="219">
        <v>0</v>
      </c>
      <c r="Y95" s="217">
        <v>0</v>
      </c>
      <c r="Z95" s="218">
        <f>AA95+AB95+AC95</f>
        <v>0</v>
      </c>
      <c r="AA95" s="218">
        <v>0</v>
      </c>
      <c r="AB95" s="218">
        <v>0</v>
      </c>
      <c r="AC95" s="218">
        <v>0</v>
      </c>
      <c r="AD95" s="214"/>
    </row>
    <row r="96" spans="1:30" s="14" customFormat="1" ht="34.5" customHeight="1" outlineLevel="1" x14ac:dyDescent="0.2">
      <c r="A96" s="193" t="s">
        <v>1325</v>
      </c>
      <c r="B96" s="216" t="s">
        <v>1372</v>
      </c>
      <c r="C96" s="217">
        <v>0</v>
      </c>
      <c r="D96" s="196">
        <v>0</v>
      </c>
      <c r="E96" s="195">
        <v>0</v>
      </c>
      <c r="F96" s="196">
        <v>0</v>
      </c>
      <c r="G96" s="196">
        <v>0</v>
      </c>
      <c r="H96" s="196">
        <v>0</v>
      </c>
      <c r="I96" s="196">
        <v>0</v>
      </c>
      <c r="J96" s="217">
        <v>0</v>
      </c>
      <c r="K96" s="218">
        <v>0</v>
      </c>
      <c r="L96" s="218">
        <v>0</v>
      </c>
      <c r="M96" s="218">
        <v>0</v>
      </c>
      <c r="N96" s="218">
        <v>0</v>
      </c>
      <c r="O96" s="217">
        <v>0</v>
      </c>
      <c r="P96" s="218">
        <v>0</v>
      </c>
      <c r="Q96" s="218">
        <v>0</v>
      </c>
      <c r="R96" s="218">
        <v>0</v>
      </c>
      <c r="S96" s="218">
        <v>0</v>
      </c>
      <c r="T96" s="220">
        <v>0</v>
      </c>
      <c r="U96" s="219">
        <f>V96+W96+X96</f>
        <v>0</v>
      </c>
      <c r="V96" s="219">
        <v>0</v>
      </c>
      <c r="W96" s="219">
        <v>0</v>
      </c>
      <c r="X96" s="219">
        <f>10002-10002</f>
        <v>0</v>
      </c>
      <c r="Y96" s="217">
        <v>0</v>
      </c>
      <c r="Z96" s="218">
        <v>0</v>
      </c>
      <c r="AA96" s="218">
        <v>0</v>
      </c>
      <c r="AB96" s="218">
        <v>0</v>
      </c>
      <c r="AC96" s="218">
        <v>0</v>
      </c>
      <c r="AD96" s="214"/>
    </row>
    <row r="97" spans="1:30" s="14" customFormat="1" ht="25.15" customHeight="1" outlineLevel="1" x14ac:dyDescent="0.2">
      <c r="A97" s="193"/>
      <c r="B97" s="216" t="s">
        <v>216</v>
      </c>
      <c r="C97" s="217">
        <f t="shared" si="43"/>
        <v>0</v>
      </c>
      <c r="D97" s="196">
        <f>F97+K97+P97+U97+Z97</f>
        <v>730</v>
      </c>
      <c r="E97" s="195">
        <v>0</v>
      </c>
      <c r="F97" s="196">
        <v>0</v>
      </c>
      <c r="G97" s="196">
        <v>0</v>
      </c>
      <c r="H97" s="196">
        <v>0</v>
      </c>
      <c r="I97" s="196">
        <v>0</v>
      </c>
      <c r="J97" s="217">
        <v>0</v>
      </c>
      <c r="K97" s="218">
        <f>L97+M97+N97</f>
        <v>730</v>
      </c>
      <c r="L97" s="218">
        <v>0</v>
      </c>
      <c r="M97" s="218">
        <f>11835-11834</f>
        <v>1</v>
      </c>
      <c r="N97" s="218">
        <v>729</v>
      </c>
      <c r="O97" s="217">
        <v>0</v>
      </c>
      <c r="P97" s="218">
        <f>Q97+R97+S97</f>
        <v>0</v>
      </c>
      <c r="Q97" s="218">
        <v>0</v>
      </c>
      <c r="R97" s="218">
        <v>0</v>
      </c>
      <c r="S97" s="218">
        <v>0</v>
      </c>
      <c r="T97" s="220">
        <v>0</v>
      </c>
      <c r="U97" s="219">
        <f>X97+W97+V97</f>
        <v>0</v>
      </c>
      <c r="V97" s="219">
        <v>0</v>
      </c>
      <c r="W97" s="219">
        <v>0</v>
      </c>
      <c r="X97" s="219">
        <f>8256-5164-3092</f>
        <v>0</v>
      </c>
      <c r="Y97" s="220">
        <v>0</v>
      </c>
      <c r="Z97" s="219">
        <f>AA97+AB97+AC97+AD97</f>
        <v>0</v>
      </c>
      <c r="AA97" s="219">
        <v>0</v>
      </c>
      <c r="AB97" s="219">
        <v>0</v>
      </c>
      <c r="AC97" s="219">
        <f>8256-8256</f>
        <v>0</v>
      </c>
      <c r="AD97" s="214"/>
    </row>
    <row r="98" spans="1:30" s="14" customFormat="1" ht="15.75" outlineLevel="1" x14ac:dyDescent="0.2">
      <c r="A98" s="444" t="s">
        <v>363</v>
      </c>
      <c r="B98" s="444"/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4"/>
      <c r="P98" s="444"/>
      <c r="Q98" s="444"/>
      <c r="R98" s="444"/>
      <c r="S98" s="444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214"/>
    </row>
    <row r="99" spans="1:30" s="14" customFormat="1" ht="85.9" customHeight="1" outlineLevel="1" x14ac:dyDescent="0.2">
      <c r="A99" s="193" t="s">
        <v>1325</v>
      </c>
      <c r="B99" s="216" t="s">
        <v>30</v>
      </c>
      <c r="C99" s="217">
        <f>E99+T99+O99+J99+Y99</f>
        <v>0</v>
      </c>
      <c r="D99" s="196">
        <f>F99+Z99+P99+K99+U99</f>
        <v>0</v>
      </c>
      <c r="E99" s="195">
        <v>0</v>
      </c>
      <c r="F99" s="196">
        <v>0</v>
      </c>
      <c r="G99" s="196">
        <v>0</v>
      </c>
      <c r="H99" s="196">
        <v>0</v>
      </c>
      <c r="I99" s="196">
        <v>0</v>
      </c>
      <c r="J99" s="233">
        <v>0</v>
      </c>
      <c r="K99" s="229">
        <f>SUM(L99:N99)</f>
        <v>0</v>
      </c>
      <c r="L99" s="229">
        <v>0</v>
      </c>
      <c r="M99" s="229">
        <v>0</v>
      </c>
      <c r="N99" s="229">
        <f>4021-4021</f>
        <v>0</v>
      </c>
      <c r="O99" s="217">
        <v>0</v>
      </c>
      <c r="P99" s="218">
        <f>Q99+R99+S99</f>
        <v>0</v>
      </c>
      <c r="Q99" s="218">
        <v>0</v>
      </c>
      <c r="R99" s="218">
        <v>0</v>
      </c>
      <c r="S99" s="218">
        <v>0</v>
      </c>
      <c r="T99" s="220">
        <v>0</v>
      </c>
      <c r="U99" s="219">
        <v>0</v>
      </c>
      <c r="V99" s="219">
        <v>0</v>
      </c>
      <c r="W99" s="219">
        <v>0</v>
      </c>
      <c r="X99" s="219">
        <v>0</v>
      </c>
      <c r="Y99" s="217">
        <v>0</v>
      </c>
      <c r="Z99" s="229">
        <f>SUM(AA99:AC99)</f>
        <v>0</v>
      </c>
      <c r="AA99" s="218">
        <v>0</v>
      </c>
      <c r="AB99" s="218">
        <v>0</v>
      </c>
      <c r="AC99" s="218">
        <v>0</v>
      </c>
      <c r="AD99" s="214"/>
    </row>
    <row r="100" spans="1:30" s="14" customFormat="1" ht="66" customHeight="1" outlineLevel="1" x14ac:dyDescent="0.2">
      <c r="A100" s="193" t="s">
        <v>1326</v>
      </c>
      <c r="B100" s="216" t="s">
        <v>34</v>
      </c>
      <c r="C100" s="217">
        <f>E100+J100+O100+T100+Y100</f>
        <v>0</v>
      </c>
      <c r="D100" s="196">
        <f>F100+Z100+P100+K100+U100</f>
        <v>0</v>
      </c>
      <c r="E100" s="195">
        <v>0</v>
      </c>
      <c r="F100" s="196">
        <v>0</v>
      </c>
      <c r="G100" s="196">
        <v>0</v>
      </c>
      <c r="H100" s="196">
        <v>0</v>
      </c>
      <c r="I100" s="196">
        <v>0</v>
      </c>
      <c r="J100" s="217">
        <v>0</v>
      </c>
      <c r="K100" s="229">
        <f>SUM(L100:N100)</f>
        <v>0</v>
      </c>
      <c r="L100" s="218">
        <v>0</v>
      </c>
      <c r="M100" s="218">
        <v>0</v>
      </c>
      <c r="N100" s="218">
        <v>0</v>
      </c>
      <c r="O100" s="217">
        <v>0</v>
      </c>
      <c r="P100" s="218">
        <f>Q100+R100+S100</f>
        <v>0</v>
      </c>
      <c r="Q100" s="218">
        <v>0</v>
      </c>
      <c r="R100" s="218">
        <v>0</v>
      </c>
      <c r="S100" s="218">
        <v>0</v>
      </c>
      <c r="T100" s="220">
        <v>0</v>
      </c>
      <c r="U100" s="219">
        <v>0</v>
      </c>
      <c r="V100" s="219">
        <v>0</v>
      </c>
      <c r="W100" s="219">
        <v>0</v>
      </c>
      <c r="X100" s="219">
        <v>0</v>
      </c>
      <c r="Y100" s="220">
        <v>0</v>
      </c>
      <c r="Z100" s="219">
        <f>AA100+AB100+AC100</f>
        <v>0</v>
      </c>
      <c r="AA100" s="219">
        <v>0</v>
      </c>
      <c r="AB100" s="219">
        <v>0</v>
      </c>
      <c r="AC100" s="219">
        <v>0</v>
      </c>
      <c r="AD100" s="214"/>
    </row>
    <row r="101" spans="1:30" s="14" customFormat="1" ht="63" customHeight="1" outlineLevel="1" x14ac:dyDescent="0.2">
      <c r="A101" s="193" t="s">
        <v>1327</v>
      </c>
      <c r="B101" s="216" t="s">
        <v>4</v>
      </c>
      <c r="C101" s="217">
        <f>E101+J101+O101+T101+Y101</f>
        <v>0</v>
      </c>
      <c r="D101" s="196">
        <f>F101+Z101+P101+K101+U101</f>
        <v>0</v>
      </c>
      <c r="E101" s="195">
        <v>0</v>
      </c>
      <c r="F101" s="196">
        <v>0</v>
      </c>
      <c r="G101" s="196">
        <v>0</v>
      </c>
      <c r="H101" s="196">
        <v>0</v>
      </c>
      <c r="I101" s="196">
        <v>0</v>
      </c>
      <c r="J101" s="217">
        <v>0</v>
      </c>
      <c r="K101" s="229">
        <f>SUM(L101:N101)</f>
        <v>0</v>
      </c>
      <c r="L101" s="218">
        <v>0</v>
      </c>
      <c r="M101" s="218">
        <v>0</v>
      </c>
      <c r="N101" s="218">
        <v>0</v>
      </c>
      <c r="O101" s="217">
        <v>0</v>
      </c>
      <c r="P101" s="218">
        <v>0</v>
      </c>
      <c r="Q101" s="218">
        <v>0</v>
      </c>
      <c r="R101" s="218">
        <v>0</v>
      </c>
      <c r="S101" s="218">
        <v>0</v>
      </c>
      <c r="T101" s="220">
        <v>0</v>
      </c>
      <c r="U101" s="219">
        <v>0</v>
      </c>
      <c r="V101" s="219">
        <v>0</v>
      </c>
      <c r="W101" s="219">
        <v>0</v>
      </c>
      <c r="X101" s="219">
        <v>0</v>
      </c>
      <c r="Y101" s="220">
        <v>0</v>
      </c>
      <c r="Z101" s="219">
        <f>AA101+AB101+AC101</f>
        <v>0</v>
      </c>
      <c r="AA101" s="219">
        <v>0</v>
      </c>
      <c r="AB101" s="219">
        <v>0</v>
      </c>
      <c r="AC101" s="219">
        <v>0</v>
      </c>
      <c r="AD101" s="214"/>
    </row>
    <row r="102" spans="1:30" s="16" customFormat="1" ht="46.9" customHeight="1" x14ac:dyDescent="0.2">
      <c r="A102" s="234"/>
      <c r="B102" s="226" t="s">
        <v>501</v>
      </c>
      <c r="C102" s="227">
        <f>SUM(C78:C101)</f>
        <v>52.05</v>
      </c>
      <c r="D102" s="228">
        <f>SUM(D78:D101)</f>
        <v>606129</v>
      </c>
      <c r="E102" s="227">
        <f t="shared" ref="E102:AC102" si="48">SUM(E78:E101)</f>
        <v>5.54</v>
      </c>
      <c r="F102" s="228">
        <f t="shared" si="48"/>
        <v>64125</v>
      </c>
      <c r="G102" s="228">
        <f t="shared" si="48"/>
        <v>0</v>
      </c>
      <c r="H102" s="228">
        <f t="shared" si="48"/>
        <v>60112</v>
      </c>
      <c r="I102" s="228">
        <f t="shared" si="48"/>
        <v>4013</v>
      </c>
      <c r="J102" s="227">
        <f t="shared" si="48"/>
        <v>46.48</v>
      </c>
      <c r="K102" s="228">
        <f t="shared" si="48"/>
        <v>241974</v>
      </c>
      <c r="L102" s="228">
        <f t="shared" si="48"/>
        <v>0</v>
      </c>
      <c r="M102" s="228">
        <f t="shared" si="48"/>
        <v>214659</v>
      </c>
      <c r="N102" s="228">
        <f t="shared" si="48"/>
        <v>27315</v>
      </c>
      <c r="O102" s="227">
        <f t="shared" si="48"/>
        <v>40.94</v>
      </c>
      <c r="P102" s="228">
        <f t="shared" si="48"/>
        <v>190226</v>
      </c>
      <c r="Q102" s="228">
        <f t="shared" si="48"/>
        <v>0</v>
      </c>
      <c r="R102" s="228">
        <f t="shared" si="48"/>
        <v>174879</v>
      </c>
      <c r="S102" s="228">
        <f t="shared" si="48"/>
        <v>15347</v>
      </c>
      <c r="T102" s="227">
        <f t="shared" si="48"/>
        <v>40.97</v>
      </c>
      <c r="U102" s="228">
        <f>SUM(U78:U101)-U96</f>
        <v>109804</v>
      </c>
      <c r="V102" s="228">
        <f t="shared" si="48"/>
        <v>0</v>
      </c>
      <c r="W102" s="228">
        <f t="shared" si="48"/>
        <v>103000</v>
      </c>
      <c r="X102" s="228">
        <f>SUM(X78:X101)-X96</f>
        <v>6804</v>
      </c>
      <c r="Y102" s="227">
        <f t="shared" si="48"/>
        <v>0</v>
      </c>
      <c r="Z102" s="228">
        <f t="shared" si="48"/>
        <v>0</v>
      </c>
      <c r="AA102" s="228">
        <f t="shared" si="48"/>
        <v>0</v>
      </c>
      <c r="AB102" s="228">
        <f t="shared" si="48"/>
        <v>0</v>
      </c>
      <c r="AC102" s="228">
        <f t="shared" si="48"/>
        <v>0</v>
      </c>
      <c r="AD102" s="235"/>
    </row>
    <row r="103" spans="1:30" s="14" customFormat="1" ht="48.75" customHeight="1" x14ac:dyDescent="0.2">
      <c r="A103" s="213" t="s">
        <v>452</v>
      </c>
      <c r="B103" s="438" t="s">
        <v>1416</v>
      </c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39"/>
      <c r="AB103" s="439"/>
      <c r="AC103" s="440"/>
      <c r="AD103" s="214"/>
    </row>
    <row r="104" spans="1:30" s="14" customFormat="1" ht="52.9" customHeight="1" outlineLevel="1" x14ac:dyDescent="0.2">
      <c r="A104" s="232" t="s">
        <v>1126</v>
      </c>
      <c r="B104" s="236" t="s">
        <v>1359</v>
      </c>
      <c r="C104" s="342">
        <f t="shared" ref="C104" si="49">E104+J104+O104+Y104+T104</f>
        <v>1</v>
      </c>
      <c r="D104" s="232">
        <f>F104+K104+P104+Z104+U104</f>
        <v>4675</v>
      </c>
      <c r="E104" s="237">
        <v>0</v>
      </c>
      <c r="F104" s="229">
        <f t="shared" ref="F104:F108" si="50">G104+H104+I104</f>
        <v>0</v>
      </c>
      <c r="G104" s="229">
        <v>0</v>
      </c>
      <c r="H104" s="229">
        <v>0</v>
      </c>
      <c r="I104" s="229">
        <v>0</v>
      </c>
      <c r="J104" s="342">
        <v>0</v>
      </c>
      <c r="K104" s="218">
        <v>0</v>
      </c>
      <c r="L104" s="218">
        <v>0</v>
      </c>
      <c r="M104" s="218">
        <v>0</v>
      </c>
      <c r="N104" s="218">
        <v>0</v>
      </c>
      <c r="O104" s="217">
        <v>0</v>
      </c>
      <c r="P104" s="218">
        <f t="shared" ref="P104" si="51">Q104+R104+S104</f>
        <v>0</v>
      </c>
      <c r="Q104" s="218">
        <v>0</v>
      </c>
      <c r="R104" s="218">
        <v>0</v>
      </c>
      <c r="S104" s="218">
        <v>0</v>
      </c>
      <c r="T104" s="217">
        <v>1</v>
      </c>
      <c r="U104" s="218">
        <f t="shared" ref="U104:U107" si="52">V104+W104+X104</f>
        <v>4675</v>
      </c>
      <c r="V104" s="218">
        <v>0</v>
      </c>
      <c r="W104" s="218">
        <v>0</v>
      </c>
      <c r="X104" s="218">
        <f>4806-81-50</f>
        <v>4675</v>
      </c>
      <c r="Y104" s="217">
        <v>0</v>
      </c>
      <c r="Z104" s="218">
        <v>0</v>
      </c>
      <c r="AA104" s="218">
        <v>0</v>
      </c>
      <c r="AB104" s="218">
        <v>0</v>
      </c>
      <c r="AC104" s="218">
        <v>0</v>
      </c>
      <c r="AD104" s="214"/>
    </row>
    <row r="105" spans="1:30" s="15" customFormat="1" ht="64.5" customHeight="1" outlineLevel="1" x14ac:dyDescent="0.2">
      <c r="A105" s="232" t="s">
        <v>1127</v>
      </c>
      <c r="B105" s="231" t="s">
        <v>343</v>
      </c>
      <c r="C105" s="342">
        <f t="shared" ref="C105:C109" si="53">E105+J105+O105+T105+Y105</f>
        <v>1.2</v>
      </c>
      <c r="D105" s="232">
        <f t="shared" ref="D105:D168" si="54">F105+K105+P105+Z105+U105</f>
        <v>8874</v>
      </c>
      <c r="E105" s="195">
        <v>1.2</v>
      </c>
      <c r="F105" s="229">
        <f>G105+H105+I105</f>
        <v>8874</v>
      </c>
      <c r="G105" s="229">
        <v>0</v>
      </c>
      <c r="H105" s="196">
        <v>8448</v>
      </c>
      <c r="I105" s="229">
        <v>426</v>
      </c>
      <c r="J105" s="342">
        <v>0</v>
      </c>
      <c r="K105" s="218">
        <f t="shared" ref="K105:K110" si="55">SUM(L105:N105)</f>
        <v>0</v>
      </c>
      <c r="L105" s="218">
        <v>0</v>
      </c>
      <c r="M105" s="218">
        <v>0</v>
      </c>
      <c r="N105" s="218">
        <v>0</v>
      </c>
      <c r="O105" s="217">
        <v>0</v>
      </c>
      <c r="P105" s="218">
        <f t="shared" ref="P105:P110" si="56">Q105+R105+S105</f>
        <v>0</v>
      </c>
      <c r="Q105" s="218">
        <v>0</v>
      </c>
      <c r="R105" s="218">
        <v>0</v>
      </c>
      <c r="S105" s="218">
        <v>0</v>
      </c>
      <c r="T105" s="217">
        <v>0</v>
      </c>
      <c r="U105" s="218">
        <f t="shared" si="52"/>
        <v>0</v>
      </c>
      <c r="V105" s="218">
        <v>0</v>
      </c>
      <c r="W105" s="218">
        <v>0</v>
      </c>
      <c r="X105" s="218">
        <v>0</v>
      </c>
      <c r="Y105" s="217">
        <v>0</v>
      </c>
      <c r="Z105" s="218">
        <f t="shared" ref="Z105:Z107" si="57">AA105+AB105+AC105</f>
        <v>0</v>
      </c>
      <c r="AA105" s="218">
        <v>0</v>
      </c>
      <c r="AB105" s="218">
        <v>0</v>
      </c>
      <c r="AC105" s="218">
        <v>0</v>
      </c>
      <c r="AD105" s="221"/>
    </row>
    <row r="106" spans="1:30" s="15" customFormat="1" ht="46.5" customHeight="1" outlineLevel="1" x14ac:dyDescent="0.2">
      <c r="A106" s="232" t="s">
        <v>1128</v>
      </c>
      <c r="B106" s="231" t="s">
        <v>344</v>
      </c>
      <c r="C106" s="342">
        <f t="shared" si="53"/>
        <v>0.85</v>
      </c>
      <c r="D106" s="232">
        <f t="shared" si="54"/>
        <v>18436</v>
      </c>
      <c r="E106" s="195">
        <v>0.85</v>
      </c>
      <c r="F106" s="229">
        <f>G106+H106+I106</f>
        <v>18436</v>
      </c>
      <c r="G106" s="229">
        <v>0</v>
      </c>
      <c r="H106" s="196">
        <v>17551</v>
      </c>
      <c r="I106" s="229">
        <v>885</v>
      </c>
      <c r="J106" s="342">
        <v>0</v>
      </c>
      <c r="K106" s="218">
        <f t="shared" si="55"/>
        <v>0</v>
      </c>
      <c r="L106" s="218">
        <v>0</v>
      </c>
      <c r="M106" s="218">
        <v>0</v>
      </c>
      <c r="N106" s="218">
        <v>0</v>
      </c>
      <c r="O106" s="217">
        <v>0</v>
      </c>
      <c r="P106" s="218">
        <f t="shared" si="56"/>
        <v>0</v>
      </c>
      <c r="Q106" s="218">
        <v>0</v>
      </c>
      <c r="R106" s="218">
        <v>0</v>
      </c>
      <c r="S106" s="218">
        <v>0</v>
      </c>
      <c r="T106" s="217">
        <v>0</v>
      </c>
      <c r="U106" s="218">
        <f t="shared" si="52"/>
        <v>0</v>
      </c>
      <c r="V106" s="218">
        <v>0</v>
      </c>
      <c r="W106" s="218">
        <v>0</v>
      </c>
      <c r="X106" s="218">
        <v>0</v>
      </c>
      <c r="Y106" s="217">
        <v>0</v>
      </c>
      <c r="Z106" s="218">
        <f t="shared" si="57"/>
        <v>0</v>
      </c>
      <c r="AA106" s="218">
        <v>0</v>
      </c>
      <c r="AB106" s="218">
        <v>0</v>
      </c>
      <c r="AC106" s="218">
        <v>0</v>
      </c>
      <c r="AD106" s="221"/>
    </row>
    <row r="107" spans="1:30" s="15" customFormat="1" ht="46.5" customHeight="1" outlineLevel="1" x14ac:dyDescent="0.2">
      <c r="A107" s="232" t="s">
        <v>1129</v>
      </c>
      <c r="B107" s="231" t="s">
        <v>367</v>
      </c>
      <c r="C107" s="342">
        <f t="shared" si="53"/>
        <v>4.71</v>
      </c>
      <c r="D107" s="232">
        <f t="shared" si="54"/>
        <v>323</v>
      </c>
      <c r="E107" s="195">
        <v>0</v>
      </c>
      <c r="F107" s="229">
        <f>G107+H107+I107</f>
        <v>0</v>
      </c>
      <c r="G107" s="229">
        <v>0</v>
      </c>
      <c r="H107" s="196">
        <v>0</v>
      </c>
      <c r="I107" s="229">
        <v>0</v>
      </c>
      <c r="J107" s="342">
        <v>4.71</v>
      </c>
      <c r="K107" s="218">
        <f>SUM(L107:N107)</f>
        <v>323</v>
      </c>
      <c r="L107" s="218">
        <v>0</v>
      </c>
      <c r="M107" s="218">
        <v>0</v>
      </c>
      <c r="N107" s="218">
        <v>323</v>
      </c>
      <c r="O107" s="217">
        <v>0</v>
      </c>
      <c r="P107" s="218">
        <f t="shared" si="56"/>
        <v>0</v>
      </c>
      <c r="Q107" s="218">
        <v>0</v>
      </c>
      <c r="R107" s="218">
        <v>0</v>
      </c>
      <c r="S107" s="218">
        <v>0</v>
      </c>
      <c r="T107" s="217">
        <v>0</v>
      </c>
      <c r="U107" s="218">
        <f t="shared" si="52"/>
        <v>0</v>
      </c>
      <c r="V107" s="218">
        <v>0</v>
      </c>
      <c r="W107" s="218">
        <v>0</v>
      </c>
      <c r="X107" s="218">
        <v>0</v>
      </c>
      <c r="Y107" s="217">
        <v>0</v>
      </c>
      <c r="Z107" s="218">
        <f t="shared" si="57"/>
        <v>0</v>
      </c>
      <c r="AA107" s="218">
        <v>0</v>
      </c>
      <c r="AB107" s="218">
        <v>0</v>
      </c>
      <c r="AC107" s="218">
        <v>0</v>
      </c>
      <c r="AD107" s="221"/>
    </row>
    <row r="108" spans="1:30" s="15" customFormat="1" ht="108.75" customHeight="1" outlineLevel="1" x14ac:dyDescent="0.2">
      <c r="A108" s="232" t="s">
        <v>1130</v>
      </c>
      <c r="B108" s="231" t="s">
        <v>563</v>
      </c>
      <c r="C108" s="342">
        <f t="shared" si="53"/>
        <v>0</v>
      </c>
      <c r="D108" s="232">
        <f t="shared" si="54"/>
        <v>5955</v>
      </c>
      <c r="E108" s="195">
        <v>0</v>
      </c>
      <c r="F108" s="229">
        <f t="shared" si="50"/>
        <v>595</v>
      </c>
      <c r="G108" s="229">
        <v>0</v>
      </c>
      <c r="H108" s="196">
        <v>0</v>
      </c>
      <c r="I108" s="196">
        <v>595</v>
      </c>
      <c r="J108" s="342">
        <v>0</v>
      </c>
      <c r="K108" s="218">
        <f t="shared" si="55"/>
        <v>1086</v>
      </c>
      <c r="L108" s="218">
        <v>0</v>
      </c>
      <c r="M108" s="218">
        <v>0</v>
      </c>
      <c r="N108" s="218">
        <f>2100+51+920-1151+23-857</f>
        <v>1086</v>
      </c>
      <c r="O108" s="217">
        <v>0</v>
      </c>
      <c r="P108" s="218">
        <f t="shared" si="56"/>
        <v>690</v>
      </c>
      <c r="Q108" s="218">
        <v>0</v>
      </c>
      <c r="R108" s="218">
        <v>0</v>
      </c>
      <c r="S108" s="218">
        <f>3000-1156+524+101+285-30-699-1335</f>
        <v>690</v>
      </c>
      <c r="T108" s="217">
        <v>0</v>
      </c>
      <c r="U108" s="218">
        <f>V108+W108+X108</f>
        <v>1522</v>
      </c>
      <c r="V108" s="218">
        <v>0</v>
      </c>
      <c r="W108" s="218">
        <v>0</v>
      </c>
      <c r="X108" s="218">
        <f>3000+494-1432-3-253-278+722-523-205</f>
        <v>1522</v>
      </c>
      <c r="Y108" s="217">
        <v>0</v>
      </c>
      <c r="Z108" s="218">
        <f t="shared" ref="Z108" si="58">AA108+AB108+AC108</f>
        <v>2062</v>
      </c>
      <c r="AA108" s="218">
        <v>0</v>
      </c>
      <c r="AB108" s="218">
        <v>0</v>
      </c>
      <c r="AC108" s="218">
        <f>4896-1402-1432</f>
        <v>2062</v>
      </c>
      <c r="AD108" s="221"/>
    </row>
    <row r="109" spans="1:30" s="15" customFormat="1" ht="37.5" customHeight="1" outlineLevel="1" x14ac:dyDescent="0.2">
      <c r="A109" s="232" t="s">
        <v>1131</v>
      </c>
      <c r="B109" s="231" t="s">
        <v>214</v>
      </c>
      <c r="C109" s="342">
        <f t="shared" si="53"/>
        <v>0</v>
      </c>
      <c r="D109" s="232">
        <f t="shared" si="54"/>
        <v>2748</v>
      </c>
      <c r="E109" s="195">
        <v>0</v>
      </c>
      <c r="F109" s="229">
        <f>G109+H109+I109</f>
        <v>2748</v>
      </c>
      <c r="G109" s="229">
        <v>0</v>
      </c>
      <c r="H109" s="196">
        <v>0</v>
      </c>
      <c r="I109" s="196">
        <v>2748</v>
      </c>
      <c r="J109" s="342">
        <v>0</v>
      </c>
      <c r="K109" s="218">
        <f t="shared" si="55"/>
        <v>0</v>
      </c>
      <c r="L109" s="218">
        <v>0</v>
      </c>
      <c r="M109" s="218">
        <v>0</v>
      </c>
      <c r="N109" s="218">
        <v>0</v>
      </c>
      <c r="O109" s="217">
        <v>0</v>
      </c>
      <c r="P109" s="218">
        <f t="shared" si="56"/>
        <v>0</v>
      </c>
      <c r="Q109" s="218">
        <v>0</v>
      </c>
      <c r="R109" s="218">
        <v>0</v>
      </c>
      <c r="S109" s="218">
        <v>0</v>
      </c>
      <c r="T109" s="217">
        <v>0</v>
      </c>
      <c r="U109" s="218">
        <f>V109+W109+X109</f>
        <v>0</v>
      </c>
      <c r="V109" s="218">
        <v>0</v>
      </c>
      <c r="W109" s="218">
        <v>0</v>
      </c>
      <c r="X109" s="218">
        <v>0</v>
      </c>
      <c r="Y109" s="217">
        <v>0</v>
      </c>
      <c r="Z109" s="218">
        <f>AA109+AB109+AC109</f>
        <v>0</v>
      </c>
      <c r="AA109" s="218">
        <v>0</v>
      </c>
      <c r="AB109" s="218">
        <v>0</v>
      </c>
      <c r="AC109" s="218">
        <v>0</v>
      </c>
      <c r="AD109" s="221"/>
    </row>
    <row r="110" spans="1:30" s="15" customFormat="1" ht="70.900000000000006" customHeight="1" outlineLevel="1" x14ac:dyDescent="0.2">
      <c r="A110" s="232" t="s">
        <v>1132</v>
      </c>
      <c r="B110" s="231" t="s">
        <v>215</v>
      </c>
      <c r="C110" s="342">
        <f t="shared" ref="C110:C170" si="59">E110+J110+O110+T110+Y110</f>
        <v>0</v>
      </c>
      <c r="D110" s="232">
        <f t="shared" si="54"/>
        <v>4757</v>
      </c>
      <c r="E110" s="195">
        <v>0</v>
      </c>
      <c r="F110" s="229">
        <f t="shared" ref="F110:F169" si="60">G110+H110+I110</f>
        <v>709</v>
      </c>
      <c r="G110" s="229">
        <v>0</v>
      </c>
      <c r="H110" s="196">
        <v>0</v>
      </c>
      <c r="I110" s="196">
        <v>709</v>
      </c>
      <c r="J110" s="342">
        <v>0</v>
      </c>
      <c r="K110" s="218">
        <f t="shared" si="55"/>
        <v>837</v>
      </c>
      <c r="L110" s="218">
        <v>0</v>
      </c>
      <c r="M110" s="218">
        <v>0</v>
      </c>
      <c r="N110" s="218">
        <v>837</v>
      </c>
      <c r="O110" s="217">
        <v>0</v>
      </c>
      <c r="P110" s="218">
        <f t="shared" si="56"/>
        <v>952</v>
      </c>
      <c r="Q110" s="218">
        <v>0</v>
      </c>
      <c r="R110" s="218">
        <v>0</v>
      </c>
      <c r="S110" s="218">
        <f>837+423-150-158</f>
        <v>952</v>
      </c>
      <c r="T110" s="217">
        <v>0</v>
      </c>
      <c r="U110" s="218">
        <f>V110+W110+X110</f>
        <v>999</v>
      </c>
      <c r="V110" s="218">
        <v>0</v>
      </c>
      <c r="W110" s="218">
        <v>0</v>
      </c>
      <c r="X110" s="218">
        <f>837+423-261</f>
        <v>999</v>
      </c>
      <c r="Y110" s="217">
        <v>0</v>
      </c>
      <c r="Z110" s="218">
        <f>AA110+AB110+AC110</f>
        <v>1260</v>
      </c>
      <c r="AA110" s="218">
        <v>0</v>
      </c>
      <c r="AB110" s="218">
        <v>0</v>
      </c>
      <c r="AC110" s="218">
        <f>837+423</f>
        <v>1260</v>
      </c>
      <c r="AD110" s="221"/>
    </row>
    <row r="111" spans="1:30" s="15" customFormat="1" ht="46.9" customHeight="1" outlineLevel="1" x14ac:dyDescent="0.2">
      <c r="A111" s="232" t="s">
        <v>1133</v>
      </c>
      <c r="B111" s="231" t="s">
        <v>240</v>
      </c>
      <c r="C111" s="342">
        <f t="shared" si="59"/>
        <v>0</v>
      </c>
      <c r="D111" s="232">
        <f t="shared" si="54"/>
        <v>202</v>
      </c>
      <c r="E111" s="195">
        <v>0</v>
      </c>
      <c r="F111" s="229">
        <f t="shared" si="60"/>
        <v>202</v>
      </c>
      <c r="G111" s="229">
        <v>0</v>
      </c>
      <c r="H111" s="196">
        <v>192</v>
      </c>
      <c r="I111" s="196">
        <v>10</v>
      </c>
      <c r="J111" s="342">
        <v>0</v>
      </c>
      <c r="K111" s="218">
        <v>0</v>
      </c>
      <c r="L111" s="218">
        <v>0</v>
      </c>
      <c r="M111" s="218">
        <v>0</v>
      </c>
      <c r="N111" s="218">
        <v>0</v>
      </c>
      <c r="O111" s="217">
        <v>0</v>
      </c>
      <c r="P111" s="218">
        <f>S111</f>
        <v>0</v>
      </c>
      <c r="Q111" s="218">
        <v>0</v>
      </c>
      <c r="R111" s="218">
        <v>0</v>
      </c>
      <c r="S111" s="218">
        <v>0</v>
      </c>
      <c r="T111" s="217">
        <v>0</v>
      </c>
      <c r="U111" s="218">
        <v>0</v>
      </c>
      <c r="V111" s="218">
        <v>0</v>
      </c>
      <c r="W111" s="218">
        <v>0</v>
      </c>
      <c r="X111" s="218">
        <v>0</v>
      </c>
      <c r="Y111" s="217">
        <v>0</v>
      </c>
      <c r="Z111" s="218">
        <v>0</v>
      </c>
      <c r="AA111" s="218">
        <v>0</v>
      </c>
      <c r="AB111" s="218">
        <v>0</v>
      </c>
      <c r="AC111" s="218">
        <v>0</v>
      </c>
      <c r="AD111" s="221"/>
    </row>
    <row r="112" spans="1:30" s="15" customFormat="1" ht="66.599999999999994" customHeight="1" outlineLevel="1" x14ac:dyDescent="0.2">
      <c r="A112" s="232" t="s">
        <v>1134</v>
      </c>
      <c r="B112" s="231" t="s">
        <v>241</v>
      </c>
      <c r="C112" s="342">
        <f t="shared" si="59"/>
        <v>0</v>
      </c>
      <c r="D112" s="232">
        <f t="shared" si="54"/>
        <v>106</v>
      </c>
      <c r="E112" s="195">
        <v>0</v>
      </c>
      <c r="F112" s="229">
        <f t="shared" si="60"/>
        <v>106</v>
      </c>
      <c r="G112" s="229">
        <v>0</v>
      </c>
      <c r="H112" s="196">
        <v>101</v>
      </c>
      <c r="I112" s="196">
        <v>5</v>
      </c>
      <c r="J112" s="342">
        <v>0</v>
      </c>
      <c r="K112" s="218">
        <v>0</v>
      </c>
      <c r="L112" s="218">
        <v>0</v>
      </c>
      <c r="M112" s="218">
        <v>0</v>
      </c>
      <c r="N112" s="218">
        <v>0</v>
      </c>
      <c r="O112" s="217">
        <v>0</v>
      </c>
      <c r="P112" s="218">
        <f t="shared" ref="P112:P173" si="61">S112</f>
        <v>0</v>
      </c>
      <c r="Q112" s="218">
        <v>0</v>
      </c>
      <c r="R112" s="218">
        <v>0</v>
      </c>
      <c r="S112" s="218">
        <v>0</v>
      </c>
      <c r="T112" s="217">
        <v>0</v>
      </c>
      <c r="U112" s="218">
        <v>0</v>
      </c>
      <c r="V112" s="218">
        <v>0</v>
      </c>
      <c r="W112" s="218">
        <v>0</v>
      </c>
      <c r="X112" s="218">
        <v>0</v>
      </c>
      <c r="Y112" s="217">
        <v>0</v>
      </c>
      <c r="Z112" s="218">
        <v>0</v>
      </c>
      <c r="AA112" s="218">
        <v>0</v>
      </c>
      <c r="AB112" s="218">
        <v>0</v>
      </c>
      <c r="AC112" s="218">
        <v>0</v>
      </c>
      <c r="AD112" s="221"/>
    </row>
    <row r="113" spans="1:30" s="15" customFormat="1" ht="73.900000000000006" customHeight="1" outlineLevel="1" x14ac:dyDescent="0.2">
      <c r="A113" s="232" t="s">
        <v>1135</v>
      </c>
      <c r="B113" s="231" t="s">
        <v>242</v>
      </c>
      <c r="C113" s="342">
        <f t="shared" si="59"/>
        <v>0</v>
      </c>
      <c r="D113" s="232">
        <f t="shared" si="54"/>
        <v>1288</v>
      </c>
      <c r="E113" s="195">
        <v>0</v>
      </c>
      <c r="F113" s="229">
        <f t="shared" si="60"/>
        <v>1288</v>
      </c>
      <c r="G113" s="229">
        <v>0</v>
      </c>
      <c r="H113" s="196">
        <v>1226</v>
      </c>
      <c r="I113" s="196">
        <v>62</v>
      </c>
      <c r="J113" s="342">
        <v>0</v>
      </c>
      <c r="K113" s="218">
        <v>0</v>
      </c>
      <c r="L113" s="218">
        <v>0</v>
      </c>
      <c r="M113" s="218">
        <v>0</v>
      </c>
      <c r="N113" s="218">
        <v>0</v>
      </c>
      <c r="O113" s="217">
        <v>0</v>
      </c>
      <c r="P113" s="218">
        <f t="shared" si="61"/>
        <v>0</v>
      </c>
      <c r="Q113" s="218">
        <v>0</v>
      </c>
      <c r="R113" s="218">
        <v>0</v>
      </c>
      <c r="S113" s="218">
        <v>0</v>
      </c>
      <c r="T113" s="217">
        <v>0</v>
      </c>
      <c r="U113" s="218">
        <v>0</v>
      </c>
      <c r="V113" s="218">
        <v>0</v>
      </c>
      <c r="W113" s="218">
        <v>0</v>
      </c>
      <c r="X113" s="218">
        <v>0</v>
      </c>
      <c r="Y113" s="217">
        <v>0</v>
      </c>
      <c r="Z113" s="218">
        <v>0</v>
      </c>
      <c r="AA113" s="218">
        <v>0</v>
      </c>
      <c r="AB113" s="218">
        <v>0</v>
      </c>
      <c r="AC113" s="218">
        <v>0</v>
      </c>
      <c r="AD113" s="221"/>
    </row>
    <row r="114" spans="1:30" s="15" customFormat="1" ht="124.5" customHeight="1" outlineLevel="1" x14ac:dyDescent="0.2">
      <c r="A114" s="232" t="s">
        <v>1136</v>
      </c>
      <c r="B114" s="231" t="s">
        <v>1351</v>
      </c>
      <c r="C114" s="342">
        <f t="shared" si="59"/>
        <v>0</v>
      </c>
      <c r="D114" s="232">
        <f t="shared" si="54"/>
        <v>628</v>
      </c>
      <c r="E114" s="195">
        <v>0</v>
      </c>
      <c r="F114" s="229">
        <f t="shared" si="60"/>
        <v>628</v>
      </c>
      <c r="G114" s="229">
        <v>0</v>
      </c>
      <c r="H114" s="196">
        <v>598</v>
      </c>
      <c r="I114" s="196">
        <v>30</v>
      </c>
      <c r="J114" s="342">
        <v>0</v>
      </c>
      <c r="K114" s="218">
        <v>0</v>
      </c>
      <c r="L114" s="218">
        <v>0</v>
      </c>
      <c r="M114" s="218">
        <v>0</v>
      </c>
      <c r="N114" s="218">
        <v>0</v>
      </c>
      <c r="O114" s="217">
        <v>0</v>
      </c>
      <c r="P114" s="218">
        <f t="shared" si="61"/>
        <v>0</v>
      </c>
      <c r="Q114" s="218">
        <v>0</v>
      </c>
      <c r="R114" s="218">
        <v>0</v>
      </c>
      <c r="S114" s="218">
        <v>0</v>
      </c>
      <c r="T114" s="217">
        <v>0</v>
      </c>
      <c r="U114" s="218">
        <v>0</v>
      </c>
      <c r="V114" s="218">
        <v>0</v>
      </c>
      <c r="W114" s="218">
        <v>0</v>
      </c>
      <c r="X114" s="218">
        <v>0</v>
      </c>
      <c r="Y114" s="217">
        <v>0</v>
      </c>
      <c r="Z114" s="218">
        <v>0</v>
      </c>
      <c r="AA114" s="218">
        <v>0</v>
      </c>
      <c r="AB114" s="218">
        <v>0</v>
      </c>
      <c r="AC114" s="218">
        <v>0</v>
      </c>
      <c r="AD114" s="221"/>
    </row>
    <row r="115" spans="1:30" s="15" customFormat="1" ht="75" customHeight="1" outlineLevel="1" x14ac:dyDescent="0.2">
      <c r="A115" s="232" t="s">
        <v>1137</v>
      </c>
      <c r="B115" s="231" t="s">
        <v>243</v>
      </c>
      <c r="C115" s="342">
        <f t="shared" si="59"/>
        <v>0</v>
      </c>
      <c r="D115" s="232">
        <f t="shared" si="54"/>
        <v>243</v>
      </c>
      <c r="E115" s="195">
        <v>0</v>
      </c>
      <c r="F115" s="229">
        <f t="shared" si="60"/>
        <v>243</v>
      </c>
      <c r="G115" s="229">
        <v>0</v>
      </c>
      <c r="H115" s="196">
        <v>231</v>
      </c>
      <c r="I115" s="196">
        <v>12</v>
      </c>
      <c r="J115" s="342">
        <v>0</v>
      </c>
      <c r="K115" s="218">
        <v>0</v>
      </c>
      <c r="L115" s="218">
        <v>0</v>
      </c>
      <c r="M115" s="218">
        <v>0</v>
      </c>
      <c r="N115" s="218">
        <v>0</v>
      </c>
      <c r="O115" s="217">
        <v>0</v>
      </c>
      <c r="P115" s="218">
        <f t="shared" si="61"/>
        <v>0</v>
      </c>
      <c r="Q115" s="218">
        <v>0</v>
      </c>
      <c r="R115" s="218">
        <v>0</v>
      </c>
      <c r="S115" s="218">
        <v>0</v>
      </c>
      <c r="T115" s="217">
        <v>0</v>
      </c>
      <c r="U115" s="218">
        <v>0</v>
      </c>
      <c r="V115" s="218">
        <v>0</v>
      </c>
      <c r="W115" s="218">
        <v>0</v>
      </c>
      <c r="X115" s="218">
        <v>0</v>
      </c>
      <c r="Y115" s="217">
        <v>0</v>
      </c>
      <c r="Z115" s="218">
        <v>0</v>
      </c>
      <c r="AA115" s="218">
        <v>0</v>
      </c>
      <c r="AB115" s="218">
        <v>0</v>
      </c>
      <c r="AC115" s="218">
        <v>0</v>
      </c>
      <c r="AD115" s="221"/>
    </row>
    <row r="116" spans="1:30" s="15" customFormat="1" ht="76.5" customHeight="1" outlineLevel="1" x14ac:dyDescent="0.2">
      <c r="A116" s="232" t="s">
        <v>1138</v>
      </c>
      <c r="B116" s="231" t="s">
        <v>659</v>
      </c>
      <c r="C116" s="342">
        <f t="shared" si="59"/>
        <v>0</v>
      </c>
      <c r="D116" s="232">
        <f t="shared" si="54"/>
        <v>428</v>
      </c>
      <c r="E116" s="195">
        <v>0</v>
      </c>
      <c r="F116" s="229">
        <f t="shared" si="60"/>
        <v>428</v>
      </c>
      <c r="G116" s="229">
        <v>0</v>
      </c>
      <c r="H116" s="196">
        <v>407</v>
      </c>
      <c r="I116" s="196">
        <v>21</v>
      </c>
      <c r="J116" s="342">
        <v>0</v>
      </c>
      <c r="K116" s="218">
        <v>0</v>
      </c>
      <c r="L116" s="218">
        <v>0</v>
      </c>
      <c r="M116" s="218">
        <v>0</v>
      </c>
      <c r="N116" s="218">
        <v>0</v>
      </c>
      <c r="O116" s="217">
        <v>0</v>
      </c>
      <c r="P116" s="218">
        <f t="shared" si="61"/>
        <v>0</v>
      </c>
      <c r="Q116" s="218">
        <v>0</v>
      </c>
      <c r="R116" s="218">
        <v>0</v>
      </c>
      <c r="S116" s="218">
        <v>0</v>
      </c>
      <c r="T116" s="217">
        <v>0</v>
      </c>
      <c r="U116" s="218">
        <v>0</v>
      </c>
      <c r="V116" s="218">
        <v>0</v>
      </c>
      <c r="W116" s="218">
        <v>0</v>
      </c>
      <c r="X116" s="218">
        <v>0</v>
      </c>
      <c r="Y116" s="217">
        <v>0</v>
      </c>
      <c r="Z116" s="218">
        <v>0</v>
      </c>
      <c r="AA116" s="218">
        <v>0</v>
      </c>
      <c r="AB116" s="218">
        <v>0</v>
      </c>
      <c r="AC116" s="218">
        <v>0</v>
      </c>
      <c r="AD116" s="221"/>
    </row>
    <row r="117" spans="1:30" s="15" customFormat="1" ht="59.45" customHeight="1" outlineLevel="1" x14ac:dyDescent="0.2">
      <c r="A117" s="232" t="s">
        <v>1139</v>
      </c>
      <c r="B117" s="231" t="s">
        <v>244</v>
      </c>
      <c r="C117" s="342">
        <f t="shared" si="59"/>
        <v>0</v>
      </c>
      <c r="D117" s="232">
        <f t="shared" si="54"/>
        <v>20</v>
      </c>
      <c r="E117" s="195">
        <v>0</v>
      </c>
      <c r="F117" s="229">
        <f t="shared" si="60"/>
        <v>20</v>
      </c>
      <c r="G117" s="229">
        <v>0</v>
      </c>
      <c r="H117" s="196">
        <v>19</v>
      </c>
      <c r="I117" s="196">
        <v>1</v>
      </c>
      <c r="J117" s="342">
        <v>0</v>
      </c>
      <c r="K117" s="218">
        <v>0</v>
      </c>
      <c r="L117" s="218">
        <v>0</v>
      </c>
      <c r="M117" s="218">
        <v>0</v>
      </c>
      <c r="N117" s="218">
        <v>0</v>
      </c>
      <c r="O117" s="217">
        <v>0</v>
      </c>
      <c r="P117" s="218">
        <f t="shared" si="61"/>
        <v>0</v>
      </c>
      <c r="Q117" s="218">
        <v>0</v>
      </c>
      <c r="R117" s="218">
        <v>0</v>
      </c>
      <c r="S117" s="218">
        <v>0</v>
      </c>
      <c r="T117" s="217">
        <v>0</v>
      </c>
      <c r="U117" s="218">
        <v>0</v>
      </c>
      <c r="V117" s="218">
        <v>0</v>
      </c>
      <c r="W117" s="218">
        <v>0</v>
      </c>
      <c r="X117" s="218">
        <v>0</v>
      </c>
      <c r="Y117" s="217">
        <v>0</v>
      </c>
      <c r="Z117" s="218">
        <v>0</v>
      </c>
      <c r="AA117" s="218">
        <v>0</v>
      </c>
      <c r="AB117" s="218">
        <v>0</v>
      </c>
      <c r="AC117" s="218">
        <v>0</v>
      </c>
      <c r="AD117" s="221"/>
    </row>
    <row r="118" spans="1:30" s="15" customFormat="1" ht="100.9" customHeight="1" outlineLevel="1" x14ac:dyDescent="0.2">
      <c r="A118" s="232" t="s">
        <v>1140</v>
      </c>
      <c r="B118" s="231" t="s">
        <v>245</v>
      </c>
      <c r="C118" s="342">
        <f t="shared" si="59"/>
        <v>0</v>
      </c>
      <c r="D118" s="232">
        <f t="shared" si="54"/>
        <v>57</v>
      </c>
      <c r="E118" s="195">
        <v>0</v>
      </c>
      <c r="F118" s="229">
        <f t="shared" si="60"/>
        <v>57</v>
      </c>
      <c r="G118" s="229">
        <v>0</v>
      </c>
      <c r="H118" s="196">
        <v>54</v>
      </c>
      <c r="I118" s="196">
        <v>3</v>
      </c>
      <c r="J118" s="342">
        <v>0</v>
      </c>
      <c r="K118" s="218">
        <v>0</v>
      </c>
      <c r="L118" s="218">
        <v>0</v>
      </c>
      <c r="M118" s="218">
        <v>0</v>
      </c>
      <c r="N118" s="218">
        <v>0</v>
      </c>
      <c r="O118" s="217">
        <v>0</v>
      </c>
      <c r="P118" s="218">
        <f t="shared" si="61"/>
        <v>0</v>
      </c>
      <c r="Q118" s="218">
        <v>0</v>
      </c>
      <c r="R118" s="218">
        <v>0</v>
      </c>
      <c r="S118" s="218">
        <v>0</v>
      </c>
      <c r="T118" s="217">
        <v>0</v>
      </c>
      <c r="U118" s="218">
        <v>0</v>
      </c>
      <c r="V118" s="218">
        <v>0</v>
      </c>
      <c r="W118" s="218">
        <v>0</v>
      </c>
      <c r="X118" s="218">
        <v>0</v>
      </c>
      <c r="Y118" s="217">
        <v>0</v>
      </c>
      <c r="Z118" s="218">
        <v>0</v>
      </c>
      <c r="AA118" s="218">
        <v>0</v>
      </c>
      <c r="AB118" s="218">
        <v>0</v>
      </c>
      <c r="AC118" s="218">
        <v>0</v>
      </c>
      <c r="AD118" s="221"/>
    </row>
    <row r="119" spans="1:30" s="15" customFormat="1" ht="51" customHeight="1" outlineLevel="1" x14ac:dyDescent="0.2">
      <c r="A119" s="232" t="s">
        <v>1141</v>
      </c>
      <c r="B119" s="231" t="s">
        <v>246</v>
      </c>
      <c r="C119" s="342">
        <f t="shared" si="59"/>
        <v>0</v>
      </c>
      <c r="D119" s="232">
        <f t="shared" si="54"/>
        <v>33</v>
      </c>
      <c r="E119" s="195">
        <v>0</v>
      </c>
      <c r="F119" s="229">
        <f t="shared" si="60"/>
        <v>33</v>
      </c>
      <c r="G119" s="229">
        <v>0</v>
      </c>
      <c r="H119" s="196">
        <v>31</v>
      </c>
      <c r="I119" s="196">
        <v>2</v>
      </c>
      <c r="J119" s="342">
        <v>0</v>
      </c>
      <c r="K119" s="218">
        <v>0</v>
      </c>
      <c r="L119" s="218">
        <v>0</v>
      </c>
      <c r="M119" s="218">
        <v>0</v>
      </c>
      <c r="N119" s="218">
        <v>0</v>
      </c>
      <c r="O119" s="217">
        <v>0</v>
      </c>
      <c r="P119" s="218">
        <f t="shared" si="61"/>
        <v>0</v>
      </c>
      <c r="Q119" s="218">
        <v>0</v>
      </c>
      <c r="R119" s="218">
        <v>0</v>
      </c>
      <c r="S119" s="218">
        <v>0</v>
      </c>
      <c r="T119" s="217">
        <v>0</v>
      </c>
      <c r="U119" s="218">
        <v>0</v>
      </c>
      <c r="V119" s="218">
        <v>0</v>
      </c>
      <c r="W119" s="218">
        <v>0</v>
      </c>
      <c r="X119" s="218">
        <v>0</v>
      </c>
      <c r="Y119" s="217">
        <v>0</v>
      </c>
      <c r="Z119" s="218">
        <v>0</v>
      </c>
      <c r="AA119" s="218">
        <v>0</v>
      </c>
      <c r="AB119" s="218">
        <v>0</v>
      </c>
      <c r="AC119" s="218">
        <v>0</v>
      </c>
      <c r="AD119" s="221"/>
    </row>
    <row r="120" spans="1:30" s="15" customFormat="1" ht="78" customHeight="1" outlineLevel="1" x14ac:dyDescent="0.2">
      <c r="A120" s="232" t="s">
        <v>1142</v>
      </c>
      <c r="B120" s="231" t="s">
        <v>247</v>
      </c>
      <c r="C120" s="342">
        <f t="shared" si="59"/>
        <v>0</v>
      </c>
      <c r="D120" s="232">
        <f t="shared" si="54"/>
        <v>630</v>
      </c>
      <c r="E120" s="195">
        <v>0</v>
      </c>
      <c r="F120" s="229">
        <f t="shared" si="60"/>
        <v>630</v>
      </c>
      <c r="G120" s="229">
        <v>0</v>
      </c>
      <c r="H120" s="196">
        <v>600</v>
      </c>
      <c r="I120" s="196">
        <v>30</v>
      </c>
      <c r="J120" s="342">
        <v>0</v>
      </c>
      <c r="K120" s="218">
        <v>0</v>
      </c>
      <c r="L120" s="218">
        <v>0</v>
      </c>
      <c r="M120" s="218">
        <v>0</v>
      </c>
      <c r="N120" s="218">
        <v>0</v>
      </c>
      <c r="O120" s="217">
        <v>0</v>
      </c>
      <c r="P120" s="218">
        <f t="shared" si="61"/>
        <v>0</v>
      </c>
      <c r="Q120" s="218">
        <v>0</v>
      </c>
      <c r="R120" s="218">
        <v>0</v>
      </c>
      <c r="S120" s="218">
        <v>0</v>
      </c>
      <c r="T120" s="217">
        <v>0</v>
      </c>
      <c r="U120" s="218">
        <v>0</v>
      </c>
      <c r="V120" s="218">
        <v>0</v>
      </c>
      <c r="W120" s="218">
        <v>0</v>
      </c>
      <c r="X120" s="218">
        <v>0</v>
      </c>
      <c r="Y120" s="217">
        <v>0</v>
      </c>
      <c r="Z120" s="218">
        <v>0</v>
      </c>
      <c r="AA120" s="218">
        <v>0</v>
      </c>
      <c r="AB120" s="218">
        <v>0</v>
      </c>
      <c r="AC120" s="218">
        <v>0</v>
      </c>
      <c r="AD120" s="221"/>
    </row>
    <row r="121" spans="1:30" s="15" customFormat="1" ht="46.9" customHeight="1" outlineLevel="1" x14ac:dyDescent="0.2">
      <c r="A121" s="232" t="s">
        <v>1143</v>
      </c>
      <c r="B121" s="231" t="s">
        <v>248</v>
      </c>
      <c r="C121" s="342">
        <f t="shared" si="59"/>
        <v>0</v>
      </c>
      <c r="D121" s="232">
        <f t="shared" si="54"/>
        <v>139</v>
      </c>
      <c r="E121" s="195">
        <v>0</v>
      </c>
      <c r="F121" s="229">
        <f t="shared" si="60"/>
        <v>139</v>
      </c>
      <c r="G121" s="229">
        <v>0</v>
      </c>
      <c r="H121" s="196">
        <v>132</v>
      </c>
      <c r="I121" s="196">
        <v>7</v>
      </c>
      <c r="J121" s="342">
        <v>0</v>
      </c>
      <c r="K121" s="218">
        <v>0</v>
      </c>
      <c r="L121" s="218">
        <v>0</v>
      </c>
      <c r="M121" s="218">
        <v>0</v>
      </c>
      <c r="N121" s="218">
        <v>0</v>
      </c>
      <c r="O121" s="217">
        <v>0</v>
      </c>
      <c r="P121" s="218">
        <f t="shared" si="61"/>
        <v>0</v>
      </c>
      <c r="Q121" s="218">
        <v>0</v>
      </c>
      <c r="R121" s="218">
        <v>0</v>
      </c>
      <c r="S121" s="218">
        <v>0</v>
      </c>
      <c r="T121" s="217">
        <v>0</v>
      </c>
      <c r="U121" s="218">
        <v>0</v>
      </c>
      <c r="V121" s="218">
        <v>0</v>
      </c>
      <c r="W121" s="218">
        <v>0</v>
      </c>
      <c r="X121" s="218">
        <v>0</v>
      </c>
      <c r="Y121" s="217">
        <v>0</v>
      </c>
      <c r="Z121" s="218">
        <v>0</v>
      </c>
      <c r="AA121" s="218">
        <v>0</v>
      </c>
      <c r="AB121" s="218">
        <v>0</v>
      </c>
      <c r="AC121" s="218">
        <v>0</v>
      </c>
      <c r="AD121" s="221"/>
    </row>
    <row r="122" spans="1:30" s="15" customFormat="1" ht="58.9" customHeight="1" outlineLevel="1" x14ac:dyDescent="0.2">
      <c r="A122" s="232" t="s">
        <v>1144</v>
      </c>
      <c r="B122" s="231" t="s">
        <v>249</v>
      </c>
      <c r="C122" s="342">
        <f t="shared" si="59"/>
        <v>0</v>
      </c>
      <c r="D122" s="232">
        <f t="shared" si="54"/>
        <v>188</v>
      </c>
      <c r="E122" s="195">
        <v>0</v>
      </c>
      <c r="F122" s="229">
        <f t="shared" si="60"/>
        <v>188</v>
      </c>
      <c r="G122" s="229">
        <v>0</v>
      </c>
      <c r="H122" s="196">
        <v>179</v>
      </c>
      <c r="I122" s="196">
        <v>9</v>
      </c>
      <c r="J122" s="342">
        <v>0</v>
      </c>
      <c r="K122" s="218">
        <v>0</v>
      </c>
      <c r="L122" s="218">
        <v>0</v>
      </c>
      <c r="M122" s="218">
        <v>0</v>
      </c>
      <c r="N122" s="218">
        <v>0</v>
      </c>
      <c r="O122" s="217">
        <v>0</v>
      </c>
      <c r="P122" s="218">
        <f t="shared" si="61"/>
        <v>0</v>
      </c>
      <c r="Q122" s="218">
        <v>0</v>
      </c>
      <c r="R122" s="218">
        <v>0</v>
      </c>
      <c r="S122" s="218">
        <v>0</v>
      </c>
      <c r="T122" s="217">
        <v>0</v>
      </c>
      <c r="U122" s="218">
        <v>0</v>
      </c>
      <c r="V122" s="218">
        <v>0</v>
      </c>
      <c r="W122" s="218">
        <v>0</v>
      </c>
      <c r="X122" s="218">
        <v>0</v>
      </c>
      <c r="Y122" s="217">
        <v>0</v>
      </c>
      <c r="Z122" s="218">
        <v>0</v>
      </c>
      <c r="AA122" s="218">
        <v>0</v>
      </c>
      <c r="AB122" s="218">
        <v>0</v>
      </c>
      <c r="AC122" s="218">
        <v>0</v>
      </c>
      <c r="AD122" s="221"/>
    </row>
    <row r="123" spans="1:30" s="15" customFormat="1" ht="63.6" customHeight="1" outlineLevel="1" x14ac:dyDescent="0.2">
      <c r="A123" s="232" t="s">
        <v>1145</v>
      </c>
      <c r="B123" s="231" t="s">
        <v>250</v>
      </c>
      <c r="C123" s="342">
        <f t="shared" si="59"/>
        <v>0</v>
      </c>
      <c r="D123" s="232">
        <f t="shared" si="54"/>
        <v>415</v>
      </c>
      <c r="E123" s="195">
        <v>0</v>
      </c>
      <c r="F123" s="229">
        <f t="shared" si="60"/>
        <v>415</v>
      </c>
      <c r="G123" s="229">
        <v>0</v>
      </c>
      <c r="H123" s="196">
        <v>395</v>
      </c>
      <c r="I123" s="196">
        <v>20</v>
      </c>
      <c r="J123" s="342">
        <v>0</v>
      </c>
      <c r="K123" s="218">
        <v>0</v>
      </c>
      <c r="L123" s="218">
        <v>0</v>
      </c>
      <c r="M123" s="218">
        <v>0</v>
      </c>
      <c r="N123" s="218">
        <v>0</v>
      </c>
      <c r="O123" s="217">
        <v>0</v>
      </c>
      <c r="P123" s="218">
        <f t="shared" si="61"/>
        <v>0</v>
      </c>
      <c r="Q123" s="218">
        <v>0</v>
      </c>
      <c r="R123" s="218">
        <v>0</v>
      </c>
      <c r="S123" s="218">
        <v>0</v>
      </c>
      <c r="T123" s="217">
        <v>0</v>
      </c>
      <c r="U123" s="218">
        <v>0</v>
      </c>
      <c r="V123" s="218">
        <v>0</v>
      </c>
      <c r="W123" s="218">
        <v>0</v>
      </c>
      <c r="X123" s="218">
        <v>0</v>
      </c>
      <c r="Y123" s="217">
        <v>0</v>
      </c>
      <c r="Z123" s="218">
        <v>0</v>
      </c>
      <c r="AA123" s="218">
        <v>0</v>
      </c>
      <c r="AB123" s="218">
        <v>0</v>
      </c>
      <c r="AC123" s="218">
        <v>0</v>
      </c>
      <c r="AD123" s="221"/>
    </row>
    <row r="124" spans="1:30" s="15" customFormat="1" ht="75" customHeight="1" outlineLevel="1" x14ac:dyDescent="0.2">
      <c r="A124" s="232" t="s">
        <v>1146</v>
      </c>
      <c r="B124" s="231" t="s">
        <v>251</v>
      </c>
      <c r="C124" s="342">
        <f t="shared" si="59"/>
        <v>0</v>
      </c>
      <c r="D124" s="232">
        <f t="shared" si="54"/>
        <v>125</v>
      </c>
      <c r="E124" s="195">
        <v>0</v>
      </c>
      <c r="F124" s="229">
        <f t="shared" si="60"/>
        <v>125</v>
      </c>
      <c r="G124" s="229">
        <v>0</v>
      </c>
      <c r="H124" s="196">
        <v>119</v>
      </c>
      <c r="I124" s="196">
        <v>6</v>
      </c>
      <c r="J124" s="342">
        <v>0</v>
      </c>
      <c r="K124" s="218">
        <v>0</v>
      </c>
      <c r="L124" s="218">
        <v>0</v>
      </c>
      <c r="M124" s="218">
        <v>0</v>
      </c>
      <c r="N124" s="218">
        <v>0</v>
      </c>
      <c r="O124" s="217">
        <v>0</v>
      </c>
      <c r="P124" s="218">
        <f t="shared" si="61"/>
        <v>0</v>
      </c>
      <c r="Q124" s="218">
        <v>0</v>
      </c>
      <c r="R124" s="218">
        <v>0</v>
      </c>
      <c r="S124" s="218">
        <v>0</v>
      </c>
      <c r="T124" s="217">
        <v>0</v>
      </c>
      <c r="U124" s="218">
        <v>0</v>
      </c>
      <c r="V124" s="218">
        <v>0</v>
      </c>
      <c r="W124" s="218">
        <v>0</v>
      </c>
      <c r="X124" s="218">
        <v>0</v>
      </c>
      <c r="Y124" s="217">
        <v>0</v>
      </c>
      <c r="Z124" s="218">
        <v>0</v>
      </c>
      <c r="AA124" s="218">
        <v>0</v>
      </c>
      <c r="AB124" s="218">
        <v>0</v>
      </c>
      <c r="AC124" s="218">
        <v>0</v>
      </c>
      <c r="AD124" s="221"/>
    </row>
    <row r="125" spans="1:30" s="15" customFormat="1" ht="78.75" customHeight="1" outlineLevel="1" x14ac:dyDescent="0.2">
      <c r="A125" s="232" t="s">
        <v>1147</v>
      </c>
      <c r="B125" s="231" t="s">
        <v>252</v>
      </c>
      <c r="C125" s="342">
        <f t="shared" si="59"/>
        <v>0</v>
      </c>
      <c r="D125" s="232">
        <f t="shared" si="54"/>
        <v>230</v>
      </c>
      <c r="E125" s="195">
        <v>0</v>
      </c>
      <c r="F125" s="229">
        <f t="shared" si="60"/>
        <v>230</v>
      </c>
      <c r="G125" s="229">
        <v>0</v>
      </c>
      <c r="H125" s="196">
        <v>219</v>
      </c>
      <c r="I125" s="196">
        <v>11</v>
      </c>
      <c r="J125" s="342">
        <v>0</v>
      </c>
      <c r="K125" s="218">
        <v>0</v>
      </c>
      <c r="L125" s="218">
        <v>0</v>
      </c>
      <c r="M125" s="218">
        <v>0</v>
      </c>
      <c r="N125" s="218">
        <v>0</v>
      </c>
      <c r="O125" s="217">
        <v>0</v>
      </c>
      <c r="P125" s="218">
        <f t="shared" si="61"/>
        <v>0</v>
      </c>
      <c r="Q125" s="218">
        <v>0</v>
      </c>
      <c r="R125" s="218">
        <v>0</v>
      </c>
      <c r="S125" s="218">
        <v>0</v>
      </c>
      <c r="T125" s="217">
        <v>0</v>
      </c>
      <c r="U125" s="218">
        <v>0</v>
      </c>
      <c r="V125" s="218">
        <v>0</v>
      </c>
      <c r="W125" s="218">
        <v>0</v>
      </c>
      <c r="X125" s="218">
        <v>0</v>
      </c>
      <c r="Y125" s="217">
        <v>0</v>
      </c>
      <c r="Z125" s="218">
        <v>0</v>
      </c>
      <c r="AA125" s="218">
        <v>0</v>
      </c>
      <c r="AB125" s="218">
        <v>0</v>
      </c>
      <c r="AC125" s="218">
        <v>0</v>
      </c>
      <c r="AD125" s="221"/>
    </row>
    <row r="126" spans="1:30" s="15" customFormat="1" ht="73.900000000000006" customHeight="1" outlineLevel="1" x14ac:dyDescent="0.2">
      <c r="A126" s="232" t="s">
        <v>1148</v>
      </c>
      <c r="B126" s="231" t="s">
        <v>253</v>
      </c>
      <c r="C126" s="342">
        <f t="shared" si="59"/>
        <v>0</v>
      </c>
      <c r="D126" s="232">
        <f t="shared" si="54"/>
        <v>532</v>
      </c>
      <c r="E126" s="195">
        <v>0</v>
      </c>
      <c r="F126" s="229">
        <f t="shared" si="60"/>
        <v>532</v>
      </c>
      <c r="G126" s="229">
        <v>0</v>
      </c>
      <c r="H126" s="196">
        <v>507</v>
      </c>
      <c r="I126" s="196">
        <v>25</v>
      </c>
      <c r="J126" s="342">
        <v>0</v>
      </c>
      <c r="K126" s="218">
        <v>0</v>
      </c>
      <c r="L126" s="218">
        <v>0</v>
      </c>
      <c r="M126" s="218">
        <v>0</v>
      </c>
      <c r="N126" s="218">
        <v>0</v>
      </c>
      <c r="O126" s="217">
        <v>0</v>
      </c>
      <c r="P126" s="218">
        <f t="shared" si="61"/>
        <v>0</v>
      </c>
      <c r="Q126" s="218">
        <v>0</v>
      </c>
      <c r="R126" s="218">
        <v>0</v>
      </c>
      <c r="S126" s="218">
        <v>0</v>
      </c>
      <c r="T126" s="217">
        <v>0</v>
      </c>
      <c r="U126" s="218">
        <v>0</v>
      </c>
      <c r="V126" s="218">
        <v>0</v>
      </c>
      <c r="W126" s="218">
        <v>0</v>
      </c>
      <c r="X126" s="218">
        <v>0</v>
      </c>
      <c r="Y126" s="217">
        <v>0</v>
      </c>
      <c r="Z126" s="218">
        <v>0</v>
      </c>
      <c r="AA126" s="218">
        <v>0</v>
      </c>
      <c r="AB126" s="218">
        <v>0</v>
      </c>
      <c r="AC126" s="218">
        <v>0</v>
      </c>
      <c r="AD126" s="221"/>
    </row>
    <row r="127" spans="1:30" s="15" customFormat="1" ht="75" customHeight="1" outlineLevel="1" x14ac:dyDescent="0.2">
      <c r="A127" s="232" t="s">
        <v>1149</v>
      </c>
      <c r="B127" s="231" t="s">
        <v>254</v>
      </c>
      <c r="C127" s="342">
        <f t="shared" si="59"/>
        <v>0</v>
      </c>
      <c r="D127" s="232">
        <f t="shared" si="54"/>
        <v>1055</v>
      </c>
      <c r="E127" s="195">
        <v>0</v>
      </c>
      <c r="F127" s="229">
        <f t="shared" si="60"/>
        <v>1055</v>
      </c>
      <c r="G127" s="229">
        <v>0</v>
      </c>
      <c r="H127" s="196">
        <v>1005</v>
      </c>
      <c r="I127" s="196">
        <v>50</v>
      </c>
      <c r="J127" s="342">
        <v>0</v>
      </c>
      <c r="K127" s="218">
        <v>0</v>
      </c>
      <c r="L127" s="218">
        <v>0</v>
      </c>
      <c r="M127" s="218">
        <v>0</v>
      </c>
      <c r="N127" s="218">
        <v>0</v>
      </c>
      <c r="O127" s="217">
        <v>0</v>
      </c>
      <c r="P127" s="218">
        <f t="shared" si="61"/>
        <v>0</v>
      </c>
      <c r="Q127" s="218">
        <v>0</v>
      </c>
      <c r="R127" s="218">
        <v>0</v>
      </c>
      <c r="S127" s="218">
        <v>0</v>
      </c>
      <c r="T127" s="217">
        <v>0</v>
      </c>
      <c r="U127" s="218">
        <v>0</v>
      </c>
      <c r="V127" s="218">
        <v>0</v>
      </c>
      <c r="W127" s="218">
        <v>0</v>
      </c>
      <c r="X127" s="218">
        <v>0</v>
      </c>
      <c r="Y127" s="217">
        <v>0</v>
      </c>
      <c r="Z127" s="218">
        <v>0</v>
      </c>
      <c r="AA127" s="218">
        <v>0</v>
      </c>
      <c r="AB127" s="218">
        <v>0</v>
      </c>
      <c r="AC127" s="218">
        <v>0</v>
      </c>
      <c r="AD127" s="221"/>
    </row>
    <row r="128" spans="1:30" s="15" customFormat="1" ht="75" customHeight="1" outlineLevel="1" x14ac:dyDescent="0.2">
      <c r="A128" s="232" t="s">
        <v>1150</v>
      </c>
      <c r="B128" s="231" t="s">
        <v>255</v>
      </c>
      <c r="C128" s="342">
        <f t="shared" si="59"/>
        <v>0</v>
      </c>
      <c r="D128" s="232">
        <f t="shared" si="54"/>
        <v>386</v>
      </c>
      <c r="E128" s="195">
        <v>0</v>
      </c>
      <c r="F128" s="229">
        <f t="shared" si="60"/>
        <v>386</v>
      </c>
      <c r="G128" s="229">
        <v>0</v>
      </c>
      <c r="H128" s="196">
        <v>367</v>
      </c>
      <c r="I128" s="196">
        <v>19</v>
      </c>
      <c r="J128" s="342">
        <v>0</v>
      </c>
      <c r="K128" s="218">
        <v>0</v>
      </c>
      <c r="L128" s="218">
        <v>0</v>
      </c>
      <c r="M128" s="218">
        <v>0</v>
      </c>
      <c r="N128" s="218">
        <v>0</v>
      </c>
      <c r="O128" s="217">
        <v>0</v>
      </c>
      <c r="P128" s="218">
        <f t="shared" si="61"/>
        <v>0</v>
      </c>
      <c r="Q128" s="218">
        <v>0</v>
      </c>
      <c r="R128" s="218">
        <v>0</v>
      </c>
      <c r="S128" s="218">
        <v>0</v>
      </c>
      <c r="T128" s="217">
        <v>0</v>
      </c>
      <c r="U128" s="218">
        <v>0</v>
      </c>
      <c r="V128" s="218">
        <v>0</v>
      </c>
      <c r="W128" s="218">
        <v>0</v>
      </c>
      <c r="X128" s="218">
        <v>0</v>
      </c>
      <c r="Y128" s="217">
        <v>0</v>
      </c>
      <c r="Z128" s="218">
        <v>0</v>
      </c>
      <c r="AA128" s="218">
        <v>0</v>
      </c>
      <c r="AB128" s="218">
        <v>0</v>
      </c>
      <c r="AC128" s="218">
        <v>0</v>
      </c>
      <c r="AD128" s="221"/>
    </row>
    <row r="129" spans="1:30" s="15" customFormat="1" ht="73.900000000000006" customHeight="1" outlineLevel="1" x14ac:dyDescent="0.2">
      <c r="A129" s="232" t="s">
        <v>1151</v>
      </c>
      <c r="B129" s="231" t="s">
        <v>256</v>
      </c>
      <c r="C129" s="342">
        <f t="shared" si="59"/>
        <v>0</v>
      </c>
      <c r="D129" s="232">
        <f t="shared" si="54"/>
        <v>94</v>
      </c>
      <c r="E129" s="195">
        <v>0</v>
      </c>
      <c r="F129" s="229">
        <f t="shared" si="60"/>
        <v>94</v>
      </c>
      <c r="G129" s="229">
        <v>0</v>
      </c>
      <c r="H129" s="196">
        <v>90</v>
      </c>
      <c r="I129" s="196">
        <v>4</v>
      </c>
      <c r="J129" s="342">
        <v>0</v>
      </c>
      <c r="K129" s="218">
        <v>0</v>
      </c>
      <c r="L129" s="218">
        <v>0</v>
      </c>
      <c r="M129" s="218">
        <v>0</v>
      </c>
      <c r="N129" s="218">
        <v>0</v>
      </c>
      <c r="O129" s="217">
        <v>0</v>
      </c>
      <c r="P129" s="218">
        <f t="shared" si="61"/>
        <v>0</v>
      </c>
      <c r="Q129" s="218">
        <v>0</v>
      </c>
      <c r="R129" s="218">
        <v>0</v>
      </c>
      <c r="S129" s="218">
        <v>0</v>
      </c>
      <c r="T129" s="217">
        <v>0</v>
      </c>
      <c r="U129" s="218">
        <v>0</v>
      </c>
      <c r="V129" s="218">
        <v>0</v>
      </c>
      <c r="W129" s="218">
        <v>0</v>
      </c>
      <c r="X129" s="218">
        <v>0</v>
      </c>
      <c r="Y129" s="217">
        <v>0</v>
      </c>
      <c r="Z129" s="218">
        <v>0</v>
      </c>
      <c r="AA129" s="218">
        <v>0</v>
      </c>
      <c r="AB129" s="218">
        <v>0</v>
      </c>
      <c r="AC129" s="218">
        <v>0</v>
      </c>
      <c r="AD129" s="221"/>
    </row>
    <row r="130" spans="1:30" s="15" customFormat="1" ht="68.45" customHeight="1" outlineLevel="1" x14ac:dyDescent="0.2">
      <c r="A130" s="232" t="s">
        <v>1152</v>
      </c>
      <c r="B130" s="231" t="s">
        <v>660</v>
      </c>
      <c r="C130" s="342">
        <f t="shared" si="59"/>
        <v>0</v>
      </c>
      <c r="D130" s="232">
        <f t="shared" si="54"/>
        <v>41</v>
      </c>
      <c r="E130" s="195">
        <v>0</v>
      </c>
      <c r="F130" s="229">
        <f t="shared" si="60"/>
        <v>41</v>
      </c>
      <c r="G130" s="229">
        <v>0</v>
      </c>
      <c r="H130" s="196">
        <v>39</v>
      </c>
      <c r="I130" s="196">
        <v>2</v>
      </c>
      <c r="J130" s="342">
        <v>0</v>
      </c>
      <c r="K130" s="218">
        <v>0</v>
      </c>
      <c r="L130" s="218">
        <v>0</v>
      </c>
      <c r="M130" s="218">
        <v>0</v>
      </c>
      <c r="N130" s="218">
        <v>0</v>
      </c>
      <c r="O130" s="217">
        <v>0</v>
      </c>
      <c r="P130" s="218">
        <f t="shared" si="61"/>
        <v>0</v>
      </c>
      <c r="Q130" s="218">
        <v>0</v>
      </c>
      <c r="R130" s="218">
        <v>0</v>
      </c>
      <c r="S130" s="218">
        <v>0</v>
      </c>
      <c r="T130" s="217">
        <v>0</v>
      </c>
      <c r="U130" s="218">
        <v>0</v>
      </c>
      <c r="V130" s="218">
        <v>0</v>
      </c>
      <c r="W130" s="218">
        <v>0</v>
      </c>
      <c r="X130" s="218">
        <v>0</v>
      </c>
      <c r="Y130" s="217">
        <v>0</v>
      </c>
      <c r="Z130" s="218">
        <v>0</v>
      </c>
      <c r="AA130" s="218">
        <v>0</v>
      </c>
      <c r="AB130" s="218">
        <v>0</v>
      </c>
      <c r="AC130" s="218">
        <v>0</v>
      </c>
      <c r="AD130" s="221"/>
    </row>
    <row r="131" spans="1:30" s="15" customFormat="1" ht="66" customHeight="1" outlineLevel="1" x14ac:dyDescent="0.2">
      <c r="A131" s="232" t="s">
        <v>1153</v>
      </c>
      <c r="B131" s="231" t="s">
        <v>661</v>
      </c>
      <c r="C131" s="342">
        <f t="shared" si="59"/>
        <v>0</v>
      </c>
      <c r="D131" s="232">
        <f t="shared" si="54"/>
        <v>95</v>
      </c>
      <c r="E131" s="195">
        <v>0</v>
      </c>
      <c r="F131" s="229">
        <f t="shared" si="60"/>
        <v>95</v>
      </c>
      <c r="G131" s="229">
        <v>0</v>
      </c>
      <c r="H131" s="196">
        <v>90</v>
      </c>
      <c r="I131" s="196">
        <v>5</v>
      </c>
      <c r="J131" s="342">
        <v>0</v>
      </c>
      <c r="K131" s="218">
        <v>0</v>
      </c>
      <c r="L131" s="218">
        <v>0</v>
      </c>
      <c r="M131" s="218">
        <v>0</v>
      </c>
      <c r="N131" s="218">
        <v>0</v>
      </c>
      <c r="O131" s="217">
        <v>0</v>
      </c>
      <c r="P131" s="218">
        <f t="shared" si="61"/>
        <v>0</v>
      </c>
      <c r="Q131" s="218">
        <v>0</v>
      </c>
      <c r="R131" s="218">
        <v>0</v>
      </c>
      <c r="S131" s="218">
        <v>0</v>
      </c>
      <c r="T131" s="217">
        <v>0</v>
      </c>
      <c r="U131" s="218">
        <v>0</v>
      </c>
      <c r="V131" s="218">
        <v>0</v>
      </c>
      <c r="W131" s="218">
        <v>0</v>
      </c>
      <c r="X131" s="218">
        <v>0</v>
      </c>
      <c r="Y131" s="217">
        <v>0</v>
      </c>
      <c r="Z131" s="218">
        <v>0</v>
      </c>
      <c r="AA131" s="218">
        <v>0</v>
      </c>
      <c r="AB131" s="218">
        <v>0</v>
      </c>
      <c r="AC131" s="218">
        <v>0</v>
      </c>
      <c r="AD131" s="221"/>
    </row>
    <row r="132" spans="1:30" s="15" customFormat="1" ht="75" customHeight="1" outlineLevel="1" x14ac:dyDescent="0.2">
      <c r="A132" s="232" t="s">
        <v>1154</v>
      </c>
      <c r="B132" s="231" t="s">
        <v>257</v>
      </c>
      <c r="C132" s="342">
        <f t="shared" si="59"/>
        <v>0</v>
      </c>
      <c r="D132" s="232">
        <f t="shared" si="54"/>
        <v>1766</v>
      </c>
      <c r="E132" s="195">
        <v>0</v>
      </c>
      <c r="F132" s="229">
        <f t="shared" si="60"/>
        <v>1766</v>
      </c>
      <c r="G132" s="229">
        <v>0</v>
      </c>
      <c r="H132" s="196">
        <v>1681</v>
      </c>
      <c r="I132" s="196">
        <v>85</v>
      </c>
      <c r="J132" s="342">
        <v>0</v>
      </c>
      <c r="K132" s="218">
        <v>0</v>
      </c>
      <c r="L132" s="218">
        <v>0</v>
      </c>
      <c r="M132" s="218">
        <v>0</v>
      </c>
      <c r="N132" s="218">
        <v>0</v>
      </c>
      <c r="O132" s="217">
        <v>0</v>
      </c>
      <c r="P132" s="218">
        <f t="shared" si="61"/>
        <v>0</v>
      </c>
      <c r="Q132" s="218">
        <v>0</v>
      </c>
      <c r="R132" s="218">
        <v>0</v>
      </c>
      <c r="S132" s="218">
        <v>0</v>
      </c>
      <c r="T132" s="217">
        <v>0</v>
      </c>
      <c r="U132" s="218">
        <v>0</v>
      </c>
      <c r="V132" s="218">
        <v>0</v>
      </c>
      <c r="W132" s="218">
        <v>0</v>
      </c>
      <c r="X132" s="218">
        <v>0</v>
      </c>
      <c r="Y132" s="217">
        <v>0</v>
      </c>
      <c r="Z132" s="218">
        <v>0</v>
      </c>
      <c r="AA132" s="218">
        <v>0</v>
      </c>
      <c r="AB132" s="218">
        <v>0</v>
      </c>
      <c r="AC132" s="218">
        <v>0</v>
      </c>
      <c r="AD132" s="221"/>
    </row>
    <row r="133" spans="1:30" s="15" customFormat="1" ht="70.900000000000006" customHeight="1" outlineLevel="1" x14ac:dyDescent="0.2">
      <c r="A133" s="232" t="s">
        <v>1155</v>
      </c>
      <c r="B133" s="231" t="s">
        <v>258</v>
      </c>
      <c r="C133" s="342">
        <f t="shared" si="59"/>
        <v>0</v>
      </c>
      <c r="D133" s="232">
        <f t="shared" si="54"/>
        <v>342</v>
      </c>
      <c r="E133" s="195">
        <v>0</v>
      </c>
      <c r="F133" s="229">
        <f t="shared" si="60"/>
        <v>342</v>
      </c>
      <c r="G133" s="229">
        <v>0</v>
      </c>
      <c r="H133" s="196">
        <v>326</v>
      </c>
      <c r="I133" s="196">
        <v>16</v>
      </c>
      <c r="J133" s="342">
        <v>0</v>
      </c>
      <c r="K133" s="218">
        <v>0</v>
      </c>
      <c r="L133" s="218">
        <v>0</v>
      </c>
      <c r="M133" s="218">
        <v>0</v>
      </c>
      <c r="N133" s="218">
        <v>0</v>
      </c>
      <c r="O133" s="217">
        <v>0</v>
      </c>
      <c r="P133" s="218">
        <f t="shared" si="61"/>
        <v>0</v>
      </c>
      <c r="Q133" s="218">
        <v>0</v>
      </c>
      <c r="R133" s="218">
        <v>0</v>
      </c>
      <c r="S133" s="218">
        <v>0</v>
      </c>
      <c r="T133" s="217">
        <v>0</v>
      </c>
      <c r="U133" s="218">
        <v>0</v>
      </c>
      <c r="V133" s="218">
        <v>0</v>
      </c>
      <c r="W133" s="218">
        <v>0</v>
      </c>
      <c r="X133" s="218">
        <v>0</v>
      </c>
      <c r="Y133" s="217">
        <v>0</v>
      </c>
      <c r="Z133" s="218">
        <v>0</v>
      </c>
      <c r="AA133" s="218">
        <v>0</v>
      </c>
      <c r="AB133" s="218">
        <v>0</v>
      </c>
      <c r="AC133" s="218">
        <v>0</v>
      </c>
      <c r="AD133" s="221"/>
    </row>
    <row r="134" spans="1:30" s="15" customFormat="1" ht="51" customHeight="1" outlineLevel="1" x14ac:dyDescent="0.2">
      <c r="A134" s="232" t="s">
        <v>1156</v>
      </c>
      <c r="B134" s="231" t="s">
        <v>259</v>
      </c>
      <c r="C134" s="342">
        <f t="shared" si="59"/>
        <v>0</v>
      </c>
      <c r="D134" s="232">
        <f t="shared" si="54"/>
        <v>289</v>
      </c>
      <c r="E134" s="195">
        <v>0</v>
      </c>
      <c r="F134" s="229">
        <f t="shared" si="60"/>
        <v>289</v>
      </c>
      <c r="G134" s="229">
        <v>0</v>
      </c>
      <c r="H134" s="196">
        <v>276</v>
      </c>
      <c r="I134" s="196">
        <v>13</v>
      </c>
      <c r="J134" s="342">
        <v>0</v>
      </c>
      <c r="K134" s="218">
        <v>0</v>
      </c>
      <c r="L134" s="218">
        <v>0</v>
      </c>
      <c r="M134" s="218">
        <v>0</v>
      </c>
      <c r="N134" s="218">
        <v>0</v>
      </c>
      <c r="O134" s="217">
        <v>0</v>
      </c>
      <c r="P134" s="218">
        <f t="shared" si="61"/>
        <v>0</v>
      </c>
      <c r="Q134" s="218">
        <v>0</v>
      </c>
      <c r="R134" s="218">
        <v>0</v>
      </c>
      <c r="S134" s="218">
        <v>0</v>
      </c>
      <c r="T134" s="217">
        <v>0</v>
      </c>
      <c r="U134" s="218">
        <v>0</v>
      </c>
      <c r="V134" s="218">
        <v>0</v>
      </c>
      <c r="W134" s="218">
        <v>0</v>
      </c>
      <c r="X134" s="218">
        <v>0</v>
      </c>
      <c r="Y134" s="217">
        <v>0</v>
      </c>
      <c r="Z134" s="218">
        <v>0</v>
      </c>
      <c r="AA134" s="218">
        <v>0</v>
      </c>
      <c r="AB134" s="218">
        <v>0</v>
      </c>
      <c r="AC134" s="218">
        <v>0</v>
      </c>
      <c r="AD134" s="221"/>
    </row>
    <row r="135" spans="1:30" s="15" customFormat="1" ht="51" customHeight="1" outlineLevel="1" x14ac:dyDescent="0.2">
      <c r="A135" s="232" t="s">
        <v>1157</v>
      </c>
      <c r="B135" s="231" t="s">
        <v>260</v>
      </c>
      <c r="C135" s="342">
        <f t="shared" si="59"/>
        <v>0</v>
      </c>
      <c r="D135" s="232">
        <f t="shared" si="54"/>
        <v>1150</v>
      </c>
      <c r="E135" s="195">
        <v>0</v>
      </c>
      <c r="F135" s="229">
        <f t="shared" si="60"/>
        <v>1150</v>
      </c>
      <c r="G135" s="229">
        <v>0</v>
      </c>
      <c r="H135" s="196">
        <v>1095</v>
      </c>
      <c r="I135" s="196">
        <v>55</v>
      </c>
      <c r="J135" s="342">
        <v>0</v>
      </c>
      <c r="K135" s="218">
        <v>0</v>
      </c>
      <c r="L135" s="218">
        <v>0</v>
      </c>
      <c r="M135" s="218">
        <v>0</v>
      </c>
      <c r="N135" s="218">
        <v>0</v>
      </c>
      <c r="O135" s="217">
        <v>0</v>
      </c>
      <c r="P135" s="218">
        <f t="shared" si="61"/>
        <v>0</v>
      </c>
      <c r="Q135" s="218">
        <v>0</v>
      </c>
      <c r="R135" s="218">
        <v>0</v>
      </c>
      <c r="S135" s="218">
        <v>0</v>
      </c>
      <c r="T135" s="217">
        <v>0</v>
      </c>
      <c r="U135" s="218">
        <v>0</v>
      </c>
      <c r="V135" s="218">
        <v>0</v>
      </c>
      <c r="W135" s="218">
        <v>0</v>
      </c>
      <c r="X135" s="218">
        <v>0</v>
      </c>
      <c r="Y135" s="217">
        <v>0</v>
      </c>
      <c r="Z135" s="218">
        <v>0</v>
      </c>
      <c r="AA135" s="218">
        <v>0</v>
      </c>
      <c r="AB135" s="218">
        <v>0</v>
      </c>
      <c r="AC135" s="218">
        <v>0</v>
      </c>
      <c r="AD135" s="221"/>
    </row>
    <row r="136" spans="1:30" s="15" customFormat="1" ht="51" customHeight="1" outlineLevel="1" x14ac:dyDescent="0.2">
      <c r="A136" s="232" t="s">
        <v>1158</v>
      </c>
      <c r="B136" s="231" t="s">
        <v>261</v>
      </c>
      <c r="C136" s="342">
        <f t="shared" si="59"/>
        <v>0</v>
      </c>
      <c r="D136" s="232">
        <f t="shared" si="54"/>
        <v>286</v>
      </c>
      <c r="E136" s="195">
        <v>0</v>
      </c>
      <c r="F136" s="229">
        <f t="shared" si="60"/>
        <v>286</v>
      </c>
      <c r="G136" s="229">
        <v>0</v>
      </c>
      <c r="H136" s="196">
        <v>272</v>
      </c>
      <c r="I136" s="196">
        <v>14</v>
      </c>
      <c r="J136" s="342">
        <v>0</v>
      </c>
      <c r="K136" s="218">
        <v>0</v>
      </c>
      <c r="L136" s="218">
        <v>0</v>
      </c>
      <c r="M136" s="218">
        <v>0</v>
      </c>
      <c r="N136" s="218">
        <v>0</v>
      </c>
      <c r="O136" s="217">
        <v>0</v>
      </c>
      <c r="P136" s="218">
        <f t="shared" si="61"/>
        <v>0</v>
      </c>
      <c r="Q136" s="218">
        <v>0</v>
      </c>
      <c r="R136" s="218">
        <v>0</v>
      </c>
      <c r="S136" s="218">
        <v>0</v>
      </c>
      <c r="T136" s="217">
        <v>0</v>
      </c>
      <c r="U136" s="218">
        <v>0</v>
      </c>
      <c r="V136" s="218">
        <v>0</v>
      </c>
      <c r="W136" s="218">
        <v>0</v>
      </c>
      <c r="X136" s="218">
        <v>0</v>
      </c>
      <c r="Y136" s="217">
        <v>0</v>
      </c>
      <c r="Z136" s="218">
        <v>0</v>
      </c>
      <c r="AA136" s="218">
        <v>0</v>
      </c>
      <c r="AB136" s="218">
        <v>0</v>
      </c>
      <c r="AC136" s="218">
        <v>0</v>
      </c>
      <c r="AD136" s="221"/>
    </row>
    <row r="137" spans="1:30" s="15" customFormat="1" ht="64.900000000000006" customHeight="1" outlineLevel="1" x14ac:dyDescent="0.2">
      <c r="A137" s="232" t="s">
        <v>1159</v>
      </c>
      <c r="B137" s="231" t="s">
        <v>262</v>
      </c>
      <c r="C137" s="342">
        <f t="shared" si="59"/>
        <v>0</v>
      </c>
      <c r="D137" s="232">
        <f t="shared" si="54"/>
        <v>238</v>
      </c>
      <c r="E137" s="195">
        <v>0</v>
      </c>
      <c r="F137" s="229">
        <f t="shared" si="60"/>
        <v>238</v>
      </c>
      <c r="G137" s="229">
        <v>0</v>
      </c>
      <c r="H137" s="196">
        <v>227</v>
      </c>
      <c r="I137" s="196">
        <v>11</v>
      </c>
      <c r="J137" s="342">
        <v>0</v>
      </c>
      <c r="K137" s="218">
        <v>0</v>
      </c>
      <c r="L137" s="218">
        <v>0</v>
      </c>
      <c r="M137" s="218">
        <v>0</v>
      </c>
      <c r="N137" s="218">
        <v>0</v>
      </c>
      <c r="O137" s="217">
        <v>0</v>
      </c>
      <c r="P137" s="218">
        <f t="shared" si="61"/>
        <v>0</v>
      </c>
      <c r="Q137" s="218">
        <v>0</v>
      </c>
      <c r="R137" s="218">
        <v>0</v>
      </c>
      <c r="S137" s="218">
        <v>0</v>
      </c>
      <c r="T137" s="217">
        <v>0</v>
      </c>
      <c r="U137" s="218">
        <v>0</v>
      </c>
      <c r="V137" s="218">
        <v>0</v>
      </c>
      <c r="W137" s="218">
        <v>0</v>
      </c>
      <c r="X137" s="218">
        <v>0</v>
      </c>
      <c r="Y137" s="217">
        <v>0</v>
      </c>
      <c r="Z137" s="218">
        <v>0</v>
      </c>
      <c r="AA137" s="218">
        <v>0</v>
      </c>
      <c r="AB137" s="218">
        <v>0</v>
      </c>
      <c r="AC137" s="218">
        <v>0</v>
      </c>
      <c r="AD137" s="221"/>
    </row>
    <row r="138" spans="1:30" s="15" customFormat="1" ht="75" customHeight="1" outlineLevel="1" x14ac:dyDescent="0.2">
      <c r="A138" s="232" t="s">
        <v>1160</v>
      </c>
      <c r="B138" s="231" t="s">
        <v>263</v>
      </c>
      <c r="C138" s="342">
        <f t="shared" si="59"/>
        <v>0</v>
      </c>
      <c r="D138" s="232">
        <f t="shared" si="54"/>
        <v>1846</v>
      </c>
      <c r="E138" s="195">
        <v>0</v>
      </c>
      <c r="F138" s="229">
        <f>G138+H138+I138</f>
        <v>1846</v>
      </c>
      <c r="G138" s="229">
        <v>0</v>
      </c>
      <c r="H138" s="196">
        <v>1757</v>
      </c>
      <c r="I138" s="196">
        <v>89</v>
      </c>
      <c r="J138" s="342">
        <v>0</v>
      </c>
      <c r="K138" s="218">
        <v>0</v>
      </c>
      <c r="L138" s="218">
        <v>0</v>
      </c>
      <c r="M138" s="218">
        <v>0</v>
      </c>
      <c r="N138" s="218">
        <v>0</v>
      </c>
      <c r="O138" s="217">
        <v>0</v>
      </c>
      <c r="P138" s="218">
        <f t="shared" si="61"/>
        <v>0</v>
      </c>
      <c r="Q138" s="218">
        <v>0</v>
      </c>
      <c r="R138" s="218">
        <v>0</v>
      </c>
      <c r="S138" s="218">
        <v>0</v>
      </c>
      <c r="T138" s="217">
        <v>0</v>
      </c>
      <c r="U138" s="218">
        <v>0</v>
      </c>
      <c r="V138" s="218">
        <v>0</v>
      </c>
      <c r="W138" s="218">
        <v>0</v>
      </c>
      <c r="X138" s="218">
        <v>0</v>
      </c>
      <c r="Y138" s="217">
        <v>0</v>
      </c>
      <c r="Z138" s="218">
        <v>0</v>
      </c>
      <c r="AA138" s="218">
        <v>0</v>
      </c>
      <c r="AB138" s="218">
        <v>0</v>
      </c>
      <c r="AC138" s="218">
        <v>0</v>
      </c>
      <c r="AD138" s="221"/>
    </row>
    <row r="139" spans="1:30" s="15" customFormat="1" ht="57" customHeight="1" outlineLevel="1" x14ac:dyDescent="0.2">
      <c r="A139" s="232" t="s">
        <v>1161</v>
      </c>
      <c r="B139" s="231" t="s">
        <v>264</v>
      </c>
      <c r="C139" s="342">
        <f t="shared" si="59"/>
        <v>0</v>
      </c>
      <c r="D139" s="232">
        <f t="shared" si="54"/>
        <v>1668</v>
      </c>
      <c r="E139" s="195">
        <v>0</v>
      </c>
      <c r="F139" s="229">
        <f t="shared" si="60"/>
        <v>1668</v>
      </c>
      <c r="G139" s="229">
        <v>0</v>
      </c>
      <c r="H139" s="196">
        <v>1588</v>
      </c>
      <c r="I139" s="196">
        <v>80</v>
      </c>
      <c r="J139" s="342">
        <v>0</v>
      </c>
      <c r="K139" s="218">
        <v>0</v>
      </c>
      <c r="L139" s="218">
        <v>0</v>
      </c>
      <c r="M139" s="218">
        <v>0</v>
      </c>
      <c r="N139" s="218">
        <v>0</v>
      </c>
      <c r="O139" s="217">
        <v>0</v>
      </c>
      <c r="P139" s="218">
        <f t="shared" si="61"/>
        <v>0</v>
      </c>
      <c r="Q139" s="218">
        <v>0</v>
      </c>
      <c r="R139" s="218">
        <v>0</v>
      </c>
      <c r="S139" s="218">
        <v>0</v>
      </c>
      <c r="T139" s="217">
        <v>0</v>
      </c>
      <c r="U139" s="218">
        <v>0</v>
      </c>
      <c r="V139" s="218">
        <v>0</v>
      </c>
      <c r="W139" s="218">
        <v>0</v>
      </c>
      <c r="X139" s="218">
        <v>0</v>
      </c>
      <c r="Y139" s="217">
        <v>0</v>
      </c>
      <c r="Z139" s="218">
        <v>0</v>
      </c>
      <c r="AA139" s="218">
        <v>0</v>
      </c>
      <c r="AB139" s="218">
        <v>0</v>
      </c>
      <c r="AC139" s="218">
        <v>0</v>
      </c>
      <c r="AD139" s="221"/>
    </row>
    <row r="140" spans="1:30" s="15" customFormat="1" ht="64.900000000000006" customHeight="1" outlineLevel="1" x14ac:dyDescent="0.2">
      <c r="A140" s="232" t="s">
        <v>1162</v>
      </c>
      <c r="B140" s="231" t="s">
        <v>265</v>
      </c>
      <c r="C140" s="342">
        <f t="shared" si="59"/>
        <v>0</v>
      </c>
      <c r="D140" s="232">
        <f t="shared" si="54"/>
        <v>3481</v>
      </c>
      <c r="E140" s="195">
        <v>0</v>
      </c>
      <c r="F140" s="229">
        <f t="shared" si="60"/>
        <v>3481</v>
      </c>
      <c r="G140" s="229">
        <v>0</v>
      </c>
      <c r="H140" s="196">
        <v>3314</v>
      </c>
      <c r="I140" s="196">
        <v>167</v>
      </c>
      <c r="J140" s="342">
        <v>0</v>
      </c>
      <c r="K140" s="218">
        <v>0</v>
      </c>
      <c r="L140" s="218">
        <v>0</v>
      </c>
      <c r="M140" s="218">
        <v>0</v>
      </c>
      <c r="N140" s="218">
        <v>0</v>
      </c>
      <c r="O140" s="217">
        <v>0</v>
      </c>
      <c r="P140" s="218">
        <f t="shared" si="61"/>
        <v>0</v>
      </c>
      <c r="Q140" s="218">
        <v>0</v>
      </c>
      <c r="R140" s="218">
        <v>0</v>
      </c>
      <c r="S140" s="218">
        <v>0</v>
      </c>
      <c r="T140" s="217">
        <v>0</v>
      </c>
      <c r="U140" s="218">
        <v>0</v>
      </c>
      <c r="V140" s="218">
        <v>0</v>
      </c>
      <c r="W140" s="218">
        <v>0</v>
      </c>
      <c r="X140" s="218">
        <v>0</v>
      </c>
      <c r="Y140" s="217">
        <v>0</v>
      </c>
      <c r="Z140" s="218">
        <v>0</v>
      </c>
      <c r="AA140" s="218">
        <v>0</v>
      </c>
      <c r="AB140" s="218">
        <v>0</v>
      </c>
      <c r="AC140" s="218">
        <v>0</v>
      </c>
      <c r="AD140" s="221"/>
    </row>
    <row r="141" spans="1:30" s="15" customFormat="1" ht="37.9" customHeight="1" outlineLevel="1" x14ac:dyDescent="0.2">
      <c r="A141" s="232" t="s">
        <v>1163</v>
      </c>
      <c r="B141" s="231" t="s">
        <v>286</v>
      </c>
      <c r="C141" s="342">
        <f t="shared" si="59"/>
        <v>0</v>
      </c>
      <c r="D141" s="232">
        <f t="shared" si="54"/>
        <v>136</v>
      </c>
      <c r="E141" s="195">
        <v>0</v>
      </c>
      <c r="F141" s="229">
        <f t="shared" si="60"/>
        <v>136</v>
      </c>
      <c r="G141" s="229">
        <v>0</v>
      </c>
      <c r="H141" s="196">
        <v>130</v>
      </c>
      <c r="I141" s="196">
        <v>6</v>
      </c>
      <c r="J141" s="342">
        <v>0</v>
      </c>
      <c r="K141" s="218">
        <v>0</v>
      </c>
      <c r="L141" s="218">
        <v>0</v>
      </c>
      <c r="M141" s="218">
        <v>0</v>
      </c>
      <c r="N141" s="218">
        <v>0</v>
      </c>
      <c r="O141" s="217">
        <v>0</v>
      </c>
      <c r="P141" s="218">
        <f t="shared" si="61"/>
        <v>0</v>
      </c>
      <c r="Q141" s="218">
        <v>0</v>
      </c>
      <c r="R141" s="218">
        <v>0</v>
      </c>
      <c r="S141" s="218">
        <v>0</v>
      </c>
      <c r="T141" s="217">
        <v>0</v>
      </c>
      <c r="U141" s="218">
        <v>0</v>
      </c>
      <c r="V141" s="218">
        <v>0</v>
      </c>
      <c r="W141" s="218">
        <v>0</v>
      </c>
      <c r="X141" s="218">
        <v>0</v>
      </c>
      <c r="Y141" s="217">
        <v>0</v>
      </c>
      <c r="Z141" s="218">
        <v>0</v>
      </c>
      <c r="AA141" s="218">
        <v>0</v>
      </c>
      <c r="AB141" s="218">
        <v>0</v>
      </c>
      <c r="AC141" s="218">
        <v>0</v>
      </c>
      <c r="AD141" s="221"/>
    </row>
    <row r="142" spans="1:30" s="15" customFormat="1" ht="85.9" customHeight="1" outlineLevel="1" x14ac:dyDescent="0.2">
      <c r="A142" s="232" t="s">
        <v>1164</v>
      </c>
      <c r="B142" s="231" t="s">
        <v>266</v>
      </c>
      <c r="C142" s="342">
        <f t="shared" si="59"/>
        <v>0</v>
      </c>
      <c r="D142" s="232">
        <f t="shared" si="54"/>
        <v>310</v>
      </c>
      <c r="E142" s="195">
        <v>0</v>
      </c>
      <c r="F142" s="229">
        <f t="shared" si="60"/>
        <v>310</v>
      </c>
      <c r="G142" s="229">
        <v>0</v>
      </c>
      <c r="H142" s="196">
        <v>295</v>
      </c>
      <c r="I142" s="196">
        <v>15</v>
      </c>
      <c r="J142" s="342">
        <v>0</v>
      </c>
      <c r="K142" s="218">
        <v>0</v>
      </c>
      <c r="L142" s="218">
        <v>0</v>
      </c>
      <c r="M142" s="218">
        <v>0</v>
      </c>
      <c r="N142" s="218">
        <v>0</v>
      </c>
      <c r="O142" s="217">
        <v>0</v>
      </c>
      <c r="P142" s="218">
        <f t="shared" si="61"/>
        <v>0</v>
      </c>
      <c r="Q142" s="218">
        <v>0</v>
      </c>
      <c r="R142" s="218">
        <v>0</v>
      </c>
      <c r="S142" s="218">
        <v>0</v>
      </c>
      <c r="T142" s="217">
        <v>0</v>
      </c>
      <c r="U142" s="218">
        <v>0</v>
      </c>
      <c r="V142" s="218">
        <v>0</v>
      </c>
      <c r="W142" s="218">
        <v>0</v>
      </c>
      <c r="X142" s="218">
        <v>0</v>
      </c>
      <c r="Y142" s="217">
        <v>0</v>
      </c>
      <c r="Z142" s="218">
        <v>0</v>
      </c>
      <c r="AA142" s="218">
        <v>0</v>
      </c>
      <c r="AB142" s="218">
        <v>0</v>
      </c>
      <c r="AC142" s="218">
        <v>0</v>
      </c>
      <c r="AD142" s="221"/>
    </row>
    <row r="143" spans="1:30" s="15" customFormat="1" ht="87" customHeight="1" outlineLevel="1" x14ac:dyDescent="0.2">
      <c r="A143" s="232" t="s">
        <v>1165</v>
      </c>
      <c r="B143" s="231" t="s">
        <v>267</v>
      </c>
      <c r="C143" s="342">
        <f t="shared" si="59"/>
        <v>0</v>
      </c>
      <c r="D143" s="232">
        <f t="shared" si="54"/>
        <v>1492</v>
      </c>
      <c r="E143" s="195">
        <v>0</v>
      </c>
      <c r="F143" s="229">
        <f t="shared" si="60"/>
        <v>1492</v>
      </c>
      <c r="G143" s="229">
        <v>0</v>
      </c>
      <c r="H143" s="196">
        <v>1420</v>
      </c>
      <c r="I143" s="196">
        <v>72</v>
      </c>
      <c r="J143" s="342">
        <v>0</v>
      </c>
      <c r="K143" s="218">
        <v>0</v>
      </c>
      <c r="L143" s="218">
        <v>0</v>
      </c>
      <c r="M143" s="218">
        <v>0</v>
      </c>
      <c r="N143" s="218">
        <v>0</v>
      </c>
      <c r="O143" s="217">
        <v>0</v>
      </c>
      <c r="P143" s="218">
        <f t="shared" si="61"/>
        <v>0</v>
      </c>
      <c r="Q143" s="218">
        <v>0</v>
      </c>
      <c r="R143" s="218">
        <v>0</v>
      </c>
      <c r="S143" s="218">
        <v>0</v>
      </c>
      <c r="T143" s="217">
        <v>0</v>
      </c>
      <c r="U143" s="218">
        <v>0</v>
      </c>
      <c r="V143" s="218">
        <v>0</v>
      </c>
      <c r="W143" s="218">
        <v>0</v>
      </c>
      <c r="X143" s="218">
        <v>0</v>
      </c>
      <c r="Y143" s="217">
        <v>0</v>
      </c>
      <c r="Z143" s="218">
        <v>0</v>
      </c>
      <c r="AA143" s="218">
        <v>0</v>
      </c>
      <c r="AB143" s="218">
        <v>0</v>
      </c>
      <c r="AC143" s="218">
        <v>0</v>
      </c>
      <c r="AD143" s="221"/>
    </row>
    <row r="144" spans="1:30" s="15" customFormat="1" ht="67.900000000000006" customHeight="1" outlineLevel="1" x14ac:dyDescent="0.2">
      <c r="A144" s="232" t="s">
        <v>1166</v>
      </c>
      <c r="B144" s="231" t="s">
        <v>268</v>
      </c>
      <c r="C144" s="342">
        <f t="shared" si="59"/>
        <v>0</v>
      </c>
      <c r="D144" s="232">
        <f t="shared" si="54"/>
        <v>143</v>
      </c>
      <c r="E144" s="195">
        <v>0</v>
      </c>
      <c r="F144" s="229">
        <f t="shared" si="60"/>
        <v>143</v>
      </c>
      <c r="G144" s="229">
        <v>0</v>
      </c>
      <c r="H144" s="196">
        <v>136</v>
      </c>
      <c r="I144" s="196">
        <v>7</v>
      </c>
      <c r="J144" s="342">
        <v>0</v>
      </c>
      <c r="K144" s="218">
        <v>0</v>
      </c>
      <c r="L144" s="218">
        <v>0</v>
      </c>
      <c r="M144" s="218">
        <v>0</v>
      </c>
      <c r="N144" s="218">
        <v>0</v>
      </c>
      <c r="O144" s="217">
        <v>0</v>
      </c>
      <c r="P144" s="218">
        <f t="shared" si="61"/>
        <v>0</v>
      </c>
      <c r="Q144" s="218">
        <v>0</v>
      </c>
      <c r="R144" s="218">
        <v>0</v>
      </c>
      <c r="S144" s="218">
        <v>0</v>
      </c>
      <c r="T144" s="217">
        <v>0</v>
      </c>
      <c r="U144" s="218">
        <v>0</v>
      </c>
      <c r="V144" s="218">
        <v>0</v>
      </c>
      <c r="W144" s="218">
        <v>0</v>
      </c>
      <c r="X144" s="218">
        <v>0</v>
      </c>
      <c r="Y144" s="217">
        <v>0</v>
      </c>
      <c r="Z144" s="218">
        <v>0</v>
      </c>
      <c r="AA144" s="218">
        <v>0</v>
      </c>
      <c r="AB144" s="218">
        <v>0</v>
      </c>
      <c r="AC144" s="218">
        <v>0</v>
      </c>
      <c r="AD144" s="221"/>
    </row>
    <row r="145" spans="1:30" s="15" customFormat="1" ht="69" customHeight="1" outlineLevel="1" x14ac:dyDescent="0.2">
      <c r="A145" s="232" t="s">
        <v>1167</v>
      </c>
      <c r="B145" s="231" t="s">
        <v>269</v>
      </c>
      <c r="C145" s="342">
        <f t="shared" si="59"/>
        <v>0</v>
      </c>
      <c r="D145" s="232">
        <f t="shared" si="54"/>
        <v>442</v>
      </c>
      <c r="E145" s="195">
        <v>0</v>
      </c>
      <c r="F145" s="229">
        <f t="shared" si="60"/>
        <v>442</v>
      </c>
      <c r="G145" s="229">
        <v>0</v>
      </c>
      <c r="H145" s="196">
        <v>421</v>
      </c>
      <c r="I145" s="196">
        <v>21</v>
      </c>
      <c r="J145" s="342">
        <v>0</v>
      </c>
      <c r="K145" s="218">
        <v>0</v>
      </c>
      <c r="L145" s="218">
        <v>0</v>
      </c>
      <c r="M145" s="218">
        <v>0</v>
      </c>
      <c r="N145" s="218">
        <v>0</v>
      </c>
      <c r="O145" s="217">
        <v>0</v>
      </c>
      <c r="P145" s="218">
        <f t="shared" si="61"/>
        <v>0</v>
      </c>
      <c r="Q145" s="218">
        <v>0</v>
      </c>
      <c r="R145" s="218">
        <v>0</v>
      </c>
      <c r="S145" s="218">
        <v>0</v>
      </c>
      <c r="T145" s="217">
        <v>0</v>
      </c>
      <c r="U145" s="218">
        <v>0</v>
      </c>
      <c r="V145" s="218">
        <v>0</v>
      </c>
      <c r="W145" s="218">
        <v>0</v>
      </c>
      <c r="X145" s="218">
        <v>0</v>
      </c>
      <c r="Y145" s="217">
        <v>0</v>
      </c>
      <c r="Z145" s="218">
        <v>0</v>
      </c>
      <c r="AA145" s="218">
        <v>0</v>
      </c>
      <c r="AB145" s="218">
        <v>0</v>
      </c>
      <c r="AC145" s="218">
        <v>0</v>
      </c>
      <c r="AD145" s="221"/>
    </row>
    <row r="146" spans="1:30" s="15" customFormat="1" ht="88.15" customHeight="1" outlineLevel="1" x14ac:dyDescent="0.2">
      <c r="A146" s="232" t="s">
        <v>1168</v>
      </c>
      <c r="B146" s="231" t="s">
        <v>1111</v>
      </c>
      <c r="C146" s="342">
        <f t="shared" si="59"/>
        <v>0</v>
      </c>
      <c r="D146" s="232">
        <f t="shared" si="54"/>
        <v>435</v>
      </c>
      <c r="E146" s="195">
        <v>0</v>
      </c>
      <c r="F146" s="229">
        <f t="shared" si="60"/>
        <v>435</v>
      </c>
      <c r="G146" s="229">
        <v>0</v>
      </c>
      <c r="H146" s="196">
        <v>414</v>
      </c>
      <c r="I146" s="196">
        <v>21</v>
      </c>
      <c r="J146" s="342">
        <v>0</v>
      </c>
      <c r="K146" s="218">
        <v>0</v>
      </c>
      <c r="L146" s="218">
        <v>0</v>
      </c>
      <c r="M146" s="218">
        <v>0</v>
      </c>
      <c r="N146" s="218">
        <v>0</v>
      </c>
      <c r="O146" s="217">
        <v>0</v>
      </c>
      <c r="P146" s="218">
        <f t="shared" si="61"/>
        <v>0</v>
      </c>
      <c r="Q146" s="218">
        <v>0</v>
      </c>
      <c r="R146" s="218">
        <v>0</v>
      </c>
      <c r="S146" s="218">
        <v>0</v>
      </c>
      <c r="T146" s="217">
        <v>0</v>
      </c>
      <c r="U146" s="218">
        <v>0</v>
      </c>
      <c r="V146" s="218">
        <v>0</v>
      </c>
      <c r="W146" s="218">
        <v>0</v>
      </c>
      <c r="X146" s="218">
        <v>0</v>
      </c>
      <c r="Y146" s="217">
        <v>0</v>
      </c>
      <c r="Z146" s="218">
        <v>0</v>
      </c>
      <c r="AA146" s="218">
        <v>0</v>
      </c>
      <c r="AB146" s="218">
        <v>0</v>
      </c>
      <c r="AC146" s="218">
        <v>0</v>
      </c>
      <c r="AD146" s="221"/>
    </row>
    <row r="147" spans="1:30" s="15" customFormat="1" ht="90" customHeight="1" outlineLevel="1" x14ac:dyDescent="0.2">
      <c r="A147" s="232" t="s">
        <v>1169</v>
      </c>
      <c r="B147" s="231" t="s">
        <v>270</v>
      </c>
      <c r="C147" s="342">
        <f t="shared" si="59"/>
        <v>0</v>
      </c>
      <c r="D147" s="232">
        <f t="shared" si="54"/>
        <v>269</v>
      </c>
      <c r="E147" s="195">
        <v>0</v>
      </c>
      <c r="F147" s="229">
        <f t="shared" si="60"/>
        <v>269</v>
      </c>
      <c r="G147" s="229">
        <v>0</v>
      </c>
      <c r="H147" s="196">
        <v>256</v>
      </c>
      <c r="I147" s="196">
        <v>13</v>
      </c>
      <c r="J147" s="342">
        <v>0</v>
      </c>
      <c r="K147" s="218">
        <v>0</v>
      </c>
      <c r="L147" s="218">
        <v>0</v>
      </c>
      <c r="M147" s="218">
        <v>0</v>
      </c>
      <c r="N147" s="218">
        <v>0</v>
      </c>
      <c r="O147" s="217">
        <v>0</v>
      </c>
      <c r="P147" s="218">
        <f t="shared" si="61"/>
        <v>0</v>
      </c>
      <c r="Q147" s="218">
        <v>0</v>
      </c>
      <c r="R147" s="218">
        <v>0</v>
      </c>
      <c r="S147" s="218">
        <v>0</v>
      </c>
      <c r="T147" s="217">
        <v>0</v>
      </c>
      <c r="U147" s="218">
        <v>0</v>
      </c>
      <c r="V147" s="218">
        <v>0</v>
      </c>
      <c r="W147" s="218">
        <v>0</v>
      </c>
      <c r="X147" s="218">
        <v>0</v>
      </c>
      <c r="Y147" s="217">
        <v>0</v>
      </c>
      <c r="Z147" s="218">
        <v>0</v>
      </c>
      <c r="AA147" s="218">
        <v>0</v>
      </c>
      <c r="AB147" s="218">
        <v>0</v>
      </c>
      <c r="AC147" s="218">
        <v>0</v>
      </c>
      <c r="AD147" s="221"/>
    </row>
    <row r="148" spans="1:30" s="15" customFormat="1" ht="49.9" customHeight="1" outlineLevel="1" x14ac:dyDescent="0.2">
      <c r="A148" s="232" t="s">
        <v>1170</v>
      </c>
      <c r="B148" s="231" t="s">
        <v>271</v>
      </c>
      <c r="C148" s="342">
        <f t="shared" si="59"/>
        <v>0</v>
      </c>
      <c r="D148" s="232">
        <f t="shared" si="54"/>
        <v>207</v>
      </c>
      <c r="E148" s="195">
        <v>0</v>
      </c>
      <c r="F148" s="229">
        <f t="shared" si="60"/>
        <v>207</v>
      </c>
      <c r="G148" s="229">
        <v>0</v>
      </c>
      <c r="H148" s="196">
        <v>197</v>
      </c>
      <c r="I148" s="196">
        <v>10</v>
      </c>
      <c r="J148" s="342">
        <v>0</v>
      </c>
      <c r="K148" s="218">
        <v>0</v>
      </c>
      <c r="L148" s="218">
        <v>0</v>
      </c>
      <c r="M148" s="218">
        <v>0</v>
      </c>
      <c r="N148" s="218">
        <v>0</v>
      </c>
      <c r="O148" s="217">
        <v>0</v>
      </c>
      <c r="P148" s="218">
        <f t="shared" si="61"/>
        <v>0</v>
      </c>
      <c r="Q148" s="218">
        <v>0</v>
      </c>
      <c r="R148" s="218">
        <v>0</v>
      </c>
      <c r="S148" s="218">
        <v>0</v>
      </c>
      <c r="T148" s="217">
        <v>0</v>
      </c>
      <c r="U148" s="218">
        <v>0</v>
      </c>
      <c r="V148" s="218">
        <v>0</v>
      </c>
      <c r="W148" s="218">
        <v>0</v>
      </c>
      <c r="X148" s="218">
        <v>0</v>
      </c>
      <c r="Y148" s="217">
        <v>0</v>
      </c>
      <c r="Z148" s="218">
        <v>0</v>
      </c>
      <c r="AA148" s="218">
        <v>0</v>
      </c>
      <c r="AB148" s="218">
        <v>0</v>
      </c>
      <c r="AC148" s="218">
        <v>0</v>
      </c>
      <c r="AD148" s="221"/>
    </row>
    <row r="149" spans="1:30" s="15" customFormat="1" ht="69" customHeight="1" outlineLevel="1" x14ac:dyDescent="0.2">
      <c r="A149" s="232" t="s">
        <v>1171</v>
      </c>
      <c r="B149" s="231" t="s">
        <v>272</v>
      </c>
      <c r="C149" s="342">
        <f t="shared" si="59"/>
        <v>0</v>
      </c>
      <c r="D149" s="232">
        <f t="shared" si="54"/>
        <v>276</v>
      </c>
      <c r="E149" s="195">
        <v>0</v>
      </c>
      <c r="F149" s="229">
        <f t="shared" si="60"/>
        <v>276</v>
      </c>
      <c r="G149" s="229">
        <v>0</v>
      </c>
      <c r="H149" s="196">
        <v>263</v>
      </c>
      <c r="I149" s="196">
        <v>13</v>
      </c>
      <c r="J149" s="342">
        <v>0</v>
      </c>
      <c r="K149" s="218">
        <v>0</v>
      </c>
      <c r="L149" s="218">
        <v>0</v>
      </c>
      <c r="M149" s="218">
        <v>0</v>
      </c>
      <c r="N149" s="218">
        <v>0</v>
      </c>
      <c r="O149" s="217">
        <v>0</v>
      </c>
      <c r="P149" s="218">
        <f t="shared" si="61"/>
        <v>0</v>
      </c>
      <c r="Q149" s="218">
        <v>0</v>
      </c>
      <c r="R149" s="218">
        <v>0</v>
      </c>
      <c r="S149" s="218">
        <v>0</v>
      </c>
      <c r="T149" s="217">
        <v>0</v>
      </c>
      <c r="U149" s="218">
        <v>0</v>
      </c>
      <c r="V149" s="218">
        <v>0</v>
      </c>
      <c r="W149" s="218">
        <v>0</v>
      </c>
      <c r="X149" s="218">
        <v>0</v>
      </c>
      <c r="Y149" s="217">
        <v>0</v>
      </c>
      <c r="Z149" s="218">
        <v>0</v>
      </c>
      <c r="AA149" s="218">
        <v>0</v>
      </c>
      <c r="AB149" s="218">
        <v>0</v>
      </c>
      <c r="AC149" s="218">
        <v>0</v>
      </c>
      <c r="AD149" s="221"/>
    </row>
    <row r="150" spans="1:30" s="15" customFormat="1" ht="55.9" customHeight="1" outlineLevel="1" x14ac:dyDescent="0.2">
      <c r="A150" s="232" t="s">
        <v>1172</v>
      </c>
      <c r="B150" s="231" t="s">
        <v>273</v>
      </c>
      <c r="C150" s="342">
        <f t="shared" si="59"/>
        <v>0</v>
      </c>
      <c r="D150" s="232">
        <f t="shared" si="54"/>
        <v>1603</v>
      </c>
      <c r="E150" s="195">
        <v>0</v>
      </c>
      <c r="F150" s="229">
        <f t="shared" si="60"/>
        <v>1603</v>
      </c>
      <c r="G150" s="229">
        <v>0</v>
      </c>
      <c r="H150" s="196">
        <v>1526</v>
      </c>
      <c r="I150" s="196">
        <v>77</v>
      </c>
      <c r="J150" s="342">
        <v>0</v>
      </c>
      <c r="K150" s="218">
        <v>0</v>
      </c>
      <c r="L150" s="218">
        <v>0</v>
      </c>
      <c r="M150" s="218">
        <v>0</v>
      </c>
      <c r="N150" s="218">
        <v>0</v>
      </c>
      <c r="O150" s="217">
        <v>0</v>
      </c>
      <c r="P150" s="218">
        <f t="shared" si="61"/>
        <v>0</v>
      </c>
      <c r="Q150" s="218">
        <v>0</v>
      </c>
      <c r="R150" s="218">
        <v>0</v>
      </c>
      <c r="S150" s="218">
        <v>0</v>
      </c>
      <c r="T150" s="217">
        <v>0</v>
      </c>
      <c r="U150" s="218">
        <v>0</v>
      </c>
      <c r="V150" s="218">
        <v>0</v>
      </c>
      <c r="W150" s="218">
        <v>0</v>
      </c>
      <c r="X150" s="218">
        <v>0</v>
      </c>
      <c r="Y150" s="217">
        <v>0</v>
      </c>
      <c r="Z150" s="218">
        <v>0</v>
      </c>
      <c r="AA150" s="218">
        <v>0</v>
      </c>
      <c r="AB150" s="218">
        <v>0</v>
      </c>
      <c r="AC150" s="218">
        <v>0</v>
      </c>
      <c r="AD150" s="221"/>
    </row>
    <row r="151" spans="1:30" s="15" customFormat="1" ht="42" customHeight="1" outlineLevel="1" x14ac:dyDescent="0.2">
      <c r="A151" s="232" t="s">
        <v>1173</v>
      </c>
      <c r="B151" s="231" t="s">
        <v>274</v>
      </c>
      <c r="C151" s="342">
        <f t="shared" si="59"/>
        <v>0</v>
      </c>
      <c r="D151" s="232">
        <f t="shared" si="54"/>
        <v>3493</v>
      </c>
      <c r="E151" s="195">
        <v>0</v>
      </c>
      <c r="F151" s="229">
        <f t="shared" si="60"/>
        <v>3493</v>
      </c>
      <c r="G151" s="229">
        <v>0</v>
      </c>
      <c r="H151" s="196">
        <v>3325</v>
      </c>
      <c r="I151" s="196">
        <v>168</v>
      </c>
      <c r="J151" s="342">
        <v>0</v>
      </c>
      <c r="K151" s="218">
        <v>0</v>
      </c>
      <c r="L151" s="218">
        <v>0</v>
      </c>
      <c r="M151" s="218">
        <v>0</v>
      </c>
      <c r="N151" s="218">
        <v>0</v>
      </c>
      <c r="O151" s="217">
        <v>0</v>
      </c>
      <c r="P151" s="218">
        <f t="shared" si="61"/>
        <v>0</v>
      </c>
      <c r="Q151" s="218">
        <v>0</v>
      </c>
      <c r="R151" s="218">
        <v>0</v>
      </c>
      <c r="S151" s="218">
        <v>0</v>
      </c>
      <c r="T151" s="217">
        <v>0</v>
      </c>
      <c r="U151" s="218">
        <v>0</v>
      </c>
      <c r="V151" s="218">
        <v>0</v>
      </c>
      <c r="W151" s="218">
        <v>0</v>
      </c>
      <c r="X151" s="218">
        <v>0</v>
      </c>
      <c r="Y151" s="217">
        <v>0</v>
      </c>
      <c r="Z151" s="218">
        <v>0</v>
      </c>
      <c r="AA151" s="218">
        <v>0</v>
      </c>
      <c r="AB151" s="218">
        <v>0</v>
      </c>
      <c r="AC151" s="218">
        <v>0</v>
      </c>
      <c r="AD151" s="221"/>
    </row>
    <row r="152" spans="1:30" s="15" customFormat="1" ht="82.9" customHeight="1" outlineLevel="1" x14ac:dyDescent="0.2">
      <c r="A152" s="232" t="s">
        <v>1174</v>
      </c>
      <c r="B152" s="231" t="s">
        <v>353</v>
      </c>
      <c r="C152" s="342">
        <f t="shared" si="59"/>
        <v>0</v>
      </c>
      <c r="D152" s="232">
        <f t="shared" si="54"/>
        <v>413</v>
      </c>
      <c r="E152" s="195">
        <v>0</v>
      </c>
      <c r="F152" s="229">
        <f t="shared" si="60"/>
        <v>413</v>
      </c>
      <c r="G152" s="229">
        <v>0</v>
      </c>
      <c r="H152" s="196">
        <v>393</v>
      </c>
      <c r="I152" s="196">
        <v>20</v>
      </c>
      <c r="J152" s="342">
        <v>0</v>
      </c>
      <c r="K152" s="218">
        <v>0</v>
      </c>
      <c r="L152" s="218">
        <v>0</v>
      </c>
      <c r="M152" s="218">
        <v>0</v>
      </c>
      <c r="N152" s="218">
        <v>0</v>
      </c>
      <c r="O152" s="217">
        <v>0</v>
      </c>
      <c r="P152" s="218">
        <f t="shared" si="61"/>
        <v>0</v>
      </c>
      <c r="Q152" s="218">
        <v>0</v>
      </c>
      <c r="R152" s="218">
        <v>0</v>
      </c>
      <c r="S152" s="218">
        <v>0</v>
      </c>
      <c r="T152" s="217">
        <v>0</v>
      </c>
      <c r="U152" s="218">
        <v>0</v>
      </c>
      <c r="V152" s="218">
        <v>0</v>
      </c>
      <c r="W152" s="218">
        <v>0</v>
      </c>
      <c r="X152" s="218">
        <v>0</v>
      </c>
      <c r="Y152" s="217">
        <v>0</v>
      </c>
      <c r="Z152" s="218">
        <v>0</v>
      </c>
      <c r="AA152" s="218">
        <v>0</v>
      </c>
      <c r="AB152" s="218">
        <v>0</v>
      </c>
      <c r="AC152" s="218">
        <v>0</v>
      </c>
      <c r="AD152" s="221"/>
    </row>
    <row r="153" spans="1:30" s="15" customFormat="1" ht="84" customHeight="1" outlineLevel="1" x14ac:dyDescent="0.2">
      <c r="A153" s="232" t="s">
        <v>1175</v>
      </c>
      <c r="B153" s="231" t="s">
        <v>275</v>
      </c>
      <c r="C153" s="342">
        <f t="shared" si="59"/>
        <v>0</v>
      </c>
      <c r="D153" s="232">
        <f t="shared" si="54"/>
        <v>1112</v>
      </c>
      <c r="E153" s="195">
        <v>0</v>
      </c>
      <c r="F153" s="229">
        <f t="shared" si="60"/>
        <v>1112</v>
      </c>
      <c r="G153" s="229">
        <v>0</v>
      </c>
      <c r="H153" s="196">
        <v>1059</v>
      </c>
      <c r="I153" s="196">
        <v>53</v>
      </c>
      <c r="J153" s="342">
        <v>0</v>
      </c>
      <c r="K153" s="218">
        <v>0</v>
      </c>
      <c r="L153" s="218">
        <v>0</v>
      </c>
      <c r="M153" s="218">
        <v>0</v>
      </c>
      <c r="N153" s="218">
        <v>0</v>
      </c>
      <c r="O153" s="217">
        <v>0</v>
      </c>
      <c r="P153" s="218">
        <f t="shared" si="61"/>
        <v>0</v>
      </c>
      <c r="Q153" s="218">
        <v>0</v>
      </c>
      <c r="R153" s="218">
        <v>0</v>
      </c>
      <c r="S153" s="218">
        <v>0</v>
      </c>
      <c r="T153" s="217">
        <v>0</v>
      </c>
      <c r="U153" s="218">
        <v>0</v>
      </c>
      <c r="V153" s="218">
        <v>0</v>
      </c>
      <c r="W153" s="218">
        <v>0</v>
      </c>
      <c r="X153" s="218">
        <v>0</v>
      </c>
      <c r="Y153" s="217">
        <v>0</v>
      </c>
      <c r="Z153" s="218">
        <v>0</v>
      </c>
      <c r="AA153" s="218">
        <v>0</v>
      </c>
      <c r="AB153" s="218">
        <v>0</v>
      </c>
      <c r="AC153" s="218">
        <v>0</v>
      </c>
      <c r="AD153" s="221"/>
    </row>
    <row r="154" spans="1:30" s="15" customFormat="1" ht="67.900000000000006" customHeight="1" outlineLevel="1" x14ac:dyDescent="0.2">
      <c r="A154" s="232" t="s">
        <v>1176</v>
      </c>
      <c r="B154" s="231" t="s">
        <v>662</v>
      </c>
      <c r="C154" s="342">
        <f t="shared" si="59"/>
        <v>0</v>
      </c>
      <c r="D154" s="232">
        <f t="shared" si="54"/>
        <v>340</v>
      </c>
      <c r="E154" s="195">
        <v>0</v>
      </c>
      <c r="F154" s="229">
        <f t="shared" si="60"/>
        <v>340</v>
      </c>
      <c r="G154" s="229">
        <v>0</v>
      </c>
      <c r="H154" s="196">
        <v>324</v>
      </c>
      <c r="I154" s="196">
        <v>16</v>
      </c>
      <c r="J154" s="342">
        <v>0</v>
      </c>
      <c r="K154" s="218">
        <v>0</v>
      </c>
      <c r="L154" s="218">
        <v>0</v>
      </c>
      <c r="M154" s="218">
        <v>0</v>
      </c>
      <c r="N154" s="218">
        <v>0</v>
      </c>
      <c r="O154" s="217">
        <v>0</v>
      </c>
      <c r="P154" s="218">
        <f t="shared" si="61"/>
        <v>0</v>
      </c>
      <c r="Q154" s="218">
        <v>0</v>
      </c>
      <c r="R154" s="218">
        <v>0</v>
      </c>
      <c r="S154" s="218">
        <v>0</v>
      </c>
      <c r="T154" s="217">
        <v>0</v>
      </c>
      <c r="U154" s="218">
        <v>0</v>
      </c>
      <c r="V154" s="218">
        <v>0</v>
      </c>
      <c r="W154" s="218">
        <v>0</v>
      </c>
      <c r="X154" s="218">
        <v>0</v>
      </c>
      <c r="Y154" s="217">
        <v>0</v>
      </c>
      <c r="Z154" s="218">
        <v>0</v>
      </c>
      <c r="AA154" s="218">
        <v>0</v>
      </c>
      <c r="AB154" s="218">
        <v>0</v>
      </c>
      <c r="AC154" s="218">
        <v>0</v>
      </c>
      <c r="AD154" s="221"/>
    </row>
    <row r="155" spans="1:30" s="15" customFormat="1" ht="76.900000000000006" customHeight="1" outlineLevel="1" x14ac:dyDescent="0.2">
      <c r="A155" s="232" t="s">
        <v>1177</v>
      </c>
      <c r="B155" s="231" t="s">
        <v>276</v>
      </c>
      <c r="C155" s="342">
        <f t="shared" si="59"/>
        <v>0</v>
      </c>
      <c r="D155" s="232">
        <f t="shared" si="54"/>
        <v>1050</v>
      </c>
      <c r="E155" s="195">
        <v>0</v>
      </c>
      <c r="F155" s="229">
        <f t="shared" si="60"/>
        <v>1050</v>
      </c>
      <c r="G155" s="229">
        <v>0</v>
      </c>
      <c r="H155" s="196">
        <v>1000</v>
      </c>
      <c r="I155" s="196">
        <v>50</v>
      </c>
      <c r="J155" s="342">
        <v>0</v>
      </c>
      <c r="K155" s="218">
        <v>0</v>
      </c>
      <c r="L155" s="218">
        <v>0</v>
      </c>
      <c r="M155" s="218">
        <v>0</v>
      </c>
      <c r="N155" s="218">
        <v>0</v>
      </c>
      <c r="O155" s="217">
        <v>0</v>
      </c>
      <c r="P155" s="218">
        <f t="shared" si="61"/>
        <v>0</v>
      </c>
      <c r="Q155" s="218">
        <v>0</v>
      </c>
      <c r="R155" s="218">
        <v>0</v>
      </c>
      <c r="S155" s="218">
        <v>0</v>
      </c>
      <c r="T155" s="217">
        <v>0</v>
      </c>
      <c r="U155" s="218">
        <v>0</v>
      </c>
      <c r="V155" s="218">
        <v>0</v>
      </c>
      <c r="W155" s="218">
        <v>0</v>
      </c>
      <c r="X155" s="218">
        <v>0</v>
      </c>
      <c r="Y155" s="217">
        <v>0</v>
      </c>
      <c r="Z155" s="218">
        <v>0</v>
      </c>
      <c r="AA155" s="218">
        <v>0</v>
      </c>
      <c r="AB155" s="218">
        <v>0</v>
      </c>
      <c r="AC155" s="218">
        <v>0</v>
      </c>
      <c r="AD155" s="221"/>
    </row>
    <row r="156" spans="1:30" s="15" customFormat="1" ht="60" customHeight="1" outlineLevel="1" x14ac:dyDescent="0.2">
      <c r="A156" s="232" t="s">
        <v>1178</v>
      </c>
      <c r="B156" s="231" t="s">
        <v>663</v>
      </c>
      <c r="C156" s="342">
        <f t="shared" si="59"/>
        <v>0</v>
      </c>
      <c r="D156" s="232">
        <f t="shared" si="54"/>
        <v>452</v>
      </c>
      <c r="E156" s="195">
        <v>0</v>
      </c>
      <c r="F156" s="229">
        <f t="shared" si="60"/>
        <v>452</v>
      </c>
      <c r="G156" s="229">
        <v>0</v>
      </c>
      <c r="H156" s="196">
        <v>430</v>
      </c>
      <c r="I156" s="196">
        <v>22</v>
      </c>
      <c r="J156" s="342">
        <v>0</v>
      </c>
      <c r="K156" s="218">
        <v>0</v>
      </c>
      <c r="L156" s="218">
        <v>0</v>
      </c>
      <c r="M156" s="218">
        <v>0</v>
      </c>
      <c r="N156" s="218">
        <v>0</v>
      </c>
      <c r="O156" s="217">
        <v>0</v>
      </c>
      <c r="P156" s="218">
        <f t="shared" si="61"/>
        <v>0</v>
      </c>
      <c r="Q156" s="218">
        <v>0</v>
      </c>
      <c r="R156" s="218">
        <v>0</v>
      </c>
      <c r="S156" s="218">
        <v>0</v>
      </c>
      <c r="T156" s="217">
        <v>0</v>
      </c>
      <c r="U156" s="218">
        <v>0</v>
      </c>
      <c r="V156" s="218">
        <v>0</v>
      </c>
      <c r="W156" s="218">
        <v>0</v>
      </c>
      <c r="X156" s="218">
        <v>0</v>
      </c>
      <c r="Y156" s="217">
        <v>0</v>
      </c>
      <c r="Z156" s="218">
        <v>0</v>
      </c>
      <c r="AA156" s="218">
        <v>0</v>
      </c>
      <c r="AB156" s="218">
        <v>0</v>
      </c>
      <c r="AC156" s="218">
        <v>0</v>
      </c>
      <c r="AD156" s="221"/>
    </row>
    <row r="157" spans="1:30" s="15" customFormat="1" ht="63" customHeight="1" outlineLevel="1" x14ac:dyDescent="0.2">
      <c r="A157" s="232" t="s">
        <v>1179</v>
      </c>
      <c r="B157" s="231" t="s">
        <v>664</v>
      </c>
      <c r="C157" s="342">
        <f t="shared" si="59"/>
        <v>0</v>
      </c>
      <c r="D157" s="232">
        <f t="shared" si="54"/>
        <v>697</v>
      </c>
      <c r="E157" s="195">
        <v>0</v>
      </c>
      <c r="F157" s="229">
        <f t="shared" si="60"/>
        <v>697</v>
      </c>
      <c r="G157" s="229">
        <v>0</v>
      </c>
      <c r="H157" s="196">
        <v>664</v>
      </c>
      <c r="I157" s="196">
        <v>33</v>
      </c>
      <c r="J157" s="342">
        <v>0</v>
      </c>
      <c r="K157" s="218">
        <v>0</v>
      </c>
      <c r="L157" s="218">
        <v>0</v>
      </c>
      <c r="M157" s="218">
        <v>0</v>
      </c>
      <c r="N157" s="218">
        <v>0</v>
      </c>
      <c r="O157" s="217">
        <v>0</v>
      </c>
      <c r="P157" s="218">
        <f t="shared" si="61"/>
        <v>0</v>
      </c>
      <c r="Q157" s="218">
        <v>0</v>
      </c>
      <c r="R157" s="218">
        <v>0</v>
      </c>
      <c r="S157" s="218">
        <v>0</v>
      </c>
      <c r="T157" s="217">
        <v>0</v>
      </c>
      <c r="U157" s="218">
        <v>0</v>
      </c>
      <c r="V157" s="218">
        <v>0</v>
      </c>
      <c r="W157" s="218">
        <v>0</v>
      </c>
      <c r="X157" s="218">
        <v>0</v>
      </c>
      <c r="Y157" s="217">
        <v>0</v>
      </c>
      <c r="Z157" s="218">
        <v>0</v>
      </c>
      <c r="AA157" s="218">
        <v>0</v>
      </c>
      <c r="AB157" s="218">
        <v>0</v>
      </c>
      <c r="AC157" s="218">
        <v>0</v>
      </c>
      <c r="AD157" s="221"/>
    </row>
    <row r="158" spans="1:30" s="15" customFormat="1" ht="91.9" customHeight="1" outlineLevel="1" x14ac:dyDescent="0.2">
      <c r="A158" s="232" t="s">
        <v>1180</v>
      </c>
      <c r="B158" s="231" t="s">
        <v>347</v>
      </c>
      <c r="C158" s="342">
        <f t="shared" si="59"/>
        <v>0</v>
      </c>
      <c r="D158" s="232">
        <f t="shared" si="54"/>
        <v>461</v>
      </c>
      <c r="E158" s="195">
        <v>0</v>
      </c>
      <c r="F158" s="229">
        <f t="shared" si="60"/>
        <v>461</v>
      </c>
      <c r="G158" s="229">
        <v>0</v>
      </c>
      <c r="H158" s="196">
        <v>439</v>
      </c>
      <c r="I158" s="196">
        <v>22</v>
      </c>
      <c r="J158" s="342">
        <v>0</v>
      </c>
      <c r="K158" s="218">
        <v>0</v>
      </c>
      <c r="L158" s="218">
        <v>0</v>
      </c>
      <c r="M158" s="218">
        <v>0</v>
      </c>
      <c r="N158" s="218">
        <v>0</v>
      </c>
      <c r="O158" s="217">
        <v>0</v>
      </c>
      <c r="P158" s="218">
        <f t="shared" si="61"/>
        <v>0</v>
      </c>
      <c r="Q158" s="218">
        <v>0</v>
      </c>
      <c r="R158" s="218">
        <v>0</v>
      </c>
      <c r="S158" s="218">
        <v>0</v>
      </c>
      <c r="T158" s="217">
        <v>0</v>
      </c>
      <c r="U158" s="218">
        <v>0</v>
      </c>
      <c r="V158" s="218">
        <v>0</v>
      </c>
      <c r="W158" s="218">
        <v>0</v>
      </c>
      <c r="X158" s="218">
        <v>0</v>
      </c>
      <c r="Y158" s="217">
        <v>0</v>
      </c>
      <c r="Z158" s="218">
        <v>0</v>
      </c>
      <c r="AA158" s="218">
        <v>0</v>
      </c>
      <c r="AB158" s="218">
        <v>0</v>
      </c>
      <c r="AC158" s="218">
        <v>0</v>
      </c>
      <c r="AD158" s="221"/>
    </row>
    <row r="159" spans="1:30" s="15" customFormat="1" ht="54.75" customHeight="1" outlineLevel="1" x14ac:dyDescent="0.2">
      <c r="A159" s="232" t="s">
        <v>1181</v>
      </c>
      <c r="B159" s="231" t="s">
        <v>348</v>
      </c>
      <c r="C159" s="342">
        <f t="shared" si="59"/>
        <v>0</v>
      </c>
      <c r="D159" s="232">
        <f t="shared" si="54"/>
        <v>286</v>
      </c>
      <c r="E159" s="195">
        <v>0</v>
      </c>
      <c r="F159" s="229">
        <f t="shared" si="60"/>
        <v>286</v>
      </c>
      <c r="G159" s="229">
        <v>0</v>
      </c>
      <c r="H159" s="196">
        <v>272</v>
      </c>
      <c r="I159" s="196">
        <v>14</v>
      </c>
      <c r="J159" s="342">
        <v>0</v>
      </c>
      <c r="K159" s="218">
        <v>0</v>
      </c>
      <c r="L159" s="218">
        <v>0</v>
      </c>
      <c r="M159" s="218">
        <v>0</v>
      </c>
      <c r="N159" s="218">
        <v>0</v>
      </c>
      <c r="O159" s="217">
        <v>0</v>
      </c>
      <c r="P159" s="218">
        <f t="shared" si="61"/>
        <v>0</v>
      </c>
      <c r="Q159" s="218">
        <v>0</v>
      </c>
      <c r="R159" s="218">
        <v>0</v>
      </c>
      <c r="S159" s="218">
        <v>0</v>
      </c>
      <c r="T159" s="217">
        <v>0</v>
      </c>
      <c r="U159" s="218">
        <v>0</v>
      </c>
      <c r="V159" s="218">
        <v>0</v>
      </c>
      <c r="W159" s="218">
        <v>0</v>
      </c>
      <c r="X159" s="218">
        <v>0</v>
      </c>
      <c r="Y159" s="217">
        <v>0</v>
      </c>
      <c r="Z159" s="218">
        <v>0</v>
      </c>
      <c r="AA159" s="218">
        <v>0</v>
      </c>
      <c r="AB159" s="218">
        <v>0</v>
      </c>
      <c r="AC159" s="218">
        <v>0</v>
      </c>
      <c r="AD159" s="221"/>
    </row>
    <row r="160" spans="1:30" s="15" customFormat="1" ht="99" customHeight="1" outlineLevel="1" x14ac:dyDescent="0.2">
      <c r="A160" s="232" t="s">
        <v>1182</v>
      </c>
      <c r="B160" s="231" t="s">
        <v>349</v>
      </c>
      <c r="C160" s="342">
        <f t="shared" si="59"/>
        <v>0</v>
      </c>
      <c r="D160" s="232">
        <f t="shared" si="54"/>
        <v>1349</v>
      </c>
      <c r="E160" s="195">
        <v>0</v>
      </c>
      <c r="F160" s="229">
        <f t="shared" si="60"/>
        <v>1349</v>
      </c>
      <c r="G160" s="229">
        <v>0</v>
      </c>
      <c r="H160" s="196">
        <v>1284</v>
      </c>
      <c r="I160" s="196">
        <v>65</v>
      </c>
      <c r="J160" s="342">
        <v>0</v>
      </c>
      <c r="K160" s="218">
        <v>0</v>
      </c>
      <c r="L160" s="218">
        <v>0</v>
      </c>
      <c r="M160" s="218">
        <v>0</v>
      </c>
      <c r="N160" s="218">
        <v>0</v>
      </c>
      <c r="O160" s="217">
        <v>0</v>
      </c>
      <c r="P160" s="218">
        <f t="shared" si="61"/>
        <v>0</v>
      </c>
      <c r="Q160" s="218">
        <v>0</v>
      </c>
      <c r="R160" s="218">
        <v>0</v>
      </c>
      <c r="S160" s="218">
        <v>0</v>
      </c>
      <c r="T160" s="217">
        <v>0</v>
      </c>
      <c r="U160" s="218">
        <v>0</v>
      </c>
      <c r="V160" s="218">
        <v>0</v>
      </c>
      <c r="W160" s="218">
        <v>0</v>
      </c>
      <c r="X160" s="218">
        <v>0</v>
      </c>
      <c r="Y160" s="217">
        <v>0</v>
      </c>
      <c r="Z160" s="218">
        <v>0</v>
      </c>
      <c r="AA160" s="218">
        <v>0</v>
      </c>
      <c r="AB160" s="218">
        <v>0</v>
      </c>
      <c r="AC160" s="218">
        <v>0</v>
      </c>
      <c r="AD160" s="221"/>
    </row>
    <row r="161" spans="1:30" s="15" customFormat="1" ht="69" customHeight="1" outlineLevel="1" x14ac:dyDescent="0.2">
      <c r="A161" s="232" t="s">
        <v>1183</v>
      </c>
      <c r="B161" s="231" t="s">
        <v>277</v>
      </c>
      <c r="C161" s="342">
        <f t="shared" si="59"/>
        <v>0</v>
      </c>
      <c r="D161" s="232">
        <f t="shared" si="54"/>
        <v>142</v>
      </c>
      <c r="E161" s="195">
        <v>0</v>
      </c>
      <c r="F161" s="229">
        <f t="shared" si="60"/>
        <v>142</v>
      </c>
      <c r="G161" s="229">
        <v>0</v>
      </c>
      <c r="H161" s="196">
        <v>135</v>
      </c>
      <c r="I161" s="196">
        <v>7</v>
      </c>
      <c r="J161" s="342">
        <v>0</v>
      </c>
      <c r="K161" s="218">
        <v>0</v>
      </c>
      <c r="L161" s="218">
        <v>0</v>
      </c>
      <c r="M161" s="218">
        <v>0</v>
      </c>
      <c r="N161" s="218">
        <v>0</v>
      </c>
      <c r="O161" s="217">
        <v>0</v>
      </c>
      <c r="P161" s="218">
        <f t="shared" si="61"/>
        <v>0</v>
      </c>
      <c r="Q161" s="218">
        <v>0</v>
      </c>
      <c r="R161" s="218">
        <v>0</v>
      </c>
      <c r="S161" s="218">
        <v>0</v>
      </c>
      <c r="T161" s="217">
        <v>0</v>
      </c>
      <c r="U161" s="218">
        <v>0</v>
      </c>
      <c r="V161" s="218">
        <v>0</v>
      </c>
      <c r="W161" s="218">
        <v>0</v>
      </c>
      <c r="X161" s="218">
        <v>0</v>
      </c>
      <c r="Y161" s="217">
        <v>0</v>
      </c>
      <c r="Z161" s="218">
        <v>0</v>
      </c>
      <c r="AA161" s="218">
        <v>0</v>
      </c>
      <c r="AB161" s="218">
        <v>0</v>
      </c>
      <c r="AC161" s="218">
        <v>0</v>
      </c>
      <c r="AD161" s="221"/>
    </row>
    <row r="162" spans="1:30" s="15" customFormat="1" ht="76.900000000000006" customHeight="1" outlineLevel="1" x14ac:dyDescent="0.2">
      <c r="A162" s="232" t="s">
        <v>1184</v>
      </c>
      <c r="B162" s="231" t="s">
        <v>665</v>
      </c>
      <c r="C162" s="342">
        <f t="shared" si="59"/>
        <v>0</v>
      </c>
      <c r="D162" s="232">
        <f t="shared" si="54"/>
        <v>3782</v>
      </c>
      <c r="E162" s="195">
        <v>0</v>
      </c>
      <c r="F162" s="229">
        <f>G162+H162+I162</f>
        <v>3782</v>
      </c>
      <c r="G162" s="229">
        <v>0</v>
      </c>
      <c r="H162" s="196">
        <v>3601</v>
      </c>
      <c r="I162" s="196">
        <v>181</v>
      </c>
      <c r="J162" s="342">
        <v>0</v>
      </c>
      <c r="K162" s="218">
        <v>0</v>
      </c>
      <c r="L162" s="218">
        <v>0</v>
      </c>
      <c r="M162" s="218">
        <v>0</v>
      </c>
      <c r="N162" s="218">
        <v>0</v>
      </c>
      <c r="O162" s="217">
        <v>0</v>
      </c>
      <c r="P162" s="218">
        <f t="shared" si="61"/>
        <v>0</v>
      </c>
      <c r="Q162" s="218">
        <v>0</v>
      </c>
      <c r="R162" s="218">
        <v>0</v>
      </c>
      <c r="S162" s="218">
        <v>0</v>
      </c>
      <c r="T162" s="217">
        <v>0</v>
      </c>
      <c r="U162" s="218">
        <v>0</v>
      </c>
      <c r="V162" s="218">
        <v>0</v>
      </c>
      <c r="W162" s="218">
        <v>0</v>
      </c>
      <c r="X162" s="218">
        <v>0</v>
      </c>
      <c r="Y162" s="217">
        <v>0</v>
      </c>
      <c r="Z162" s="218">
        <v>0</v>
      </c>
      <c r="AA162" s="218">
        <v>0</v>
      </c>
      <c r="AB162" s="218">
        <v>0</v>
      </c>
      <c r="AC162" s="218">
        <v>0</v>
      </c>
      <c r="AD162" s="221"/>
    </row>
    <row r="163" spans="1:30" s="15" customFormat="1" ht="75" customHeight="1" outlineLevel="1" x14ac:dyDescent="0.2">
      <c r="A163" s="232" t="s">
        <v>1185</v>
      </c>
      <c r="B163" s="231" t="s">
        <v>666</v>
      </c>
      <c r="C163" s="342">
        <f t="shared" si="59"/>
        <v>0</v>
      </c>
      <c r="D163" s="232">
        <f t="shared" si="54"/>
        <v>3661</v>
      </c>
      <c r="E163" s="195">
        <v>0</v>
      </c>
      <c r="F163" s="229">
        <f t="shared" si="60"/>
        <v>3661</v>
      </c>
      <c r="G163" s="229">
        <v>0</v>
      </c>
      <c r="H163" s="196">
        <v>3485</v>
      </c>
      <c r="I163" s="196">
        <v>176</v>
      </c>
      <c r="J163" s="342">
        <v>0</v>
      </c>
      <c r="K163" s="218">
        <v>0</v>
      </c>
      <c r="L163" s="218">
        <v>0</v>
      </c>
      <c r="M163" s="218">
        <v>0</v>
      </c>
      <c r="N163" s="218">
        <v>0</v>
      </c>
      <c r="O163" s="217">
        <v>0</v>
      </c>
      <c r="P163" s="218">
        <f t="shared" si="61"/>
        <v>0</v>
      </c>
      <c r="Q163" s="218">
        <v>0</v>
      </c>
      <c r="R163" s="218">
        <v>0</v>
      </c>
      <c r="S163" s="218">
        <v>0</v>
      </c>
      <c r="T163" s="217">
        <v>0</v>
      </c>
      <c r="U163" s="218">
        <v>0</v>
      </c>
      <c r="V163" s="218">
        <v>0</v>
      </c>
      <c r="W163" s="218">
        <v>0</v>
      </c>
      <c r="X163" s="218">
        <v>0</v>
      </c>
      <c r="Y163" s="217">
        <v>0</v>
      </c>
      <c r="Z163" s="218">
        <v>0</v>
      </c>
      <c r="AA163" s="218">
        <v>0</v>
      </c>
      <c r="AB163" s="218">
        <v>0</v>
      </c>
      <c r="AC163" s="218">
        <v>0</v>
      </c>
      <c r="AD163" s="221"/>
    </row>
    <row r="164" spans="1:30" s="15" customFormat="1" ht="81" customHeight="1" outlineLevel="1" x14ac:dyDescent="0.2">
      <c r="A164" s="232" t="s">
        <v>1186</v>
      </c>
      <c r="B164" s="231" t="s">
        <v>350</v>
      </c>
      <c r="C164" s="342">
        <f t="shared" si="59"/>
        <v>0</v>
      </c>
      <c r="D164" s="232">
        <f t="shared" si="54"/>
        <v>1132</v>
      </c>
      <c r="E164" s="195">
        <v>0</v>
      </c>
      <c r="F164" s="229">
        <f t="shared" si="60"/>
        <v>1132</v>
      </c>
      <c r="G164" s="229">
        <v>0</v>
      </c>
      <c r="H164" s="196">
        <v>1078</v>
      </c>
      <c r="I164" s="196">
        <v>54</v>
      </c>
      <c r="J164" s="342">
        <v>0</v>
      </c>
      <c r="K164" s="218">
        <v>0</v>
      </c>
      <c r="L164" s="218">
        <v>0</v>
      </c>
      <c r="M164" s="218">
        <v>0</v>
      </c>
      <c r="N164" s="218">
        <v>0</v>
      </c>
      <c r="O164" s="217">
        <v>0</v>
      </c>
      <c r="P164" s="218">
        <f t="shared" si="61"/>
        <v>0</v>
      </c>
      <c r="Q164" s="218">
        <v>0</v>
      </c>
      <c r="R164" s="218">
        <v>0</v>
      </c>
      <c r="S164" s="218">
        <v>0</v>
      </c>
      <c r="T164" s="217">
        <v>0</v>
      </c>
      <c r="U164" s="218">
        <v>0</v>
      </c>
      <c r="V164" s="218">
        <v>0</v>
      </c>
      <c r="W164" s="218">
        <v>0</v>
      </c>
      <c r="X164" s="218">
        <v>0</v>
      </c>
      <c r="Y164" s="217">
        <v>0</v>
      </c>
      <c r="Z164" s="218">
        <v>0</v>
      </c>
      <c r="AA164" s="218">
        <v>0</v>
      </c>
      <c r="AB164" s="218">
        <v>0</v>
      </c>
      <c r="AC164" s="218">
        <v>0</v>
      </c>
      <c r="AD164" s="221"/>
    </row>
    <row r="165" spans="1:30" s="15" customFormat="1" ht="69.599999999999994" customHeight="1" outlineLevel="1" x14ac:dyDescent="0.2">
      <c r="A165" s="232" t="s">
        <v>1187</v>
      </c>
      <c r="B165" s="231" t="s">
        <v>667</v>
      </c>
      <c r="C165" s="342">
        <f t="shared" si="59"/>
        <v>0</v>
      </c>
      <c r="D165" s="232">
        <f t="shared" si="54"/>
        <v>1475</v>
      </c>
      <c r="E165" s="195">
        <v>0</v>
      </c>
      <c r="F165" s="229">
        <f>G165+H165+I165</f>
        <v>1475</v>
      </c>
      <c r="G165" s="229">
        <v>0</v>
      </c>
      <c r="H165" s="196">
        <v>1404</v>
      </c>
      <c r="I165" s="196">
        <v>71</v>
      </c>
      <c r="J165" s="342">
        <v>0</v>
      </c>
      <c r="K165" s="218">
        <v>0</v>
      </c>
      <c r="L165" s="218">
        <v>0</v>
      </c>
      <c r="M165" s="218">
        <v>0</v>
      </c>
      <c r="N165" s="218">
        <v>0</v>
      </c>
      <c r="O165" s="217">
        <v>0</v>
      </c>
      <c r="P165" s="218">
        <f t="shared" si="61"/>
        <v>0</v>
      </c>
      <c r="Q165" s="218">
        <v>0</v>
      </c>
      <c r="R165" s="218">
        <v>0</v>
      </c>
      <c r="S165" s="218">
        <v>0</v>
      </c>
      <c r="T165" s="217">
        <v>0</v>
      </c>
      <c r="U165" s="218">
        <v>0</v>
      </c>
      <c r="V165" s="218">
        <v>0</v>
      </c>
      <c r="W165" s="218">
        <v>0</v>
      </c>
      <c r="X165" s="218">
        <v>0</v>
      </c>
      <c r="Y165" s="217">
        <v>0</v>
      </c>
      <c r="Z165" s="218">
        <v>0</v>
      </c>
      <c r="AA165" s="218">
        <v>0</v>
      </c>
      <c r="AB165" s="218">
        <v>0</v>
      </c>
      <c r="AC165" s="218">
        <v>0</v>
      </c>
      <c r="AD165" s="221"/>
    </row>
    <row r="166" spans="1:30" s="15" customFormat="1" ht="57" customHeight="1" outlineLevel="1" x14ac:dyDescent="0.2">
      <c r="A166" s="232" t="s">
        <v>1188</v>
      </c>
      <c r="B166" s="231" t="s">
        <v>278</v>
      </c>
      <c r="C166" s="342">
        <f t="shared" si="59"/>
        <v>0</v>
      </c>
      <c r="D166" s="232">
        <f t="shared" si="54"/>
        <v>1148</v>
      </c>
      <c r="E166" s="195">
        <v>0</v>
      </c>
      <c r="F166" s="229">
        <f>G166+H166+I166</f>
        <v>1148</v>
      </c>
      <c r="G166" s="229">
        <v>0</v>
      </c>
      <c r="H166" s="196">
        <v>1093</v>
      </c>
      <c r="I166" s="196">
        <v>55</v>
      </c>
      <c r="J166" s="342">
        <v>0</v>
      </c>
      <c r="K166" s="218">
        <v>0</v>
      </c>
      <c r="L166" s="218">
        <v>0</v>
      </c>
      <c r="M166" s="218">
        <v>0</v>
      </c>
      <c r="N166" s="218">
        <v>0</v>
      </c>
      <c r="O166" s="217">
        <v>0</v>
      </c>
      <c r="P166" s="218">
        <f t="shared" si="61"/>
        <v>0</v>
      </c>
      <c r="Q166" s="218">
        <v>0</v>
      </c>
      <c r="R166" s="218">
        <v>0</v>
      </c>
      <c r="S166" s="218">
        <v>0</v>
      </c>
      <c r="T166" s="217">
        <v>0</v>
      </c>
      <c r="U166" s="218">
        <v>0</v>
      </c>
      <c r="V166" s="218">
        <v>0</v>
      </c>
      <c r="W166" s="218">
        <v>0</v>
      </c>
      <c r="X166" s="218">
        <v>0</v>
      </c>
      <c r="Y166" s="217">
        <v>0</v>
      </c>
      <c r="Z166" s="218">
        <v>0</v>
      </c>
      <c r="AA166" s="218">
        <v>0</v>
      </c>
      <c r="AB166" s="218">
        <v>0</v>
      </c>
      <c r="AC166" s="218">
        <v>0</v>
      </c>
      <c r="AD166" s="221"/>
    </row>
    <row r="167" spans="1:30" s="15" customFormat="1" ht="63" customHeight="1" outlineLevel="1" x14ac:dyDescent="0.2">
      <c r="A167" s="232" t="s">
        <v>1189</v>
      </c>
      <c r="B167" s="231" t="s">
        <v>351</v>
      </c>
      <c r="C167" s="342">
        <f t="shared" si="59"/>
        <v>0</v>
      </c>
      <c r="D167" s="232">
        <f t="shared" si="54"/>
        <v>828</v>
      </c>
      <c r="E167" s="195">
        <v>0</v>
      </c>
      <c r="F167" s="229">
        <f t="shared" si="60"/>
        <v>828</v>
      </c>
      <c r="G167" s="229">
        <v>0</v>
      </c>
      <c r="H167" s="196">
        <v>788</v>
      </c>
      <c r="I167" s="196">
        <v>40</v>
      </c>
      <c r="J167" s="342">
        <v>0</v>
      </c>
      <c r="K167" s="218">
        <v>0</v>
      </c>
      <c r="L167" s="218">
        <v>0</v>
      </c>
      <c r="M167" s="218">
        <v>0</v>
      </c>
      <c r="N167" s="218">
        <v>0</v>
      </c>
      <c r="O167" s="217">
        <v>0</v>
      </c>
      <c r="P167" s="218">
        <f t="shared" si="61"/>
        <v>0</v>
      </c>
      <c r="Q167" s="218">
        <v>0</v>
      </c>
      <c r="R167" s="218">
        <v>0</v>
      </c>
      <c r="S167" s="218">
        <v>0</v>
      </c>
      <c r="T167" s="217">
        <v>0</v>
      </c>
      <c r="U167" s="218">
        <v>0</v>
      </c>
      <c r="V167" s="218">
        <v>0</v>
      </c>
      <c r="W167" s="218">
        <v>0</v>
      </c>
      <c r="X167" s="218">
        <v>0</v>
      </c>
      <c r="Y167" s="217">
        <v>0</v>
      </c>
      <c r="Z167" s="218">
        <v>0</v>
      </c>
      <c r="AA167" s="218">
        <v>0</v>
      </c>
      <c r="AB167" s="218">
        <v>0</v>
      </c>
      <c r="AC167" s="218">
        <v>0</v>
      </c>
      <c r="AD167" s="221"/>
    </row>
    <row r="168" spans="1:30" s="15" customFormat="1" ht="115.9" customHeight="1" outlineLevel="1" x14ac:dyDescent="0.2">
      <c r="A168" s="232" t="s">
        <v>1190</v>
      </c>
      <c r="B168" s="231" t="s">
        <v>279</v>
      </c>
      <c r="C168" s="342">
        <f t="shared" si="59"/>
        <v>0</v>
      </c>
      <c r="D168" s="232">
        <f t="shared" si="54"/>
        <v>5055</v>
      </c>
      <c r="E168" s="195">
        <v>0</v>
      </c>
      <c r="F168" s="229">
        <f t="shared" si="60"/>
        <v>5055</v>
      </c>
      <c r="G168" s="229">
        <v>0</v>
      </c>
      <c r="H168" s="196">
        <v>4812</v>
      </c>
      <c r="I168" s="196">
        <v>243</v>
      </c>
      <c r="J168" s="342">
        <v>0</v>
      </c>
      <c r="K168" s="218">
        <v>0</v>
      </c>
      <c r="L168" s="218">
        <v>0</v>
      </c>
      <c r="M168" s="218">
        <v>0</v>
      </c>
      <c r="N168" s="218">
        <v>0</v>
      </c>
      <c r="O168" s="217">
        <v>0</v>
      </c>
      <c r="P168" s="218">
        <f t="shared" si="61"/>
        <v>0</v>
      </c>
      <c r="Q168" s="218">
        <v>0</v>
      </c>
      <c r="R168" s="218">
        <v>0</v>
      </c>
      <c r="S168" s="218">
        <v>0</v>
      </c>
      <c r="T168" s="217">
        <v>0</v>
      </c>
      <c r="U168" s="218">
        <v>0</v>
      </c>
      <c r="V168" s="218">
        <v>0</v>
      </c>
      <c r="W168" s="218">
        <v>0</v>
      </c>
      <c r="X168" s="218">
        <v>0</v>
      </c>
      <c r="Y168" s="217">
        <v>0</v>
      </c>
      <c r="Z168" s="218">
        <v>0</v>
      </c>
      <c r="AA168" s="218">
        <v>0</v>
      </c>
      <c r="AB168" s="218">
        <v>0</v>
      </c>
      <c r="AC168" s="218">
        <v>0</v>
      </c>
      <c r="AD168" s="221"/>
    </row>
    <row r="169" spans="1:30" s="15" customFormat="1" ht="99.75" customHeight="1" outlineLevel="1" x14ac:dyDescent="0.2">
      <c r="A169" s="232" t="s">
        <v>1191</v>
      </c>
      <c r="B169" s="231" t="s">
        <v>352</v>
      </c>
      <c r="C169" s="342">
        <f t="shared" si="59"/>
        <v>0</v>
      </c>
      <c r="D169" s="232">
        <f t="shared" ref="D169:D194" si="62">F169+K169+P169+Z169+U169</f>
        <v>897</v>
      </c>
      <c r="E169" s="195">
        <v>0</v>
      </c>
      <c r="F169" s="229">
        <f t="shared" si="60"/>
        <v>897</v>
      </c>
      <c r="G169" s="229">
        <v>0</v>
      </c>
      <c r="H169" s="196">
        <v>854</v>
      </c>
      <c r="I169" s="196">
        <v>43</v>
      </c>
      <c r="J169" s="342">
        <v>0</v>
      </c>
      <c r="K169" s="218">
        <v>0</v>
      </c>
      <c r="L169" s="218">
        <v>0</v>
      </c>
      <c r="M169" s="218">
        <v>0</v>
      </c>
      <c r="N169" s="218">
        <v>0</v>
      </c>
      <c r="O169" s="217">
        <v>0</v>
      </c>
      <c r="P169" s="218">
        <f t="shared" si="61"/>
        <v>0</v>
      </c>
      <c r="Q169" s="218">
        <v>0</v>
      </c>
      <c r="R169" s="218">
        <v>0</v>
      </c>
      <c r="S169" s="218">
        <v>0</v>
      </c>
      <c r="T169" s="217">
        <v>0</v>
      </c>
      <c r="U169" s="218">
        <v>0</v>
      </c>
      <c r="V169" s="218">
        <v>0</v>
      </c>
      <c r="W169" s="218">
        <v>0</v>
      </c>
      <c r="X169" s="218">
        <v>0</v>
      </c>
      <c r="Y169" s="217">
        <v>0</v>
      </c>
      <c r="Z169" s="218">
        <v>0</v>
      </c>
      <c r="AA169" s="218">
        <v>0</v>
      </c>
      <c r="AB169" s="218">
        <v>0</v>
      </c>
      <c r="AC169" s="218">
        <v>0</v>
      </c>
      <c r="AD169" s="221"/>
    </row>
    <row r="170" spans="1:30" s="15" customFormat="1" ht="106.9" customHeight="1" outlineLevel="1" x14ac:dyDescent="0.2">
      <c r="A170" s="232" t="s">
        <v>1192</v>
      </c>
      <c r="B170" s="231" t="s">
        <v>280</v>
      </c>
      <c r="C170" s="342">
        <f t="shared" si="59"/>
        <v>0</v>
      </c>
      <c r="D170" s="232">
        <f t="shared" si="62"/>
        <v>551</v>
      </c>
      <c r="E170" s="195">
        <v>0</v>
      </c>
      <c r="F170" s="229">
        <f t="shared" ref="F170:F183" si="63">G170+H170+I170</f>
        <v>551</v>
      </c>
      <c r="G170" s="229">
        <v>0</v>
      </c>
      <c r="H170" s="196">
        <v>525</v>
      </c>
      <c r="I170" s="196">
        <v>26</v>
      </c>
      <c r="J170" s="342">
        <v>0</v>
      </c>
      <c r="K170" s="218">
        <v>0</v>
      </c>
      <c r="L170" s="218">
        <v>0</v>
      </c>
      <c r="M170" s="218">
        <v>0</v>
      </c>
      <c r="N170" s="218">
        <v>0</v>
      </c>
      <c r="O170" s="217">
        <v>0</v>
      </c>
      <c r="P170" s="218">
        <f t="shared" si="61"/>
        <v>0</v>
      </c>
      <c r="Q170" s="218">
        <v>0</v>
      </c>
      <c r="R170" s="218">
        <v>0</v>
      </c>
      <c r="S170" s="218">
        <v>0</v>
      </c>
      <c r="T170" s="217">
        <v>0</v>
      </c>
      <c r="U170" s="218">
        <v>0</v>
      </c>
      <c r="V170" s="218">
        <v>0</v>
      </c>
      <c r="W170" s="218">
        <v>0</v>
      </c>
      <c r="X170" s="218">
        <v>0</v>
      </c>
      <c r="Y170" s="217">
        <v>0</v>
      </c>
      <c r="Z170" s="218">
        <v>0</v>
      </c>
      <c r="AA170" s="218">
        <v>0</v>
      </c>
      <c r="AB170" s="218">
        <v>0</v>
      </c>
      <c r="AC170" s="218">
        <v>0</v>
      </c>
      <c r="AD170" s="221"/>
    </row>
    <row r="171" spans="1:30" s="15" customFormat="1" ht="39" customHeight="1" outlineLevel="1" x14ac:dyDescent="0.2">
      <c r="A171" s="232" t="s">
        <v>1193</v>
      </c>
      <c r="B171" s="231" t="s">
        <v>281</v>
      </c>
      <c r="C171" s="342">
        <f>E171+J171+O171+T171+Y171</f>
        <v>0</v>
      </c>
      <c r="D171" s="232">
        <f t="shared" si="62"/>
        <v>221</v>
      </c>
      <c r="E171" s="195">
        <v>0</v>
      </c>
      <c r="F171" s="229">
        <f t="shared" si="63"/>
        <v>221</v>
      </c>
      <c r="G171" s="229">
        <v>0</v>
      </c>
      <c r="H171" s="196">
        <v>210</v>
      </c>
      <c r="I171" s="196">
        <v>11</v>
      </c>
      <c r="J171" s="342">
        <v>0</v>
      </c>
      <c r="K171" s="218">
        <v>0</v>
      </c>
      <c r="L171" s="218">
        <v>0</v>
      </c>
      <c r="M171" s="218">
        <v>0</v>
      </c>
      <c r="N171" s="218">
        <v>0</v>
      </c>
      <c r="O171" s="217">
        <v>0</v>
      </c>
      <c r="P171" s="218">
        <f>S171</f>
        <v>0</v>
      </c>
      <c r="Q171" s="218">
        <v>0</v>
      </c>
      <c r="R171" s="218">
        <v>0</v>
      </c>
      <c r="S171" s="218">
        <v>0</v>
      </c>
      <c r="T171" s="217">
        <v>0</v>
      </c>
      <c r="U171" s="218">
        <v>0</v>
      </c>
      <c r="V171" s="218">
        <v>0</v>
      </c>
      <c r="W171" s="218">
        <v>0</v>
      </c>
      <c r="X171" s="218">
        <v>0</v>
      </c>
      <c r="Y171" s="217">
        <v>0</v>
      </c>
      <c r="Z171" s="218">
        <v>0</v>
      </c>
      <c r="AA171" s="218">
        <v>0</v>
      </c>
      <c r="AB171" s="218">
        <v>0</v>
      </c>
      <c r="AC171" s="218">
        <v>0</v>
      </c>
      <c r="AD171" s="221"/>
    </row>
    <row r="172" spans="1:30" s="15" customFormat="1" ht="105" customHeight="1" outlineLevel="1" x14ac:dyDescent="0.2">
      <c r="A172" s="232" t="s">
        <v>1194</v>
      </c>
      <c r="B172" s="231" t="s">
        <v>668</v>
      </c>
      <c r="C172" s="342">
        <f>E172+J172+O172+T172+Y172</f>
        <v>0</v>
      </c>
      <c r="D172" s="232">
        <f t="shared" si="62"/>
        <v>1624</v>
      </c>
      <c r="E172" s="195">
        <v>0</v>
      </c>
      <c r="F172" s="229">
        <f t="shared" si="63"/>
        <v>1624</v>
      </c>
      <c r="G172" s="229">
        <v>0</v>
      </c>
      <c r="H172" s="196">
        <v>1546</v>
      </c>
      <c r="I172" s="196">
        <v>78</v>
      </c>
      <c r="J172" s="342">
        <v>0</v>
      </c>
      <c r="K172" s="218">
        <v>0</v>
      </c>
      <c r="L172" s="218">
        <v>0</v>
      </c>
      <c r="M172" s="218">
        <v>0</v>
      </c>
      <c r="N172" s="218">
        <v>0</v>
      </c>
      <c r="O172" s="217">
        <v>0</v>
      </c>
      <c r="P172" s="218">
        <f>S172</f>
        <v>0</v>
      </c>
      <c r="Q172" s="218">
        <v>0</v>
      </c>
      <c r="R172" s="218">
        <v>0</v>
      </c>
      <c r="S172" s="218">
        <v>0</v>
      </c>
      <c r="T172" s="217">
        <v>0</v>
      </c>
      <c r="U172" s="218">
        <v>0</v>
      </c>
      <c r="V172" s="218">
        <v>0</v>
      </c>
      <c r="W172" s="218">
        <v>0</v>
      </c>
      <c r="X172" s="218">
        <v>0</v>
      </c>
      <c r="Y172" s="217">
        <v>0</v>
      </c>
      <c r="Z172" s="218">
        <v>0</v>
      </c>
      <c r="AA172" s="218">
        <v>0</v>
      </c>
      <c r="AB172" s="218">
        <v>0</v>
      </c>
      <c r="AC172" s="218">
        <v>0</v>
      </c>
      <c r="AD172" s="221"/>
    </row>
    <row r="173" spans="1:30" s="15" customFormat="1" ht="57" customHeight="1" outlineLevel="1" x14ac:dyDescent="0.2">
      <c r="A173" s="232" t="s">
        <v>1195</v>
      </c>
      <c r="B173" s="231" t="s">
        <v>669</v>
      </c>
      <c r="C173" s="342">
        <f t="shared" ref="C173:C194" si="64">E173+J173+O173+T173+Y173</f>
        <v>0</v>
      </c>
      <c r="D173" s="232">
        <f t="shared" si="62"/>
        <v>164</v>
      </c>
      <c r="E173" s="195">
        <v>0</v>
      </c>
      <c r="F173" s="229">
        <f t="shared" si="63"/>
        <v>164</v>
      </c>
      <c r="G173" s="229">
        <v>0</v>
      </c>
      <c r="H173" s="196">
        <v>156</v>
      </c>
      <c r="I173" s="196">
        <v>8</v>
      </c>
      <c r="J173" s="342">
        <v>0</v>
      </c>
      <c r="K173" s="218">
        <v>0</v>
      </c>
      <c r="L173" s="218">
        <v>0</v>
      </c>
      <c r="M173" s="218">
        <v>0</v>
      </c>
      <c r="N173" s="218">
        <v>0</v>
      </c>
      <c r="O173" s="217">
        <v>0</v>
      </c>
      <c r="P173" s="218">
        <f t="shared" si="61"/>
        <v>0</v>
      </c>
      <c r="Q173" s="218">
        <v>0</v>
      </c>
      <c r="R173" s="218">
        <v>0</v>
      </c>
      <c r="S173" s="218">
        <v>0</v>
      </c>
      <c r="T173" s="217">
        <v>0</v>
      </c>
      <c r="U173" s="218">
        <v>0</v>
      </c>
      <c r="V173" s="218">
        <v>0</v>
      </c>
      <c r="W173" s="218">
        <v>0</v>
      </c>
      <c r="X173" s="218">
        <v>0</v>
      </c>
      <c r="Y173" s="217">
        <v>0</v>
      </c>
      <c r="Z173" s="218">
        <v>0</v>
      </c>
      <c r="AA173" s="218">
        <v>0</v>
      </c>
      <c r="AB173" s="218">
        <v>0</v>
      </c>
      <c r="AC173" s="218">
        <v>0</v>
      </c>
      <c r="AD173" s="221"/>
    </row>
    <row r="174" spans="1:30" s="15" customFormat="1" ht="49.9" customHeight="1" outlineLevel="1" x14ac:dyDescent="0.2">
      <c r="A174" s="232" t="s">
        <v>1196</v>
      </c>
      <c r="B174" s="231" t="s">
        <v>670</v>
      </c>
      <c r="C174" s="342">
        <f t="shared" si="64"/>
        <v>0</v>
      </c>
      <c r="D174" s="232">
        <f t="shared" si="62"/>
        <v>108</v>
      </c>
      <c r="E174" s="195">
        <v>0</v>
      </c>
      <c r="F174" s="229">
        <f t="shared" si="63"/>
        <v>108</v>
      </c>
      <c r="G174" s="229">
        <v>0</v>
      </c>
      <c r="H174" s="196">
        <v>102</v>
      </c>
      <c r="I174" s="196">
        <v>6</v>
      </c>
      <c r="J174" s="342">
        <v>0</v>
      </c>
      <c r="K174" s="218">
        <v>0</v>
      </c>
      <c r="L174" s="218">
        <v>0</v>
      </c>
      <c r="M174" s="218">
        <v>0</v>
      </c>
      <c r="N174" s="218">
        <v>0</v>
      </c>
      <c r="O174" s="217">
        <v>0</v>
      </c>
      <c r="P174" s="218">
        <f t="shared" ref="P174:P182" si="65">S174</f>
        <v>0</v>
      </c>
      <c r="Q174" s="218">
        <v>0</v>
      </c>
      <c r="R174" s="218">
        <v>0</v>
      </c>
      <c r="S174" s="218">
        <v>0</v>
      </c>
      <c r="T174" s="217">
        <v>0</v>
      </c>
      <c r="U174" s="218">
        <v>0</v>
      </c>
      <c r="V174" s="218">
        <v>0</v>
      </c>
      <c r="W174" s="218">
        <v>0</v>
      </c>
      <c r="X174" s="218">
        <v>0</v>
      </c>
      <c r="Y174" s="217">
        <v>0</v>
      </c>
      <c r="Z174" s="218">
        <v>0</v>
      </c>
      <c r="AA174" s="218">
        <v>0</v>
      </c>
      <c r="AB174" s="218">
        <v>0</v>
      </c>
      <c r="AC174" s="218">
        <v>0</v>
      </c>
      <c r="AD174" s="221"/>
    </row>
    <row r="175" spans="1:30" s="15" customFormat="1" ht="52.9" customHeight="1" outlineLevel="1" x14ac:dyDescent="0.2">
      <c r="A175" s="232" t="s">
        <v>1197</v>
      </c>
      <c r="B175" s="231" t="s">
        <v>282</v>
      </c>
      <c r="C175" s="342">
        <f t="shared" si="64"/>
        <v>0</v>
      </c>
      <c r="D175" s="232">
        <f t="shared" si="62"/>
        <v>398</v>
      </c>
      <c r="E175" s="195">
        <v>0</v>
      </c>
      <c r="F175" s="229">
        <f t="shared" si="63"/>
        <v>398</v>
      </c>
      <c r="G175" s="229">
        <v>0</v>
      </c>
      <c r="H175" s="196">
        <v>379</v>
      </c>
      <c r="I175" s="196">
        <v>19</v>
      </c>
      <c r="J175" s="342">
        <v>0</v>
      </c>
      <c r="K175" s="218">
        <v>0</v>
      </c>
      <c r="L175" s="218">
        <v>0</v>
      </c>
      <c r="M175" s="218">
        <v>0</v>
      </c>
      <c r="N175" s="218">
        <v>0</v>
      </c>
      <c r="O175" s="217">
        <v>0</v>
      </c>
      <c r="P175" s="218">
        <f t="shared" si="65"/>
        <v>0</v>
      </c>
      <c r="Q175" s="218">
        <v>0</v>
      </c>
      <c r="R175" s="218">
        <v>0</v>
      </c>
      <c r="S175" s="218">
        <v>0</v>
      </c>
      <c r="T175" s="217">
        <v>0</v>
      </c>
      <c r="U175" s="218">
        <v>0</v>
      </c>
      <c r="V175" s="218">
        <v>0</v>
      </c>
      <c r="W175" s="218">
        <v>0</v>
      </c>
      <c r="X175" s="218">
        <v>0</v>
      </c>
      <c r="Y175" s="217">
        <v>0</v>
      </c>
      <c r="Z175" s="218">
        <v>0</v>
      </c>
      <c r="AA175" s="218">
        <v>0</v>
      </c>
      <c r="AB175" s="218">
        <v>0</v>
      </c>
      <c r="AC175" s="218">
        <v>0</v>
      </c>
      <c r="AD175" s="221"/>
    </row>
    <row r="176" spans="1:30" s="15" customFormat="1" ht="49.9" customHeight="1" outlineLevel="1" x14ac:dyDescent="0.2">
      <c r="A176" s="232" t="s">
        <v>1198</v>
      </c>
      <c r="B176" s="231" t="s">
        <v>283</v>
      </c>
      <c r="C176" s="342">
        <f t="shared" si="64"/>
        <v>0</v>
      </c>
      <c r="D176" s="232">
        <f t="shared" si="62"/>
        <v>173</v>
      </c>
      <c r="E176" s="195">
        <v>0</v>
      </c>
      <c r="F176" s="229">
        <f t="shared" si="63"/>
        <v>173</v>
      </c>
      <c r="G176" s="229">
        <v>0</v>
      </c>
      <c r="H176" s="196">
        <v>165</v>
      </c>
      <c r="I176" s="196">
        <v>8</v>
      </c>
      <c r="J176" s="342">
        <v>0</v>
      </c>
      <c r="K176" s="218">
        <v>0</v>
      </c>
      <c r="L176" s="218">
        <v>0</v>
      </c>
      <c r="M176" s="218">
        <v>0</v>
      </c>
      <c r="N176" s="218">
        <v>0</v>
      </c>
      <c r="O176" s="217">
        <v>0</v>
      </c>
      <c r="P176" s="218">
        <f t="shared" si="65"/>
        <v>0</v>
      </c>
      <c r="Q176" s="218">
        <v>0</v>
      </c>
      <c r="R176" s="218">
        <v>0</v>
      </c>
      <c r="S176" s="218">
        <v>0</v>
      </c>
      <c r="T176" s="217">
        <v>0</v>
      </c>
      <c r="U176" s="218">
        <v>0</v>
      </c>
      <c r="V176" s="218">
        <v>0</v>
      </c>
      <c r="W176" s="218">
        <v>0</v>
      </c>
      <c r="X176" s="218">
        <v>0</v>
      </c>
      <c r="Y176" s="217">
        <v>0</v>
      </c>
      <c r="Z176" s="218">
        <v>0</v>
      </c>
      <c r="AA176" s="218">
        <v>0</v>
      </c>
      <c r="AB176" s="218">
        <v>0</v>
      </c>
      <c r="AC176" s="218">
        <v>0</v>
      </c>
      <c r="AD176" s="221"/>
    </row>
    <row r="177" spans="1:30" s="15" customFormat="1" ht="67.900000000000006" customHeight="1" outlineLevel="1" x14ac:dyDescent="0.2">
      <c r="A177" s="232" t="s">
        <v>1199</v>
      </c>
      <c r="B177" s="231" t="s">
        <v>284</v>
      </c>
      <c r="C177" s="342">
        <f t="shared" si="64"/>
        <v>0</v>
      </c>
      <c r="D177" s="232">
        <f t="shared" si="62"/>
        <v>6317</v>
      </c>
      <c r="E177" s="195">
        <v>0</v>
      </c>
      <c r="F177" s="229">
        <f t="shared" si="63"/>
        <v>6317</v>
      </c>
      <c r="G177" s="229">
        <v>0</v>
      </c>
      <c r="H177" s="196">
        <v>6014</v>
      </c>
      <c r="I177" s="196">
        <v>303</v>
      </c>
      <c r="J177" s="342">
        <v>0</v>
      </c>
      <c r="K177" s="218">
        <v>0</v>
      </c>
      <c r="L177" s="218">
        <v>0</v>
      </c>
      <c r="M177" s="218">
        <v>0</v>
      </c>
      <c r="N177" s="218">
        <v>0</v>
      </c>
      <c r="O177" s="217">
        <v>0</v>
      </c>
      <c r="P177" s="218">
        <f t="shared" si="65"/>
        <v>0</v>
      </c>
      <c r="Q177" s="218">
        <v>0</v>
      </c>
      <c r="R177" s="218">
        <v>0</v>
      </c>
      <c r="S177" s="218">
        <v>0</v>
      </c>
      <c r="T177" s="217">
        <v>0</v>
      </c>
      <c r="U177" s="218">
        <v>0</v>
      </c>
      <c r="V177" s="218">
        <v>0</v>
      </c>
      <c r="W177" s="218">
        <v>0</v>
      </c>
      <c r="X177" s="218">
        <v>0</v>
      </c>
      <c r="Y177" s="217">
        <v>0</v>
      </c>
      <c r="Z177" s="218">
        <v>0</v>
      </c>
      <c r="AA177" s="218">
        <v>0</v>
      </c>
      <c r="AB177" s="218">
        <v>0</v>
      </c>
      <c r="AC177" s="218">
        <v>0</v>
      </c>
      <c r="AD177" s="221"/>
    </row>
    <row r="178" spans="1:30" s="15" customFormat="1" ht="132.75" customHeight="1" outlineLevel="1" x14ac:dyDescent="0.2">
      <c r="A178" s="232" t="s">
        <v>1200</v>
      </c>
      <c r="B178" s="231" t="s">
        <v>569</v>
      </c>
      <c r="C178" s="342">
        <f t="shared" si="64"/>
        <v>0</v>
      </c>
      <c r="D178" s="232">
        <f t="shared" si="62"/>
        <v>1105</v>
      </c>
      <c r="E178" s="195">
        <v>0</v>
      </c>
      <c r="F178" s="229">
        <f t="shared" si="63"/>
        <v>330</v>
      </c>
      <c r="G178" s="229">
        <v>0</v>
      </c>
      <c r="H178" s="196">
        <v>0</v>
      </c>
      <c r="I178" s="196">
        <v>330</v>
      </c>
      <c r="J178" s="342">
        <v>0</v>
      </c>
      <c r="K178" s="218">
        <f>L178+M178+N178</f>
        <v>277</v>
      </c>
      <c r="L178" s="218">
        <v>0</v>
      </c>
      <c r="M178" s="218">
        <v>0</v>
      </c>
      <c r="N178" s="218">
        <f>300-23</f>
        <v>277</v>
      </c>
      <c r="O178" s="217">
        <v>0</v>
      </c>
      <c r="P178" s="218">
        <f t="shared" si="65"/>
        <v>100</v>
      </c>
      <c r="Q178" s="218">
        <v>0</v>
      </c>
      <c r="R178" s="218">
        <v>0</v>
      </c>
      <c r="S178" s="218">
        <f>400-200+337-437</f>
        <v>100</v>
      </c>
      <c r="T178" s="217">
        <v>0</v>
      </c>
      <c r="U178" s="218">
        <f>X178+W178+V178</f>
        <v>198</v>
      </c>
      <c r="V178" s="218">
        <v>0</v>
      </c>
      <c r="W178" s="218">
        <v>0</v>
      </c>
      <c r="X178" s="218">
        <v>198</v>
      </c>
      <c r="Y178" s="217">
        <v>0</v>
      </c>
      <c r="Z178" s="218">
        <f>AC178+AB178+AA178</f>
        <v>200</v>
      </c>
      <c r="AA178" s="218">
        <v>0</v>
      </c>
      <c r="AB178" s="218">
        <v>0</v>
      </c>
      <c r="AC178" s="218">
        <f>400-200</f>
        <v>200</v>
      </c>
      <c r="AD178" s="221"/>
    </row>
    <row r="179" spans="1:30" s="15" customFormat="1" ht="43.5" customHeight="1" outlineLevel="1" x14ac:dyDescent="0.2">
      <c r="A179" s="232" t="s">
        <v>1201</v>
      </c>
      <c r="B179" s="231" t="s">
        <v>646</v>
      </c>
      <c r="C179" s="342">
        <f t="shared" si="64"/>
        <v>0</v>
      </c>
      <c r="D179" s="232">
        <f t="shared" si="62"/>
        <v>592</v>
      </c>
      <c r="E179" s="195">
        <v>0</v>
      </c>
      <c r="F179" s="229">
        <f t="shared" si="63"/>
        <v>0</v>
      </c>
      <c r="G179" s="229">
        <v>0</v>
      </c>
      <c r="H179" s="196">
        <v>0</v>
      </c>
      <c r="I179" s="196">
        <v>0</v>
      </c>
      <c r="J179" s="342">
        <v>0</v>
      </c>
      <c r="K179" s="218">
        <f>L179+M179+N179</f>
        <v>0</v>
      </c>
      <c r="L179" s="218">
        <v>0</v>
      </c>
      <c r="M179" s="218">
        <v>0</v>
      </c>
      <c r="N179" s="218">
        <v>0</v>
      </c>
      <c r="O179" s="217">
        <v>0</v>
      </c>
      <c r="P179" s="218">
        <f t="shared" si="65"/>
        <v>0</v>
      </c>
      <c r="Q179" s="218">
        <v>0</v>
      </c>
      <c r="R179" s="218">
        <v>0</v>
      </c>
      <c r="S179" s="218">
        <v>0</v>
      </c>
      <c r="T179" s="217">
        <v>0</v>
      </c>
      <c r="U179" s="218">
        <f>X179+W179+V179</f>
        <v>592</v>
      </c>
      <c r="V179" s="218">
        <v>0</v>
      </c>
      <c r="W179" s="218">
        <v>0</v>
      </c>
      <c r="X179" s="218">
        <f>598-6</f>
        <v>592</v>
      </c>
      <c r="Y179" s="217">
        <v>0</v>
      </c>
      <c r="Z179" s="218">
        <f>AA179+AB179+AC179+AD179</f>
        <v>0</v>
      </c>
      <c r="AA179" s="218">
        <v>0</v>
      </c>
      <c r="AB179" s="218">
        <v>0</v>
      </c>
      <c r="AC179" s="218">
        <f>8256-8256</f>
        <v>0</v>
      </c>
      <c r="AD179" s="221"/>
    </row>
    <row r="180" spans="1:30" s="15" customFormat="1" ht="79.5" customHeight="1" outlineLevel="1" x14ac:dyDescent="0.2">
      <c r="A180" s="232" t="s">
        <v>1202</v>
      </c>
      <c r="B180" s="231" t="s">
        <v>19</v>
      </c>
      <c r="C180" s="342">
        <f t="shared" si="64"/>
        <v>0</v>
      </c>
      <c r="D180" s="232">
        <f t="shared" si="62"/>
        <v>772</v>
      </c>
      <c r="E180" s="195">
        <v>0</v>
      </c>
      <c r="F180" s="229">
        <f t="shared" si="63"/>
        <v>97</v>
      </c>
      <c r="G180" s="229">
        <v>0</v>
      </c>
      <c r="H180" s="196">
        <v>0</v>
      </c>
      <c r="I180" s="196">
        <v>97</v>
      </c>
      <c r="J180" s="342">
        <v>0</v>
      </c>
      <c r="K180" s="218">
        <f>L180+M180+N180</f>
        <v>174</v>
      </c>
      <c r="L180" s="218">
        <v>0</v>
      </c>
      <c r="M180" s="218">
        <v>0</v>
      </c>
      <c r="N180" s="218">
        <f>143+31</f>
        <v>174</v>
      </c>
      <c r="O180" s="217">
        <v>0</v>
      </c>
      <c r="P180" s="218">
        <f t="shared" si="65"/>
        <v>501</v>
      </c>
      <c r="Q180" s="218">
        <v>0</v>
      </c>
      <c r="R180" s="218">
        <v>0</v>
      </c>
      <c r="S180" s="218">
        <f>119+169-6+219</f>
        <v>501</v>
      </c>
      <c r="T180" s="217">
        <v>0</v>
      </c>
      <c r="U180" s="218">
        <f>V180+W180+X180</f>
        <v>0</v>
      </c>
      <c r="V180" s="218">
        <v>0</v>
      </c>
      <c r="W180" s="218">
        <v>0</v>
      </c>
      <c r="X180" s="218">
        <f>119-119</f>
        <v>0</v>
      </c>
      <c r="Y180" s="217">
        <v>0</v>
      </c>
      <c r="Z180" s="218">
        <v>0</v>
      </c>
      <c r="AA180" s="218">
        <v>0</v>
      </c>
      <c r="AB180" s="218">
        <v>0</v>
      </c>
      <c r="AC180" s="218">
        <v>0</v>
      </c>
      <c r="AD180" s="221"/>
    </row>
    <row r="181" spans="1:30" s="15" customFormat="1" ht="114" customHeight="1" outlineLevel="1" x14ac:dyDescent="0.2">
      <c r="A181" s="232" t="s">
        <v>1203</v>
      </c>
      <c r="B181" s="231" t="s">
        <v>337</v>
      </c>
      <c r="C181" s="342">
        <f t="shared" si="64"/>
        <v>0</v>
      </c>
      <c r="D181" s="232">
        <f t="shared" si="62"/>
        <v>30</v>
      </c>
      <c r="E181" s="195">
        <v>0</v>
      </c>
      <c r="F181" s="229">
        <f t="shared" si="63"/>
        <v>30</v>
      </c>
      <c r="G181" s="229">
        <v>0</v>
      </c>
      <c r="H181" s="196">
        <v>0</v>
      </c>
      <c r="I181" s="196">
        <v>30</v>
      </c>
      <c r="J181" s="342">
        <v>0</v>
      </c>
      <c r="K181" s="218">
        <v>0</v>
      </c>
      <c r="L181" s="218">
        <v>0</v>
      </c>
      <c r="M181" s="218">
        <v>0</v>
      </c>
      <c r="N181" s="218">
        <v>0</v>
      </c>
      <c r="O181" s="217">
        <v>0</v>
      </c>
      <c r="P181" s="218">
        <f t="shared" si="65"/>
        <v>0</v>
      </c>
      <c r="Q181" s="218">
        <v>0</v>
      </c>
      <c r="R181" s="218">
        <v>0</v>
      </c>
      <c r="S181" s="218">
        <v>0</v>
      </c>
      <c r="T181" s="217">
        <v>0</v>
      </c>
      <c r="U181" s="218">
        <f t="shared" ref="U181" si="66">V181+W181+X181</f>
        <v>0</v>
      </c>
      <c r="V181" s="218">
        <v>0</v>
      </c>
      <c r="W181" s="218">
        <v>0</v>
      </c>
      <c r="X181" s="218">
        <v>0</v>
      </c>
      <c r="Y181" s="217">
        <v>0</v>
      </c>
      <c r="Z181" s="218">
        <v>0</v>
      </c>
      <c r="AA181" s="218">
        <v>0</v>
      </c>
      <c r="AB181" s="218">
        <v>0</v>
      </c>
      <c r="AC181" s="218">
        <v>0</v>
      </c>
      <c r="AD181" s="221"/>
    </row>
    <row r="182" spans="1:30" s="15" customFormat="1" ht="73.5" customHeight="1" outlineLevel="1" x14ac:dyDescent="0.2">
      <c r="A182" s="232" t="s">
        <v>1204</v>
      </c>
      <c r="B182" s="231" t="s">
        <v>20</v>
      </c>
      <c r="C182" s="342">
        <f t="shared" si="64"/>
        <v>0</v>
      </c>
      <c r="D182" s="232">
        <f t="shared" si="62"/>
        <v>1631</v>
      </c>
      <c r="E182" s="195">
        <v>0</v>
      </c>
      <c r="F182" s="229">
        <f t="shared" si="63"/>
        <v>0</v>
      </c>
      <c r="G182" s="229">
        <v>0</v>
      </c>
      <c r="H182" s="196">
        <v>0</v>
      </c>
      <c r="I182" s="196">
        <v>0</v>
      </c>
      <c r="J182" s="342">
        <v>0</v>
      </c>
      <c r="K182" s="218">
        <f t="shared" ref="K182:K194" si="67">L182+M182+N182</f>
        <v>534</v>
      </c>
      <c r="L182" s="218">
        <v>0</v>
      </c>
      <c r="M182" s="218">
        <v>0</v>
      </c>
      <c r="N182" s="218">
        <f>565-31</f>
        <v>534</v>
      </c>
      <c r="O182" s="217">
        <v>0</v>
      </c>
      <c r="P182" s="218">
        <f t="shared" si="65"/>
        <v>97</v>
      </c>
      <c r="Q182" s="218">
        <v>0</v>
      </c>
      <c r="R182" s="218">
        <v>0</v>
      </c>
      <c r="S182" s="218">
        <f>317-101+1-120</f>
        <v>97</v>
      </c>
      <c r="T182" s="217">
        <v>0</v>
      </c>
      <c r="U182" s="218">
        <f>V182+W182+X182</f>
        <v>500</v>
      </c>
      <c r="V182" s="218">
        <v>0</v>
      </c>
      <c r="W182" s="218">
        <v>0</v>
      </c>
      <c r="X182" s="218">
        <v>500</v>
      </c>
      <c r="Y182" s="217">
        <v>0</v>
      </c>
      <c r="Z182" s="218">
        <f>AA182+AB182+AC182</f>
        <v>500</v>
      </c>
      <c r="AA182" s="218">
        <v>0</v>
      </c>
      <c r="AB182" s="218">
        <v>0</v>
      </c>
      <c r="AC182" s="218">
        <v>500</v>
      </c>
      <c r="AD182" s="221"/>
    </row>
    <row r="183" spans="1:30" s="15" customFormat="1" ht="61.5" customHeight="1" outlineLevel="1" x14ac:dyDescent="0.2">
      <c r="A183" s="232" t="s">
        <v>1205</v>
      </c>
      <c r="B183" s="231" t="s">
        <v>358</v>
      </c>
      <c r="C183" s="342">
        <f t="shared" si="64"/>
        <v>0</v>
      </c>
      <c r="D183" s="232">
        <f t="shared" si="62"/>
        <v>872</v>
      </c>
      <c r="E183" s="195">
        <v>0</v>
      </c>
      <c r="F183" s="229">
        <f t="shared" si="63"/>
        <v>0</v>
      </c>
      <c r="G183" s="229">
        <v>0</v>
      </c>
      <c r="H183" s="196">
        <v>0</v>
      </c>
      <c r="I183" s="229">
        <v>0</v>
      </c>
      <c r="J183" s="342">
        <v>0</v>
      </c>
      <c r="K183" s="218">
        <f t="shared" si="67"/>
        <v>872</v>
      </c>
      <c r="L183" s="218">
        <v>0</v>
      </c>
      <c r="M183" s="218">
        <v>0</v>
      </c>
      <c r="N183" s="218">
        <v>872</v>
      </c>
      <c r="O183" s="217">
        <v>0</v>
      </c>
      <c r="P183" s="218">
        <f>Q183+R183+S183</f>
        <v>0</v>
      </c>
      <c r="Q183" s="218">
        <v>0</v>
      </c>
      <c r="R183" s="218">
        <v>0</v>
      </c>
      <c r="S183" s="218">
        <v>0</v>
      </c>
      <c r="T183" s="217">
        <v>0</v>
      </c>
      <c r="U183" s="218">
        <f>V183+W183+X183</f>
        <v>0</v>
      </c>
      <c r="V183" s="218">
        <v>0</v>
      </c>
      <c r="W183" s="218">
        <v>0</v>
      </c>
      <c r="X183" s="218">
        <v>0</v>
      </c>
      <c r="Y183" s="217">
        <v>0</v>
      </c>
      <c r="Z183" s="218">
        <f>AA183+AB183+AC183</f>
        <v>0</v>
      </c>
      <c r="AA183" s="218">
        <v>0</v>
      </c>
      <c r="AB183" s="218">
        <v>0</v>
      </c>
      <c r="AC183" s="218">
        <v>0</v>
      </c>
      <c r="AD183" s="221"/>
    </row>
    <row r="184" spans="1:30" s="14" customFormat="1" ht="57.75" customHeight="1" outlineLevel="1" x14ac:dyDescent="0.2">
      <c r="A184" s="232" t="s">
        <v>1206</v>
      </c>
      <c r="B184" s="216" t="s">
        <v>524</v>
      </c>
      <c r="C184" s="217">
        <f t="shared" si="64"/>
        <v>0</v>
      </c>
      <c r="D184" s="232">
        <f t="shared" si="62"/>
        <v>3393</v>
      </c>
      <c r="E184" s="195">
        <f t="shared" ref="E184:E187" si="68">G184+L184+Q184+V184+AA184</f>
        <v>0</v>
      </c>
      <c r="F184" s="196">
        <f t="shared" ref="F184:F193" si="69">G184+H184+I184</f>
        <v>0</v>
      </c>
      <c r="G184" s="196">
        <v>0</v>
      </c>
      <c r="H184" s="196">
        <v>0</v>
      </c>
      <c r="I184" s="196">
        <v>0</v>
      </c>
      <c r="J184" s="217">
        <v>0</v>
      </c>
      <c r="K184" s="218">
        <f t="shared" si="67"/>
        <v>0</v>
      </c>
      <c r="L184" s="218">
        <v>0</v>
      </c>
      <c r="M184" s="218">
        <v>0</v>
      </c>
      <c r="N184" s="218">
        <v>0</v>
      </c>
      <c r="O184" s="217">
        <v>0</v>
      </c>
      <c r="P184" s="218">
        <f t="shared" ref="P184:P194" si="70">Q184+R184+S184</f>
        <v>3393</v>
      </c>
      <c r="Q184" s="218">
        <v>0</v>
      </c>
      <c r="R184" s="218">
        <v>0</v>
      </c>
      <c r="S184" s="218">
        <f>3782-37-352</f>
        <v>3393</v>
      </c>
      <c r="T184" s="220">
        <v>0</v>
      </c>
      <c r="U184" s="219">
        <v>0</v>
      </c>
      <c r="V184" s="219">
        <v>0</v>
      </c>
      <c r="W184" s="219">
        <v>0</v>
      </c>
      <c r="X184" s="219">
        <v>0</v>
      </c>
      <c r="Y184" s="217">
        <v>0</v>
      </c>
      <c r="Z184" s="218">
        <f t="shared" ref="Z184:Z193" si="71">AA184+AB184+AC184</f>
        <v>0</v>
      </c>
      <c r="AA184" s="218">
        <v>0</v>
      </c>
      <c r="AB184" s="218">
        <v>0</v>
      </c>
      <c r="AC184" s="218">
        <f>13507-13507</f>
        <v>0</v>
      </c>
      <c r="AD184" s="214"/>
    </row>
    <row r="185" spans="1:30" s="14" customFormat="1" ht="71.45" customHeight="1" outlineLevel="1" x14ac:dyDescent="0.2">
      <c r="A185" s="232" t="s">
        <v>1207</v>
      </c>
      <c r="B185" s="216" t="s">
        <v>545</v>
      </c>
      <c r="C185" s="217">
        <f t="shared" si="64"/>
        <v>7.51</v>
      </c>
      <c r="D185" s="232">
        <f t="shared" si="62"/>
        <v>25000</v>
      </c>
      <c r="E185" s="195">
        <f t="shared" si="68"/>
        <v>0</v>
      </c>
      <c r="F185" s="196">
        <f t="shared" si="69"/>
        <v>0</v>
      </c>
      <c r="G185" s="196">
        <v>0</v>
      </c>
      <c r="H185" s="196">
        <v>0</v>
      </c>
      <c r="I185" s="196">
        <v>0</v>
      </c>
      <c r="J185" s="217">
        <v>0</v>
      </c>
      <c r="K185" s="218">
        <f t="shared" si="67"/>
        <v>0</v>
      </c>
      <c r="L185" s="218">
        <v>0</v>
      </c>
      <c r="M185" s="218">
        <v>0</v>
      </c>
      <c r="N185" s="218">
        <v>0</v>
      </c>
      <c r="O185" s="217">
        <v>7.51</v>
      </c>
      <c r="P185" s="218">
        <f t="shared" si="70"/>
        <v>25000</v>
      </c>
      <c r="Q185" s="218">
        <v>0</v>
      </c>
      <c r="R185" s="218">
        <v>0</v>
      </c>
      <c r="S185" s="218">
        <v>25000</v>
      </c>
      <c r="T185" s="220">
        <v>0</v>
      </c>
      <c r="U185" s="219">
        <v>0</v>
      </c>
      <c r="V185" s="219">
        <v>0</v>
      </c>
      <c r="W185" s="219">
        <v>0</v>
      </c>
      <c r="X185" s="219">
        <v>0</v>
      </c>
      <c r="Y185" s="217">
        <v>0</v>
      </c>
      <c r="Z185" s="218">
        <f t="shared" si="71"/>
        <v>0</v>
      </c>
      <c r="AA185" s="218">
        <v>0</v>
      </c>
      <c r="AB185" s="218">
        <v>0</v>
      </c>
      <c r="AC185" s="218">
        <v>0</v>
      </c>
      <c r="AD185" s="214"/>
    </row>
    <row r="186" spans="1:30" s="14" customFormat="1" ht="71.45" customHeight="1" outlineLevel="1" x14ac:dyDescent="0.2">
      <c r="A186" s="232" t="s">
        <v>1208</v>
      </c>
      <c r="B186" s="216" t="s">
        <v>546</v>
      </c>
      <c r="C186" s="217">
        <f t="shared" si="64"/>
        <v>94.9</v>
      </c>
      <c r="D186" s="232">
        <f t="shared" si="62"/>
        <v>317153</v>
      </c>
      <c r="E186" s="195">
        <f t="shared" si="68"/>
        <v>0</v>
      </c>
      <c r="F186" s="196">
        <f t="shared" si="69"/>
        <v>0</v>
      </c>
      <c r="G186" s="196">
        <v>0</v>
      </c>
      <c r="H186" s="196">
        <v>0</v>
      </c>
      <c r="I186" s="196">
        <v>0</v>
      </c>
      <c r="J186" s="217">
        <v>0</v>
      </c>
      <c r="K186" s="218">
        <f t="shared" si="67"/>
        <v>0</v>
      </c>
      <c r="L186" s="218">
        <v>0</v>
      </c>
      <c r="M186" s="218">
        <v>0</v>
      </c>
      <c r="N186" s="218">
        <v>0</v>
      </c>
      <c r="O186" s="217">
        <v>94.9</v>
      </c>
      <c r="P186" s="218">
        <f t="shared" si="70"/>
        <v>317153</v>
      </c>
      <c r="Q186" s="218">
        <v>0</v>
      </c>
      <c r="R186" s="218">
        <f>300000-1242</f>
        <v>298758</v>
      </c>
      <c r="S186" s="218">
        <f>18471-76</f>
        <v>18395</v>
      </c>
      <c r="T186" s="220">
        <v>0</v>
      </c>
      <c r="U186" s="219">
        <v>0</v>
      </c>
      <c r="V186" s="219">
        <v>0</v>
      </c>
      <c r="W186" s="219">
        <v>0</v>
      </c>
      <c r="X186" s="219">
        <v>0</v>
      </c>
      <c r="Y186" s="217">
        <v>0</v>
      </c>
      <c r="Z186" s="218">
        <f t="shared" si="71"/>
        <v>0</v>
      </c>
      <c r="AA186" s="218">
        <v>0</v>
      </c>
      <c r="AB186" s="218">
        <v>0</v>
      </c>
      <c r="AC186" s="218">
        <v>0</v>
      </c>
      <c r="AD186" s="238"/>
    </row>
    <row r="187" spans="1:30" s="14" customFormat="1" ht="71.45" customHeight="1" outlineLevel="1" x14ac:dyDescent="0.2">
      <c r="A187" s="232" t="s">
        <v>1209</v>
      </c>
      <c r="B187" s="216" t="s">
        <v>547</v>
      </c>
      <c r="C187" s="217">
        <f t="shared" si="64"/>
        <v>10.35</v>
      </c>
      <c r="D187" s="232">
        <f t="shared" si="62"/>
        <v>23602</v>
      </c>
      <c r="E187" s="195">
        <f t="shared" si="68"/>
        <v>0</v>
      </c>
      <c r="F187" s="196">
        <f t="shared" si="69"/>
        <v>0</v>
      </c>
      <c r="G187" s="196">
        <v>0</v>
      </c>
      <c r="H187" s="196">
        <v>0</v>
      </c>
      <c r="I187" s="196">
        <v>0</v>
      </c>
      <c r="J187" s="217">
        <v>0</v>
      </c>
      <c r="K187" s="218">
        <f t="shared" si="67"/>
        <v>0</v>
      </c>
      <c r="L187" s="218">
        <v>0</v>
      </c>
      <c r="M187" s="218">
        <v>0</v>
      </c>
      <c r="N187" s="218">
        <v>0</v>
      </c>
      <c r="O187" s="217">
        <v>10.35</v>
      </c>
      <c r="P187" s="218">
        <f t="shared" si="70"/>
        <v>23602</v>
      </c>
      <c r="Q187" s="218">
        <v>0</v>
      </c>
      <c r="R187" s="218">
        <f>20550+1683</f>
        <v>22233</v>
      </c>
      <c r="S187" s="218">
        <f>1265+104</f>
        <v>1369</v>
      </c>
      <c r="T187" s="220">
        <v>0</v>
      </c>
      <c r="U187" s="219">
        <v>0</v>
      </c>
      <c r="V187" s="219">
        <v>0</v>
      </c>
      <c r="W187" s="219">
        <v>0</v>
      </c>
      <c r="X187" s="219">
        <v>0</v>
      </c>
      <c r="Y187" s="217">
        <v>0</v>
      </c>
      <c r="Z187" s="218">
        <f t="shared" si="71"/>
        <v>0</v>
      </c>
      <c r="AA187" s="218">
        <v>0</v>
      </c>
      <c r="AB187" s="218">
        <v>0</v>
      </c>
      <c r="AC187" s="218">
        <v>0</v>
      </c>
      <c r="AD187" s="214"/>
    </row>
    <row r="188" spans="1:30" s="14" customFormat="1" ht="71.45" customHeight="1" outlineLevel="1" x14ac:dyDescent="0.2">
      <c r="A188" s="232" t="s">
        <v>1210</v>
      </c>
      <c r="B188" s="216" t="s">
        <v>548</v>
      </c>
      <c r="C188" s="217">
        <f t="shared" si="64"/>
        <v>0</v>
      </c>
      <c r="D188" s="232">
        <f t="shared" si="62"/>
        <v>8779</v>
      </c>
      <c r="E188" s="195">
        <f>G188+L188+Q188+V188+AA188</f>
        <v>0</v>
      </c>
      <c r="F188" s="196">
        <f t="shared" si="69"/>
        <v>0</v>
      </c>
      <c r="G188" s="196">
        <v>0</v>
      </c>
      <c r="H188" s="196">
        <v>0</v>
      </c>
      <c r="I188" s="196">
        <v>0</v>
      </c>
      <c r="J188" s="217">
        <v>0</v>
      </c>
      <c r="K188" s="218">
        <f t="shared" si="67"/>
        <v>0</v>
      </c>
      <c r="L188" s="218">
        <v>0</v>
      </c>
      <c r="M188" s="218">
        <v>0</v>
      </c>
      <c r="N188" s="218">
        <v>0</v>
      </c>
      <c r="O188" s="217">
        <v>0</v>
      </c>
      <c r="P188" s="218">
        <f t="shared" si="70"/>
        <v>8779</v>
      </c>
      <c r="Q188" s="218">
        <v>0</v>
      </c>
      <c r="R188" s="218">
        <f>13450-5180</f>
        <v>8270</v>
      </c>
      <c r="S188" s="218">
        <f>829-320</f>
        <v>509</v>
      </c>
      <c r="T188" s="220">
        <v>0</v>
      </c>
      <c r="U188" s="219">
        <v>0</v>
      </c>
      <c r="V188" s="219">
        <v>0</v>
      </c>
      <c r="W188" s="219">
        <v>0</v>
      </c>
      <c r="X188" s="219">
        <v>0</v>
      </c>
      <c r="Y188" s="217">
        <v>0</v>
      </c>
      <c r="Z188" s="218">
        <f t="shared" si="71"/>
        <v>0</v>
      </c>
      <c r="AA188" s="218">
        <v>0</v>
      </c>
      <c r="AB188" s="218">
        <v>0</v>
      </c>
      <c r="AC188" s="218">
        <v>0</v>
      </c>
      <c r="AD188" s="214"/>
    </row>
    <row r="189" spans="1:30" s="14" customFormat="1" ht="71.45" customHeight="1" outlineLevel="1" x14ac:dyDescent="0.2">
      <c r="A189" s="232" t="s">
        <v>1211</v>
      </c>
      <c r="B189" s="216" t="s">
        <v>1346</v>
      </c>
      <c r="C189" s="217">
        <f t="shared" si="64"/>
        <v>30.23</v>
      </c>
      <c r="D189" s="232">
        <f t="shared" si="62"/>
        <v>118316</v>
      </c>
      <c r="E189" s="195">
        <f t="shared" ref="E189:E192" si="72">G189+L189+Q189+V189+AA189</f>
        <v>0</v>
      </c>
      <c r="F189" s="196">
        <f t="shared" ref="F189:F192" si="73">G189+H189+I189</f>
        <v>0</v>
      </c>
      <c r="G189" s="196">
        <v>0</v>
      </c>
      <c r="H189" s="196">
        <v>0</v>
      </c>
      <c r="I189" s="196">
        <v>0</v>
      </c>
      <c r="J189" s="217">
        <v>0</v>
      </c>
      <c r="K189" s="218">
        <f t="shared" ref="K189:K192" si="74">L189+M189+N189</f>
        <v>0</v>
      </c>
      <c r="L189" s="218">
        <v>0</v>
      </c>
      <c r="M189" s="218">
        <v>0</v>
      </c>
      <c r="N189" s="218">
        <v>0</v>
      </c>
      <c r="O189" s="217">
        <v>0</v>
      </c>
      <c r="P189" s="218">
        <f t="shared" si="70"/>
        <v>0</v>
      </c>
      <c r="Q189" s="218">
        <v>0</v>
      </c>
      <c r="R189" s="218">
        <v>0</v>
      </c>
      <c r="S189" s="218">
        <v>0</v>
      </c>
      <c r="T189" s="220">
        <v>30.23</v>
      </c>
      <c r="U189" s="219">
        <f t="shared" ref="U189:U192" si="75">V189+W189+X189</f>
        <v>118316</v>
      </c>
      <c r="V189" s="219">
        <v>0</v>
      </c>
      <c r="W189" s="219">
        <v>114767</v>
      </c>
      <c r="X189" s="219">
        <v>3549</v>
      </c>
      <c r="Y189" s="217">
        <v>0</v>
      </c>
      <c r="Z189" s="218">
        <v>0</v>
      </c>
      <c r="AA189" s="218">
        <v>0</v>
      </c>
      <c r="AB189" s="218">
        <v>0</v>
      </c>
      <c r="AC189" s="218">
        <v>0</v>
      </c>
      <c r="AD189" s="238">
        <f>U189+U190+U191+U192</f>
        <v>597517</v>
      </c>
    </row>
    <row r="190" spans="1:30" s="14" customFormat="1" ht="71.45" customHeight="1" outlineLevel="1" x14ac:dyDescent="0.2">
      <c r="A190" s="232" t="s">
        <v>1212</v>
      </c>
      <c r="B190" s="216" t="s">
        <v>1347</v>
      </c>
      <c r="C190" s="217">
        <f t="shared" si="64"/>
        <v>47.6</v>
      </c>
      <c r="D190" s="232">
        <f t="shared" si="62"/>
        <v>173665</v>
      </c>
      <c r="E190" s="195">
        <f t="shared" si="72"/>
        <v>0</v>
      </c>
      <c r="F190" s="196">
        <f t="shared" si="73"/>
        <v>0</v>
      </c>
      <c r="G190" s="196">
        <v>0</v>
      </c>
      <c r="H190" s="196">
        <v>0</v>
      </c>
      <c r="I190" s="196">
        <v>0</v>
      </c>
      <c r="J190" s="217">
        <v>0</v>
      </c>
      <c r="K190" s="218">
        <f t="shared" si="74"/>
        <v>0</v>
      </c>
      <c r="L190" s="218">
        <v>0</v>
      </c>
      <c r="M190" s="218">
        <v>0</v>
      </c>
      <c r="N190" s="218">
        <v>0</v>
      </c>
      <c r="O190" s="217">
        <v>0</v>
      </c>
      <c r="P190" s="218">
        <f t="shared" si="70"/>
        <v>0</v>
      </c>
      <c r="Q190" s="218">
        <v>0</v>
      </c>
      <c r="R190" s="218">
        <v>0</v>
      </c>
      <c r="S190" s="218">
        <v>0</v>
      </c>
      <c r="T190" s="220">
        <v>47.6</v>
      </c>
      <c r="U190" s="219">
        <f t="shared" si="75"/>
        <v>173665</v>
      </c>
      <c r="V190" s="219">
        <v>0</v>
      </c>
      <c r="W190" s="219">
        <v>168455</v>
      </c>
      <c r="X190" s="219">
        <v>5210</v>
      </c>
      <c r="Y190" s="217">
        <v>0</v>
      </c>
      <c r="Z190" s="218">
        <v>0</v>
      </c>
      <c r="AA190" s="218">
        <v>0</v>
      </c>
      <c r="AB190" s="218">
        <v>0</v>
      </c>
      <c r="AC190" s="218">
        <v>0</v>
      </c>
      <c r="AD190" s="214"/>
    </row>
    <row r="191" spans="1:30" s="14" customFormat="1" ht="71.45" customHeight="1" outlineLevel="1" x14ac:dyDescent="0.2">
      <c r="A191" s="232" t="s">
        <v>1213</v>
      </c>
      <c r="B191" s="216" t="s">
        <v>1349</v>
      </c>
      <c r="C191" s="217">
        <f t="shared" si="64"/>
        <v>35.590000000000003</v>
      </c>
      <c r="D191" s="232">
        <f t="shared" si="62"/>
        <v>147512</v>
      </c>
      <c r="E191" s="195">
        <f t="shared" si="72"/>
        <v>0</v>
      </c>
      <c r="F191" s="196">
        <f t="shared" si="73"/>
        <v>0</v>
      </c>
      <c r="G191" s="196">
        <v>0</v>
      </c>
      <c r="H191" s="196">
        <v>0</v>
      </c>
      <c r="I191" s="196">
        <v>0</v>
      </c>
      <c r="J191" s="217">
        <v>0</v>
      </c>
      <c r="K191" s="218">
        <f t="shared" si="74"/>
        <v>0</v>
      </c>
      <c r="L191" s="218">
        <v>0</v>
      </c>
      <c r="M191" s="218">
        <v>0</v>
      </c>
      <c r="N191" s="218">
        <v>0</v>
      </c>
      <c r="O191" s="217">
        <v>0</v>
      </c>
      <c r="P191" s="218">
        <f t="shared" si="70"/>
        <v>0</v>
      </c>
      <c r="Q191" s="218">
        <v>0</v>
      </c>
      <c r="R191" s="218">
        <v>0</v>
      </c>
      <c r="S191" s="218">
        <v>0</v>
      </c>
      <c r="T191" s="220">
        <v>35.590000000000003</v>
      </c>
      <c r="U191" s="219">
        <f t="shared" si="75"/>
        <v>147512</v>
      </c>
      <c r="V191" s="219">
        <v>0</v>
      </c>
      <c r="W191" s="219">
        <v>143087</v>
      </c>
      <c r="X191" s="219">
        <v>4425</v>
      </c>
      <c r="Y191" s="217">
        <v>0</v>
      </c>
      <c r="Z191" s="218">
        <v>0</v>
      </c>
      <c r="AA191" s="218">
        <v>0</v>
      </c>
      <c r="AB191" s="218">
        <v>0</v>
      </c>
      <c r="AC191" s="218">
        <v>0</v>
      </c>
      <c r="AD191" s="214"/>
    </row>
    <row r="192" spans="1:30" s="14" customFormat="1" ht="71.45" customHeight="1" outlineLevel="1" x14ac:dyDescent="0.2">
      <c r="A192" s="232" t="s">
        <v>1214</v>
      </c>
      <c r="B192" s="216" t="s">
        <v>1348</v>
      </c>
      <c r="C192" s="217">
        <f t="shared" si="64"/>
        <v>41.85</v>
      </c>
      <c r="D192" s="232">
        <f t="shared" si="62"/>
        <v>158024</v>
      </c>
      <c r="E192" s="195">
        <f t="shared" si="72"/>
        <v>0</v>
      </c>
      <c r="F192" s="196">
        <f t="shared" si="73"/>
        <v>0</v>
      </c>
      <c r="G192" s="196">
        <v>0</v>
      </c>
      <c r="H192" s="196">
        <v>0</v>
      </c>
      <c r="I192" s="196">
        <v>0</v>
      </c>
      <c r="J192" s="217">
        <v>0</v>
      </c>
      <c r="K192" s="218">
        <f t="shared" si="74"/>
        <v>0</v>
      </c>
      <c r="L192" s="218">
        <v>0</v>
      </c>
      <c r="M192" s="218">
        <v>0</v>
      </c>
      <c r="N192" s="218">
        <v>0</v>
      </c>
      <c r="O192" s="217">
        <v>0</v>
      </c>
      <c r="P192" s="218">
        <f t="shared" si="70"/>
        <v>0</v>
      </c>
      <c r="Q192" s="218">
        <v>0</v>
      </c>
      <c r="R192" s="218">
        <v>0</v>
      </c>
      <c r="S192" s="218">
        <v>0</v>
      </c>
      <c r="T192" s="220">
        <v>41.85</v>
      </c>
      <c r="U192" s="219">
        <f t="shared" si="75"/>
        <v>158024</v>
      </c>
      <c r="V192" s="219">
        <v>0</v>
      </c>
      <c r="W192" s="219">
        <v>153283</v>
      </c>
      <c r="X192" s="219">
        <v>4741</v>
      </c>
      <c r="Y192" s="217">
        <v>0</v>
      </c>
      <c r="Z192" s="218">
        <v>0</v>
      </c>
      <c r="AA192" s="218">
        <v>0</v>
      </c>
      <c r="AB192" s="218">
        <v>0</v>
      </c>
      <c r="AC192" s="218">
        <v>0</v>
      </c>
      <c r="AD192" s="214"/>
    </row>
    <row r="193" spans="1:30" s="14" customFormat="1" ht="86.25" customHeight="1" outlineLevel="1" x14ac:dyDescent="0.2">
      <c r="A193" s="232" t="s">
        <v>1215</v>
      </c>
      <c r="B193" s="216" t="s">
        <v>550</v>
      </c>
      <c r="C193" s="217">
        <f t="shared" si="64"/>
        <v>45</v>
      </c>
      <c r="D193" s="232">
        <f t="shared" si="62"/>
        <v>190000</v>
      </c>
      <c r="E193" s="195">
        <f>G193+L193+Q193+V193+AA193</f>
        <v>0</v>
      </c>
      <c r="F193" s="196">
        <f t="shared" si="69"/>
        <v>0</v>
      </c>
      <c r="G193" s="196">
        <v>0</v>
      </c>
      <c r="H193" s="196">
        <v>0</v>
      </c>
      <c r="I193" s="196">
        <v>0</v>
      </c>
      <c r="J193" s="217">
        <v>0</v>
      </c>
      <c r="K193" s="218">
        <f t="shared" si="67"/>
        <v>0</v>
      </c>
      <c r="L193" s="218">
        <v>0</v>
      </c>
      <c r="M193" s="218">
        <v>0</v>
      </c>
      <c r="N193" s="218">
        <v>0</v>
      </c>
      <c r="O193" s="217">
        <v>45</v>
      </c>
      <c r="P193" s="218">
        <f t="shared" si="70"/>
        <v>90000</v>
      </c>
      <c r="Q193" s="218">
        <v>0</v>
      </c>
      <c r="R193" s="218">
        <v>0</v>
      </c>
      <c r="S193" s="218">
        <v>90000</v>
      </c>
      <c r="T193" s="220">
        <v>0</v>
      </c>
      <c r="U193" s="219">
        <f>V193+W193+X193</f>
        <v>100000</v>
      </c>
      <c r="V193" s="219">
        <v>0</v>
      </c>
      <c r="W193" s="219">
        <v>0</v>
      </c>
      <c r="X193" s="219">
        <v>100000</v>
      </c>
      <c r="Y193" s="217">
        <v>0</v>
      </c>
      <c r="Z193" s="218">
        <f t="shared" si="71"/>
        <v>0</v>
      </c>
      <c r="AA193" s="218">
        <v>0</v>
      </c>
      <c r="AB193" s="218">
        <v>0</v>
      </c>
      <c r="AC193" s="218">
        <v>0</v>
      </c>
      <c r="AD193" s="214"/>
    </row>
    <row r="194" spans="1:30" s="15" customFormat="1" ht="18.75" customHeight="1" outlineLevel="1" x14ac:dyDescent="0.2">
      <c r="A194" s="215"/>
      <c r="B194" s="231" t="s">
        <v>216</v>
      </c>
      <c r="C194" s="342">
        <f t="shared" si="64"/>
        <v>0</v>
      </c>
      <c r="D194" s="232">
        <f t="shared" si="62"/>
        <v>15320.5</v>
      </c>
      <c r="E194" s="195">
        <v>0</v>
      </c>
      <c r="F194" s="229">
        <f>G194+H194+I194</f>
        <v>12277</v>
      </c>
      <c r="G194" s="229">
        <v>0</v>
      </c>
      <c r="H194" s="196">
        <f>11554+132+2+1</f>
        <v>11689</v>
      </c>
      <c r="I194" s="196">
        <f>583+7-3+1</f>
        <v>588</v>
      </c>
      <c r="J194" s="342">
        <v>0</v>
      </c>
      <c r="K194" s="218">
        <f t="shared" si="67"/>
        <v>0</v>
      </c>
      <c r="L194" s="218">
        <v>0</v>
      </c>
      <c r="M194" s="218">
        <v>0</v>
      </c>
      <c r="N194" s="218">
        <v>0</v>
      </c>
      <c r="O194" s="217">
        <v>0</v>
      </c>
      <c r="P194" s="218">
        <f t="shared" si="70"/>
        <v>3035</v>
      </c>
      <c r="Q194" s="218">
        <v>0</v>
      </c>
      <c r="R194" s="218">
        <v>2860</v>
      </c>
      <c r="S194" s="218">
        <v>175</v>
      </c>
      <c r="T194" s="217">
        <v>0</v>
      </c>
      <c r="U194" s="219">
        <f>V194+W194+X194</f>
        <v>8.5</v>
      </c>
      <c r="V194" s="218">
        <v>0</v>
      </c>
      <c r="W194" s="218">
        <v>8</v>
      </c>
      <c r="X194" s="218">
        <v>0.5</v>
      </c>
      <c r="Y194" s="217">
        <v>0</v>
      </c>
      <c r="Z194" s="218">
        <v>0</v>
      </c>
      <c r="AA194" s="218">
        <v>0</v>
      </c>
      <c r="AB194" s="218">
        <v>0</v>
      </c>
      <c r="AC194" s="218">
        <v>0</v>
      </c>
      <c r="AD194" s="221"/>
    </row>
    <row r="195" spans="1:30" s="15" customFormat="1" ht="30" customHeight="1" outlineLevel="1" x14ac:dyDescent="0.2">
      <c r="A195" s="445" t="s">
        <v>363</v>
      </c>
      <c r="B195" s="445"/>
      <c r="C195" s="445"/>
      <c r="D195" s="445"/>
      <c r="E195" s="445"/>
      <c r="F195" s="445"/>
      <c r="G195" s="445"/>
      <c r="H195" s="445"/>
      <c r="I195" s="445"/>
      <c r="J195" s="445"/>
      <c r="K195" s="445"/>
      <c r="L195" s="445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  <c r="AA195" s="445"/>
      <c r="AB195" s="445"/>
      <c r="AC195" s="445"/>
      <c r="AD195" s="221"/>
    </row>
    <row r="196" spans="1:30" s="14" customFormat="1" ht="39" customHeight="1" outlineLevel="1" x14ac:dyDescent="0.2">
      <c r="A196" s="215" t="s">
        <v>1212</v>
      </c>
      <c r="B196" s="236" t="s">
        <v>230</v>
      </c>
      <c r="C196" s="342">
        <f t="shared" ref="C196:C206" si="76">E196+J196+O196+T196+Y196</f>
        <v>33.700000000000003</v>
      </c>
      <c r="D196" s="232">
        <f t="shared" ref="D196:D206" si="77">F196+K196+P196+U196+Z196</f>
        <v>80424</v>
      </c>
      <c r="E196" s="342">
        <v>33.700000000000003</v>
      </c>
      <c r="F196" s="229">
        <f t="shared" ref="F196:F207" si="78">G196+H196+I196</f>
        <v>80424</v>
      </c>
      <c r="G196" s="229">
        <v>0</v>
      </c>
      <c r="H196" s="196">
        <v>76564</v>
      </c>
      <c r="I196" s="196">
        <v>3860</v>
      </c>
      <c r="J196" s="342">
        <v>0</v>
      </c>
      <c r="K196" s="218">
        <f>L196+M196+N196</f>
        <v>0</v>
      </c>
      <c r="L196" s="218">
        <v>0</v>
      </c>
      <c r="M196" s="218">
        <v>0</v>
      </c>
      <c r="N196" s="218">
        <v>0</v>
      </c>
      <c r="O196" s="217">
        <v>0</v>
      </c>
      <c r="P196" s="218">
        <f t="shared" ref="P196:P210" si="79">Q196+R196+S196</f>
        <v>0</v>
      </c>
      <c r="Q196" s="218">
        <v>0</v>
      </c>
      <c r="R196" s="218">
        <v>0</v>
      </c>
      <c r="S196" s="218">
        <v>0</v>
      </c>
      <c r="T196" s="217">
        <v>0</v>
      </c>
      <c r="U196" s="218">
        <f t="shared" ref="U196:U207" si="80">V196+W196+X196</f>
        <v>0</v>
      </c>
      <c r="V196" s="218">
        <v>0</v>
      </c>
      <c r="W196" s="218">
        <v>0</v>
      </c>
      <c r="X196" s="218">
        <v>0</v>
      </c>
      <c r="Y196" s="217">
        <v>0</v>
      </c>
      <c r="Z196" s="218">
        <f t="shared" ref="Z196:Z207" si="81">AA196+AB196+AC196</f>
        <v>0</v>
      </c>
      <c r="AA196" s="218">
        <v>0</v>
      </c>
      <c r="AB196" s="218">
        <v>0</v>
      </c>
      <c r="AC196" s="218">
        <v>0</v>
      </c>
      <c r="AD196" s="214"/>
    </row>
    <row r="197" spans="1:30" s="15" customFormat="1" ht="51" customHeight="1" outlineLevel="1" x14ac:dyDescent="0.2">
      <c r="A197" s="215" t="s">
        <v>1213</v>
      </c>
      <c r="B197" s="231" t="s">
        <v>201</v>
      </c>
      <c r="C197" s="342">
        <f t="shared" si="76"/>
        <v>14.33</v>
      </c>
      <c r="D197" s="232">
        <f t="shared" si="77"/>
        <v>31759</v>
      </c>
      <c r="E197" s="195">
        <v>14.33</v>
      </c>
      <c r="F197" s="229">
        <f t="shared" si="78"/>
        <v>31759</v>
      </c>
      <c r="G197" s="229">
        <v>0</v>
      </c>
      <c r="H197" s="196">
        <v>30235</v>
      </c>
      <c r="I197" s="229">
        <v>1524</v>
      </c>
      <c r="J197" s="342">
        <v>0</v>
      </c>
      <c r="K197" s="218">
        <f t="shared" ref="K197:K243" si="82">L197+M197+N197</f>
        <v>0</v>
      </c>
      <c r="L197" s="218">
        <v>0</v>
      </c>
      <c r="M197" s="218">
        <v>0</v>
      </c>
      <c r="N197" s="218">
        <v>0</v>
      </c>
      <c r="O197" s="217">
        <v>0</v>
      </c>
      <c r="P197" s="218">
        <f t="shared" si="79"/>
        <v>0</v>
      </c>
      <c r="Q197" s="218">
        <v>0</v>
      </c>
      <c r="R197" s="218">
        <v>0</v>
      </c>
      <c r="S197" s="218">
        <v>0</v>
      </c>
      <c r="T197" s="217">
        <v>0</v>
      </c>
      <c r="U197" s="218">
        <f t="shared" si="80"/>
        <v>0</v>
      </c>
      <c r="V197" s="218">
        <v>0</v>
      </c>
      <c r="W197" s="218">
        <v>0</v>
      </c>
      <c r="X197" s="218">
        <v>0</v>
      </c>
      <c r="Y197" s="217">
        <v>0</v>
      </c>
      <c r="Z197" s="218">
        <f t="shared" si="81"/>
        <v>0</v>
      </c>
      <c r="AA197" s="218">
        <v>0</v>
      </c>
      <c r="AB197" s="218">
        <v>0</v>
      </c>
      <c r="AC197" s="218">
        <v>0</v>
      </c>
      <c r="AD197" s="221"/>
    </row>
    <row r="198" spans="1:30" s="14" customFormat="1" ht="63.6" customHeight="1" outlineLevel="1" x14ac:dyDescent="0.2">
      <c r="A198" s="215" t="s">
        <v>1214</v>
      </c>
      <c r="B198" s="236" t="s">
        <v>231</v>
      </c>
      <c r="C198" s="342">
        <f t="shared" si="76"/>
        <v>12.3</v>
      </c>
      <c r="D198" s="232">
        <f t="shared" si="77"/>
        <v>24595</v>
      </c>
      <c r="E198" s="237">
        <v>12.3</v>
      </c>
      <c r="F198" s="229">
        <f t="shared" si="78"/>
        <v>24595</v>
      </c>
      <c r="G198" s="229">
        <v>0</v>
      </c>
      <c r="H198" s="196">
        <v>23414</v>
      </c>
      <c r="I198" s="196">
        <v>1181</v>
      </c>
      <c r="J198" s="342">
        <v>0</v>
      </c>
      <c r="K198" s="218">
        <f t="shared" si="82"/>
        <v>0</v>
      </c>
      <c r="L198" s="218">
        <v>0</v>
      </c>
      <c r="M198" s="218">
        <v>0</v>
      </c>
      <c r="N198" s="218">
        <v>0</v>
      </c>
      <c r="O198" s="217">
        <v>0</v>
      </c>
      <c r="P198" s="218">
        <f t="shared" si="79"/>
        <v>0</v>
      </c>
      <c r="Q198" s="218">
        <v>0</v>
      </c>
      <c r="R198" s="218">
        <v>0</v>
      </c>
      <c r="S198" s="218">
        <v>0</v>
      </c>
      <c r="T198" s="217">
        <v>0</v>
      </c>
      <c r="U198" s="218">
        <f t="shared" si="80"/>
        <v>0</v>
      </c>
      <c r="V198" s="218">
        <v>0</v>
      </c>
      <c r="W198" s="218">
        <v>0</v>
      </c>
      <c r="X198" s="218">
        <v>0</v>
      </c>
      <c r="Y198" s="217">
        <v>0</v>
      </c>
      <c r="Z198" s="218">
        <f t="shared" si="81"/>
        <v>0</v>
      </c>
      <c r="AA198" s="218">
        <v>0</v>
      </c>
      <c r="AB198" s="218">
        <v>0</v>
      </c>
      <c r="AC198" s="218">
        <v>0</v>
      </c>
      <c r="AD198" s="214"/>
    </row>
    <row r="199" spans="1:30" s="14" customFormat="1" ht="84" customHeight="1" outlineLevel="1" x14ac:dyDescent="0.2">
      <c r="A199" s="215" t="s">
        <v>1215</v>
      </c>
      <c r="B199" s="236" t="s">
        <v>232</v>
      </c>
      <c r="C199" s="342">
        <f t="shared" si="76"/>
        <v>39.11</v>
      </c>
      <c r="D199" s="232">
        <f t="shared" si="77"/>
        <v>90005</v>
      </c>
      <c r="E199" s="237">
        <v>39.11</v>
      </c>
      <c r="F199" s="229">
        <f t="shared" si="78"/>
        <v>90005</v>
      </c>
      <c r="G199" s="229">
        <v>0</v>
      </c>
      <c r="H199" s="196">
        <v>85685</v>
      </c>
      <c r="I199" s="196">
        <v>4320</v>
      </c>
      <c r="J199" s="342">
        <v>0</v>
      </c>
      <c r="K199" s="218">
        <f t="shared" si="82"/>
        <v>0</v>
      </c>
      <c r="L199" s="218">
        <v>0</v>
      </c>
      <c r="M199" s="218">
        <v>0</v>
      </c>
      <c r="N199" s="218">
        <v>0</v>
      </c>
      <c r="O199" s="217">
        <v>0</v>
      </c>
      <c r="P199" s="218">
        <f t="shared" si="79"/>
        <v>0</v>
      </c>
      <c r="Q199" s="218">
        <v>0</v>
      </c>
      <c r="R199" s="218">
        <v>0</v>
      </c>
      <c r="S199" s="218">
        <v>0</v>
      </c>
      <c r="T199" s="217">
        <v>0</v>
      </c>
      <c r="U199" s="218">
        <f t="shared" si="80"/>
        <v>0</v>
      </c>
      <c r="V199" s="218">
        <v>0</v>
      </c>
      <c r="W199" s="218">
        <v>0</v>
      </c>
      <c r="X199" s="218">
        <v>0</v>
      </c>
      <c r="Y199" s="217">
        <v>0</v>
      </c>
      <c r="Z199" s="218">
        <f t="shared" si="81"/>
        <v>0</v>
      </c>
      <c r="AA199" s="218">
        <v>0</v>
      </c>
      <c r="AB199" s="218">
        <v>0</v>
      </c>
      <c r="AC199" s="218">
        <v>0</v>
      </c>
      <c r="AD199" s="214"/>
    </row>
    <row r="200" spans="1:30" s="15" customFormat="1" ht="36" customHeight="1" outlineLevel="1" x14ac:dyDescent="0.2">
      <c r="A200" s="215" t="s">
        <v>1216</v>
      </c>
      <c r="B200" s="231" t="s">
        <v>204</v>
      </c>
      <c r="C200" s="342">
        <f t="shared" si="76"/>
        <v>6.66</v>
      </c>
      <c r="D200" s="232">
        <f t="shared" si="77"/>
        <v>14226</v>
      </c>
      <c r="E200" s="195">
        <v>6.66</v>
      </c>
      <c r="F200" s="229">
        <f t="shared" si="78"/>
        <v>14226</v>
      </c>
      <c r="G200" s="229">
        <v>0</v>
      </c>
      <c r="H200" s="196">
        <v>13543</v>
      </c>
      <c r="I200" s="229">
        <v>683</v>
      </c>
      <c r="J200" s="342">
        <v>0</v>
      </c>
      <c r="K200" s="218">
        <f t="shared" si="82"/>
        <v>0</v>
      </c>
      <c r="L200" s="218">
        <v>0</v>
      </c>
      <c r="M200" s="218">
        <v>0</v>
      </c>
      <c r="N200" s="218">
        <v>0</v>
      </c>
      <c r="O200" s="217">
        <v>0</v>
      </c>
      <c r="P200" s="218">
        <f t="shared" si="79"/>
        <v>0</v>
      </c>
      <c r="Q200" s="218">
        <v>0</v>
      </c>
      <c r="R200" s="218">
        <v>0</v>
      </c>
      <c r="S200" s="218">
        <v>0</v>
      </c>
      <c r="T200" s="217">
        <v>0</v>
      </c>
      <c r="U200" s="218">
        <f t="shared" si="80"/>
        <v>0</v>
      </c>
      <c r="V200" s="218">
        <v>0</v>
      </c>
      <c r="W200" s="218">
        <v>0</v>
      </c>
      <c r="X200" s="218">
        <v>0</v>
      </c>
      <c r="Y200" s="217">
        <v>0</v>
      </c>
      <c r="Z200" s="218">
        <f t="shared" si="81"/>
        <v>0</v>
      </c>
      <c r="AA200" s="218">
        <v>0</v>
      </c>
      <c r="AB200" s="218">
        <v>0</v>
      </c>
      <c r="AC200" s="218">
        <v>0</v>
      </c>
      <c r="AD200" s="221"/>
    </row>
    <row r="201" spans="1:30" s="14" customFormat="1" ht="49.15" customHeight="1" outlineLevel="1" x14ac:dyDescent="0.2">
      <c r="A201" s="215" t="s">
        <v>1217</v>
      </c>
      <c r="B201" s="236" t="s">
        <v>233</v>
      </c>
      <c r="C201" s="342">
        <f t="shared" si="76"/>
        <v>26.66</v>
      </c>
      <c r="D201" s="232">
        <f t="shared" si="77"/>
        <v>67036</v>
      </c>
      <c r="E201" s="237">
        <v>26.66</v>
      </c>
      <c r="F201" s="229">
        <f t="shared" si="78"/>
        <v>67036</v>
      </c>
      <c r="G201" s="229">
        <v>0</v>
      </c>
      <c r="H201" s="196">
        <v>63818</v>
      </c>
      <c r="I201" s="196">
        <v>3218</v>
      </c>
      <c r="J201" s="342">
        <v>0</v>
      </c>
      <c r="K201" s="218">
        <f t="shared" si="82"/>
        <v>0</v>
      </c>
      <c r="L201" s="218">
        <v>0</v>
      </c>
      <c r="M201" s="218">
        <v>0</v>
      </c>
      <c r="N201" s="218">
        <v>0</v>
      </c>
      <c r="O201" s="217">
        <v>0</v>
      </c>
      <c r="P201" s="218">
        <f t="shared" si="79"/>
        <v>0</v>
      </c>
      <c r="Q201" s="218">
        <v>0</v>
      </c>
      <c r="R201" s="218">
        <v>0</v>
      </c>
      <c r="S201" s="218">
        <v>0</v>
      </c>
      <c r="T201" s="217">
        <v>0</v>
      </c>
      <c r="U201" s="218">
        <f t="shared" si="80"/>
        <v>0</v>
      </c>
      <c r="V201" s="218">
        <v>0</v>
      </c>
      <c r="W201" s="218">
        <v>0</v>
      </c>
      <c r="X201" s="218">
        <v>0</v>
      </c>
      <c r="Y201" s="217">
        <v>0</v>
      </c>
      <c r="Z201" s="218">
        <f t="shared" si="81"/>
        <v>0</v>
      </c>
      <c r="AA201" s="218">
        <v>0</v>
      </c>
      <c r="AB201" s="218">
        <v>0</v>
      </c>
      <c r="AC201" s="218">
        <v>0</v>
      </c>
      <c r="AD201" s="214"/>
    </row>
    <row r="202" spans="1:30" s="14" customFormat="1" ht="53.45" customHeight="1" outlineLevel="1" x14ac:dyDescent="0.2">
      <c r="A202" s="215" t="s">
        <v>1218</v>
      </c>
      <c r="B202" s="236" t="s">
        <v>203</v>
      </c>
      <c r="C202" s="342">
        <f t="shared" si="76"/>
        <v>51.6</v>
      </c>
      <c r="D202" s="232">
        <f t="shared" si="77"/>
        <v>106911</v>
      </c>
      <c r="E202" s="237">
        <v>51.6</v>
      </c>
      <c r="F202" s="229">
        <f t="shared" si="78"/>
        <v>106911</v>
      </c>
      <c r="G202" s="229">
        <v>0</v>
      </c>
      <c r="H202" s="196">
        <v>101779</v>
      </c>
      <c r="I202" s="196">
        <v>5132</v>
      </c>
      <c r="J202" s="342">
        <v>0</v>
      </c>
      <c r="K202" s="218">
        <f t="shared" si="82"/>
        <v>0</v>
      </c>
      <c r="L202" s="218">
        <v>0</v>
      </c>
      <c r="M202" s="218">
        <v>0</v>
      </c>
      <c r="N202" s="218">
        <v>0</v>
      </c>
      <c r="O202" s="217">
        <v>0</v>
      </c>
      <c r="P202" s="218">
        <f t="shared" si="79"/>
        <v>0</v>
      </c>
      <c r="Q202" s="218">
        <v>0</v>
      </c>
      <c r="R202" s="218">
        <v>0</v>
      </c>
      <c r="S202" s="218">
        <v>0</v>
      </c>
      <c r="T202" s="217">
        <v>0</v>
      </c>
      <c r="U202" s="218">
        <f t="shared" si="80"/>
        <v>0</v>
      </c>
      <c r="V202" s="218">
        <v>0</v>
      </c>
      <c r="W202" s="218">
        <v>0</v>
      </c>
      <c r="X202" s="218">
        <v>0</v>
      </c>
      <c r="Y202" s="217">
        <v>0</v>
      </c>
      <c r="Z202" s="218">
        <f t="shared" si="81"/>
        <v>0</v>
      </c>
      <c r="AA202" s="218">
        <v>0</v>
      </c>
      <c r="AB202" s="218">
        <v>0</v>
      </c>
      <c r="AC202" s="218">
        <v>0</v>
      </c>
      <c r="AD202" s="214"/>
    </row>
    <row r="203" spans="1:30" s="14" customFormat="1" ht="47.45" customHeight="1" outlineLevel="1" x14ac:dyDescent="0.2">
      <c r="A203" s="215" t="s">
        <v>1219</v>
      </c>
      <c r="B203" s="236" t="s">
        <v>671</v>
      </c>
      <c r="C203" s="342">
        <f t="shared" si="76"/>
        <v>29.7</v>
      </c>
      <c r="D203" s="232">
        <f t="shared" si="77"/>
        <v>76629</v>
      </c>
      <c r="E203" s="342">
        <v>29.7</v>
      </c>
      <c r="F203" s="229">
        <f t="shared" si="78"/>
        <v>76629</v>
      </c>
      <c r="G203" s="229">
        <v>0</v>
      </c>
      <c r="H203" s="196">
        <v>72951</v>
      </c>
      <c r="I203" s="196">
        <v>3678</v>
      </c>
      <c r="J203" s="342">
        <v>0</v>
      </c>
      <c r="K203" s="218">
        <f t="shared" si="82"/>
        <v>0</v>
      </c>
      <c r="L203" s="218">
        <v>0</v>
      </c>
      <c r="M203" s="218">
        <v>0</v>
      </c>
      <c r="N203" s="218">
        <v>0</v>
      </c>
      <c r="O203" s="217">
        <v>0</v>
      </c>
      <c r="P203" s="218">
        <f t="shared" si="79"/>
        <v>0</v>
      </c>
      <c r="Q203" s="218">
        <v>0</v>
      </c>
      <c r="R203" s="218">
        <v>0</v>
      </c>
      <c r="S203" s="218">
        <v>0</v>
      </c>
      <c r="T203" s="217">
        <v>0</v>
      </c>
      <c r="U203" s="218">
        <f t="shared" si="80"/>
        <v>0</v>
      </c>
      <c r="V203" s="218">
        <v>0</v>
      </c>
      <c r="W203" s="218">
        <v>0</v>
      </c>
      <c r="X203" s="218">
        <v>0</v>
      </c>
      <c r="Y203" s="217">
        <v>0</v>
      </c>
      <c r="Z203" s="218">
        <f t="shared" si="81"/>
        <v>0</v>
      </c>
      <c r="AA203" s="218">
        <v>0</v>
      </c>
      <c r="AB203" s="218">
        <v>0</v>
      </c>
      <c r="AC203" s="218">
        <v>0</v>
      </c>
      <c r="AD203" s="214"/>
    </row>
    <row r="204" spans="1:30" s="14" customFormat="1" ht="28.5" customHeight="1" outlineLevel="1" x14ac:dyDescent="0.2">
      <c r="A204" s="215" t="s">
        <v>1220</v>
      </c>
      <c r="B204" s="236" t="s">
        <v>234</v>
      </c>
      <c r="C204" s="342">
        <f t="shared" si="76"/>
        <v>32.51</v>
      </c>
      <c r="D204" s="232">
        <f t="shared" si="77"/>
        <v>109670</v>
      </c>
      <c r="E204" s="237">
        <v>32.51</v>
      </c>
      <c r="F204" s="229">
        <f t="shared" si="78"/>
        <v>109670</v>
      </c>
      <c r="G204" s="229">
        <v>0</v>
      </c>
      <c r="H204" s="196">
        <v>104406</v>
      </c>
      <c r="I204" s="196">
        <v>5264</v>
      </c>
      <c r="J204" s="342">
        <v>0</v>
      </c>
      <c r="K204" s="218">
        <f t="shared" si="82"/>
        <v>0</v>
      </c>
      <c r="L204" s="218">
        <v>0</v>
      </c>
      <c r="M204" s="218">
        <v>0</v>
      </c>
      <c r="N204" s="218">
        <v>0</v>
      </c>
      <c r="O204" s="217">
        <v>0</v>
      </c>
      <c r="P204" s="218">
        <f t="shared" si="79"/>
        <v>0</v>
      </c>
      <c r="Q204" s="218">
        <v>0</v>
      </c>
      <c r="R204" s="218">
        <v>0</v>
      </c>
      <c r="S204" s="218">
        <v>0</v>
      </c>
      <c r="T204" s="217">
        <v>0</v>
      </c>
      <c r="U204" s="218">
        <f t="shared" si="80"/>
        <v>0</v>
      </c>
      <c r="V204" s="218">
        <v>0</v>
      </c>
      <c r="W204" s="218">
        <v>0</v>
      </c>
      <c r="X204" s="218">
        <v>0</v>
      </c>
      <c r="Y204" s="217">
        <v>0</v>
      </c>
      <c r="Z204" s="218">
        <f t="shared" si="81"/>
        <v>0</v>
      </c>
      <c r="AA204" s="218">
        <v>0</v>
      </c>
      <c r="AB204" s="218">
        <v>0</v>
      </c>
      <c r="AC204" s="218">
        <v>0</v>
      </c>
      <c r="AD204" s="214"/>
    </row>
    <row r="205" spans="1:30" s="15" customFormat="1" ht="30" customHeight="1" outlineLevel="1" x14ac:dyDescent="0.2">
      <c r="A205" s="215" t="s">
        <v>1221</v>
      </c>
      <c r="B205" s="231" t="s">
        <v>235</v>
      </c>
      <c r="C205" s="342">
        <f t="shared" si="76"/>
        <v>2.0699999999999998</v>
      </c>
      <c r="D205" s="232">
        <f t="shared" si="77"/>
        <v>3457</v>
      </c>
      <c r="E205" s="195">
        <v>2.0699999999999998</v>
      </c>
      <c r="F205" s="229">
        <f t="shared" si="78"/>
        <v>3457</v>
      </c>
      <c r="G205" s="229">
        <v>0</v>
      </c>
      <c r="H205" s="196">
        <v>3291</v>
      </c>
      <c r="I205" s="229">
        <v>166</v>
      </c>
      <c r="J205" s="342">
        <v>0</v>
      </c>
      <c r="K205" s="218">
        <f t="shared" si="82"/>
        <v>0</v>
      </c>
      <c r="L205" s="218">
        <v>0</v>
      </c>
      <c r="M205" s="218">
        <v>0</v>
      </c>
      <c r="N205" s="218">
        <v>0</v>
      </c>
      <c r="O205" s="217">
        <v>0</v>
      </c>
      <c r="P205" s="218">
        <f t="shared" si="79"/>
        <v>0</v>
      </c>
      <c r="Q205" s="218">
        <v>0</v>
      </c>
      <c r="R205" s="218">
        <v>0</v>
      </c>
      <c r="S205" s="218">
        <v>0</v>
      </c>
      <c r="T205" s="217">
        <v>0</v>
      </c>
      <c r="U205" s="218">
        <f t="shared" si="80"/>
        <v>0</v>
      </c>
      <c r="V205" s="218">
        <v>0</v>
      </c>
      <c r="W205" s="218">
        <v>0</v>
      </c>
      <c r="X205" s="218">
        <v>0</v>
      </c>
      <c r="Y205" s="217">
        <v>0</v>
      </c>
      <c r="Z205" s="218">
        <f t="shared" si="81"/>
        <v>0</v>
      </c>
      <c r="AA205" s="218">
        <v>0</v>
      </c>
      <c r="AB205" s="218">
        <v>0</v>
      </c>
      <c r="AC205" s="218">
        <v>0</v>
      </c>
      <c r="AD205" s="221"/>
    </row>
    <row r="206" spans="1:30" s="15" customFormat="1" ht="61.5" customHeight="1" outlineLevel="1" x14ac:dyDescent="0.2">
      <c r="A206" s="215" t="s">
        <v>1222</v>
      </c>
      <c r="B206" s="231" t="s">
        <v>358</v>
      </c>
      <c r="C206" s="342">
        <f t="shared" si="76"/>
        <v>95.759999999999991</v>
      </c>
      <c r="D206" s="232">
        <f t="shared" si="77"/>
        <v>153358</v>
      </c>
      <c r="E206" s="195">
        <v>45.6</v>
      </c>
      <c r="F206" s="229">
        <f t="shared" si="78"/>
        <v>74058</v>
      </c>
      <c r="G206" s="229">
        <v>0</v>
      </c>
      <c r="H206" s="196">
        <v>70503</v>
      </c>
      <c r="I206" s="229">
        <v>3555</v>
      </c>
      <c r="J206" s="342">
        <v>50.16</v>
      </c>
      <c r="K206" s="218">
        <f t="shared" si="82"/>
        <v>79300</v>
      </c>
      <c r="L206" s="218">
        <v>0</v>
      </c>
      <c r="M206" s="218">
        <v>74701</v>
      </c>
      <c r="N206" s="218">
        <v>4599</v>
      </c>
      <c r="O206" s="217">
        <v>0</v>
      </c>
      <c r="P206" s="218">
        <f t="shared" si="79"/>
        <v>0</v>
      </c>
      <c r="Q206" s="218">
        <v>0</v>
      </c>
      <c r="R206" s="218">
        <v>0</v>
      </c>
      <c r="S206" s="218">
        <v>0</v>
      </c>
      <c r="T206" s="217">
        <v>0</v>
      </c>
      <c r="U206" s="218">
        <f t="shared" si="80"/>
        <v>0</v>
      </c>
      <c r="V206" s="218">
        <v>0</v>
      </c>
      <c r="W206" s="218">
        <v>0</v>
      </c>
      <c r="X206" s="218">
        <v>0</v>
      </c>
      <c r="Y206" s="217">
        <v>0</v>
      </c>
      <c r="Z206" s="218">
        <f t="shared" si="81"/>
        <v>0</v>
      </c>
      <c r="AA206" s="218">
        <v>0</v>
      </c>
      <c r="AB206" s="218">
        <v>0</v>
      </c>
      <c r="AC206" s="218">
        <v>0</v>
      </c>
      <c r="AD206" s="221"/>
    </row>
    <row r="207" spans="1:30" s="15" customFormat="1" ht="36.75" customHeight="1" outlineLevel="1" x14ac:dyDescent="0.2">
      <c r="A207" s="215" t="s">
        <v>1223</v>
      </c>
      <c r="B207" s="231" t="s">
        <v>202</v>
      </c>
      <c r="C207" s="342">
        <f t="shared" ref="C207:D209" si="83">E207+J207+O207+T207+Y207</f>
        <v>1.59</v>
      </c>
      <c r="D207" s="232">
        <f t="shared" si="83"/>
        <v>3910</v>
      </c>
      <c r="E207" s="195">
        <v>1.59</v>
      </c>
      <c r="F207" s="229">
        <f t="shared" si="78"/>
        <v>3910</v>
      </c>
      <c r="G207" s="229">
        <v>0</v>
      </c>
      <c r="H207" s="196">
        <v>3722</v>
      </c>
      <c r="I207" s="229">
        <v>188</v>
      </c>
      <c r="J207" s="342">
        <v>0</v>
      </c>
      <c r="K207" s="218">
        <f t="shared" si="82"/>
        <v>0</v>
      </c>
      <c r="L207" s="218">
        <v>0</v>
      </c>
      <c r="M207" s="218">
        <v>0</v>
      </c>
      <c r="N207" s="218">
        <v>0</v>
      </c>
      <c r="O207" s="217">
        <v>0</v>
      </c>
      <c r="P207" s="218">
        <f t="shared" si="79"/>
        <v>0</v>
      </c>
      <c r="Q207" s="218">
        <v>0</v>
      </c>
      <c r="R207" s="218">
        <v>0</v>
      </c>
      <c r="S207" s="218">
        <v>0</v>
      </c>
      <c r="T207" s="217">
        <v>0</v>
      </c>
      <c r="U207" s="218">
        <f t="shared" si="80"/>
        <v>0</v>
      </c>
      <c r="V207" s="218">
        <v>0</v>
      </c>
      <c r="W207" s="218">
        <v>0</v>
      </c>
      <c r="X207" s="218">
        <v>0</v>
      </c>
      <c r="Y207" s="217">
        <v>0</v>
      </c>
      <c r="Z207" s="218">
        <f t="shared" si="81"/>
        <v>0</v>
      </c>
      <c r="AA207" s="218">
        <v>0</v>
      </c>
      <c r="AB207" s="218">
        <v>0</v>
      </c>
      <c r="AC207" s="218">
        <v>0</v>
      </c>
      <c r="AD207" s="221"/>
    </row>
    <row r="208" spans="1:30" s="15" customFormat="1" ht="27.75" customHeight="1" outlineLevel="1" x14ac:dyDescent="0.2">
      <c r="A208" s="215" t="s">
        <v>1224</v>
      </c>
      <c r="B208" s="231" t="s">
        <v>388</v>
      </c>
      <c r="C208" s="342">
        <f t="shared" si="83"/>
        <v>34.46</v>
      </c>
      <c r="D208" s="232">
        <f t="shared" si="83"/>
        <v>104044</v>
      </c>
      <c r="E208" s="195">
        <v>0</v>
      </c>
      <c r="F208" s="229">
        <f>G208+H208+I208</f>
        <v>0</v>
      </c>
      <c r="G208" s="229">
        <v>0</v>
      </c>
      <c r="H208" s="196">
        <v>0</v>
      </c>
      <c r="I208" s="196">
        <v>0</v>
      </c>
      <c r="J208" s="342">
        <v>0</v>
      </c>
      <c r="K208" s="218">
        <f>L208+M208+N208</f>
        <v>0</v>
      </c>
      <c r="L208" s="218">
        <v>0</v>
      </c>
      <c r="M208" s="218">
        <v>0</v>
      </c>
      <c r="N208" s="218">
        <v>0</v>
      </c>
      <c r="O208" s="217">
        <v>34.46</v>
      </c>
      <c r="P208" s="218">
        <f t="shared" si="79"/>
        <v>104044</v>
      </c>
      <c r="Q208" s="218">
        <v>0</v>
      </c>
      <c r="R208" s="218">
        <f>55264+42745</f>
        <v>98009</v>
      </c>
      <c r="S208" s="218">
        <f>3403+2632</f>
        <v>6035</v>
      </c>
      <c r="T208" s="342">
        <v>0</v>
      </c>
      <c r="U208" s="218">
        <f>V208+W208+X208</f>
        <v>0</v>
      </c>
      <c r="V208" s="218">
        <v>0</v>
      </c>
      <c r="W208" s="218">
        <v>0</v>
      </c>
      <c r="X208" s="218">
        <v>0</v>
      </c>
      <c r="Y208" s="217">
        <v>0</v>
      </c>
      <c r="Z208" s="218">
        <v>0</v>
      </c>
      <c r="AA208" s="218">
        <v>0</v>
      </c>
      <c r="AB208" s="218">
        <v>0</v>
      </c>
      <c r="AC208" s="218">
        <v>0</v>
      </c>
      <c r="AD208" s="221"/>
    </row>
    <row r="209" spans="1:30" s="15" customFormat="1" ht="27.75" customHeight="1" outlineLevel="1" x14ac:dyDescent="0.2">
      <c r="A209" s="215" t="s">
        <v>1225</v>
      </c>
      <c r="B209" s="231" t="s">
        <v>387</v>
      </c>
      <c r="C209" s="342">
        <f>E209+J209+O209+T209+Y209</f>
        <v>16.23</v>
      </c>
      <c r="D209" s="232">
        <f t="shared" si="83"/>
        <v>55332</v>
      </c>
      <c r="E209" s="195">
        <v>0</v>
      </c>
      <c r="F209" s="229">
        <f>G209+H209+I209</f>
        <v>0</v>
      </c>
      <c r="G209" s="229">
        <v>0</v>
      </c>
      <c r="H209" s="196">
        <v>0</v>
      </c>
      <c r="I209" s="196">
        <v>0</v>
      </c>
      <c r="J209" s="342">
        <v>0</v>
      </c>
      <c r="K209" s="218">
        <f>L209+M209+N209</f>
        <v>0</v>
      </c>
      <c r="L209" s="218">
        <v>0</v>
      </c>
      <c r="M209" s="218">
        <v>0</v>
      </c>
      <c r="N209" s="218">
        <v>0</v>
      </c>
      <c r="O209" s="217">
        <v>16.23</v>
      </c>
      <c r="P209" s="218">
        <f t="shared" si="79"/>
        <v>55332</v>
      </c>
      <c r="Q209" s="218">
        <v>0</v>
      </c>
      <c r="R209" s="218">
        <f>108637-56514</f>
        <v>52123</v>
      </c>
      <c r="S209" s="218">
        <f>6689-3480</f>
        <v>3209</v>
      </c>
      <c r="T209" s="342">
        <v>0</v>
      </c>
      <c r="U209" s="218">
        <f>V209+W209+X209</f>
        <v>0</v>
      </c>
      <c r="V209" s="218">
        <v>0</v>
      </c>
      <c r="W209" s="218">
        <v>0</v>
      </c>
      <c r="X209" s="218">
        <v>0</v>
      </c>
      <c r="Y209" s="217">
        <v>0</v>
      </c>
      <c r="Z209" s="218">
        <v>0</v>
      </c>
      <c r="AA209" s="218">
        <v>0</v>
      </c>
      <c r="AB209" s="218">
        <v>0</v>
      </c>
      <c r="AC209" s="218">
        <v>0</v>
      </c>
      <c r="AD209" s="221"/>
    </row>
    <row r="210" spans="1:30" s="15" customFormat="1" ht="27.75" customHeight="1" outlineLevel="1" x14ac:dyDescent="0.2">
      <c r="A210" s="215" t="s">
        <v>1226</v>
      </c>
      <c r="B210" s="231" t="s">
        <v>302</v>
      </c>
      <c r="C210" s="342">
        <f t="shared" ref="C210:C215" si="84">E210+J210+O210+T210+Y210</f>
        <v>26.05</v>
      </c>
      <c r="D210" s="232">
        <f t="shared" ref="D210:D215" si="85">F210+K210+P210+U210+Z210</f>
        <v>70285</v>
      </c>
      <c r="E210" s="195">
        <v>0</v>
      </c>
      <c r="F210" s="229">
        <f t="shared" ref="F210:F215" si="86">G210+H210+I210</f>
        <v>0</v>
      </c>
      <c r="G210" s="229">
        <v>0</v>
      </c>
      <c r="H210" s="196">
        <v>0</v>
      </c>
      <c r="I210" s="196">
        <v>0</v>
      </c>
      <c r="J210" s="342">
        <v>26.05</v>
      </c>
      <c r="K210" s="218">
        <f t="shared" si="82"/>
        <v>70285</v>
      </c>
      <c r="L210" s="218">
        <v>0</v>
      </c>
      <c r="M210" s="218">
        <v>66208</v>
      </c>
      <c r="N210" s="218">
        <v>4077</v>
      </c>
      <c r="O210" s="217">
        <v>0</v>
      </c>
      <c r="P210" s="218">
        <f t="shared" si="79"/>
        <v>0</v>
      </c>
      <c r="Q210" s="218">
        <v>0</v>
      </c>
      <c r="R210" s="218">
        <v>0</v>
      </c>
      <c r="S210" s="218">
        <v>0</v>
      </c>
      <c r="T210" s="217">
        <v>0</v>
      </c>
      <c r="U210" s="218">
        <f t="shared" ref="U210:U215" si="87">V210+W210+X210</f>
        <v>0</v>
      </c>
      <c r="V210" s="218">
        <v>0</v>
      </c>
      <c r="W210" s="218">
        <v>0</v>
      </c>
      <c r="X210" s="218">
        <v>0</v>
      </c>
      <c r="Y210" s="217">
        <v>0</v>
      </c>
      <c r="Z210" s="218">
        <f t="shared" ref="Z210:Z215" si="88">AA210+AB210+AC210</f>
        <v>0</v>
      </c>
      <c r="AA210" s="218">
        <v>0</v>
      </c>
      <c r="AB210" s="218">
        <v>0</v>
      </c>
      <c r="AC210" s="218">
        <v>0</v>
      </c>
      <c r="AD210" s="221"/>
    </row>
    <row r="211" spans="1:30" s="15" customFormat="1" ht="33" customHeight="1" outlineLevel="1" x14ac:dyDescent="0.2">
      <c r="A211" s="215" t="s">
        <v>1227</v>
      </c>
      <c r="B211" s="231" t="s">
        <v>303</v>
      </c>
      <c r="C211" s="342">
        <f t="shared" si="84"/>
        <v>62.48</v>
      </c>
      <c r="D211" s="232">
        <f t="shared" si="85"/>
        <v>179685</v>
      </c>
      <c r="E211" s="195">
        <v>0</v>
      </c>
      <c r="F211" s="229">
        <f t="shared" si="86"/>
        <v>0</v>
      </c>
      <c r="G211" s="229">
        <v>0</v>
      </c>
      <c r="H211" s="196">
        <v>0</v>
      </c>
      <c r="I211" s="196">
        <v>0</v>
      </c>
      <c r="J211" s="342">
        <v>62.48</v>
      </c>
      <c r="K211" s="218">
        <f t="shared" si="82"/>
        <v>179685</v>
      </c>
      <c r="L211" s="218">
        <v>0</v>
      </c>
      <c r="M211" s="218">
        <v>169263</v>
      </c>
      <c r="N211" s="218">
        <v>10422</v>
      </c>
      <c r="O211" s="217">
        <v>0</v>
      </c>
      <c r="P211" s="218">
        <v>0</v>
      </c>
      <c r="Q211" s="218">
        <v>0</v>
      </c>
      <c r="R211" s="218">
        <v>0</v>
      </c>
      <c r="S211" s="218">
        <v>0</v>
      </c>
      <c r="T211" s="217">
        <v>0</v>
      </c>
      <c r="U211" s="218">
        <f t="shared" si="87"/>
        <v>0</v>
      </c>
      <c r="V211" s="218">
        <v>0</v>
      </c>
      <c r="W211" s="218">
        <v>0</v>
      </c>
      <c r="X211" s="218">
        <v>0</v>
      </c>
      <c r="Y211" s="217">
        <v>0</v>
      </c>
      <c r="Z211" s="218">
        <f t="shared" si="88"/>
        <v>0</v>
      </c>
      <c r="AA211" s="218">
        <v>0</v>
      </c>
      <c r="AB211" s="218">
        <v>0</v>
      </c>
      <c r="AC211" s="218">
        <v>0</v>
      </c>
      <c r="AD211" s="221"/>
    </row>
    <row r="212" spans="1:30" s="15" customFormat="1" ht="41.25" customHeight="1" outlineLevel="1" x14ac:dyDescent="0.2">
      <c r="A212" s="215" t="s">
        <v>1228</v>
      </c>
      <c r="B212" s="231" t="s">
        <v>304</v>
      </c>
      <c r="C212" s="342">
        <f t="shared" si="84"/>
        <v>10.210000000000001</v>
      </c>
      <c r="D212" s="232">
        <f t="shared" si="85"/>
        <v>27965</v>
      </c>
      <c r="E212" s="195">
        <v>0</v>
      </c>
      <c r="F212" s="229">
        <f t="shared" si="86"/>
        <v>0</v>
      </c>
      <c r="G212" s="229">
        <v>0</v>
      </c>
      <c r="H212" s="196">
        <v>0</v>
      </c>
      <c r="I212" s="196">
        <v>0</v>
      </c>
      <c r="J212" s="342">
        <v>10.210000000000001</v>
      </c>
      <c r="K212" s="218">
        <f t="shared" si="82"/>
        <v>27965</v>
      </c>
      <c r="L212" s="218">
        <v>0</v>
      </c>
      <c r="M212" s="218">
        <v>26343</v>
      </c>
      <c r="N212" s="218">
        <v>1622</v>
      </c>
      <c r="O212" s="217">
        <v>0</v>
      </c>
      <c r="P212" s="218">
        <f>Q212+R212+S212</f>
        <v>0</v>
      </c>
      <c r="Q212" s="218">
        <v>0</v>
      </c>
      <c r="R212" s="218">
        <v>0</v>
      </c>
      <c r="S212" s="218">
        <v>0</v>
      </c>
      <c r="T212" s="217">
        <v>0</v>
      </c>
      <c r="U212" s="218">
        <f t="shared" si="87"/>
        <v>0</v>
      </c>
      <c r="V212" s="218">
        <v>0</v>
      </c>
      <c r="W212" s="218">
        <v>0</v>
      </c>
      <c r="X212" s="218">
        <v>0</v>
      </c>
      <c r="Y212" s="217">
        <v>0</v>
      </c>
      <c r="Z212" s="218">
        <f t="shared" si="88"/>
        <v>0</v>
      </c>
      <c r="AA212" s="218">
        <v>0</v>
      </c>
      <c r="AB212" s="218">
        <v>0</v>
      </c>
      <c r="AC212" s="218">
        <v>0</v>
      </c>
      <c r="AD212" s="221"/>
    </row>
    <row r="213" spans="1:30" s="15" customFormat="1" ht="25.5" customHeight="1" outlineLevel="1" x14ac:dyDescent="0.2">
      <c r="A213" s="215" t="s">
        <v>502</v>
      </c>
      <c r="B213" s="231" t="s">
        <v>672</v>
      </c>
      <c r="C213" s="342">
        <f t="shared" si="84"/>
        <v>41.93</v>
      </c>
      <c r="D213" s="232">
        <f t="shared" si="85"/>
        <v>105508</v>
      </c>
      <c r="E213" s="195">
        <v>0</v>
      </c>
      <c r="F213" s="229">
        <f t="shared" si="86"/>
        <v>0</v>
      </c>
      <c r="G213" s="229">
        <v>0</v>
      </c>
      <c r="H213" s="196">
        <v>0</v>
      </c>
      <c r="I213" s="196">
        <v>0</v>
      </c>
      <c r="J213" s="342">
        <v>41.93</v>
      </c>
      <c r="K213" s="218">
        <f t="shared" si="82"/>
        <v>105508</v>
      </c>
      <c r="L213" s="218">
        <v>0</v>
      </c>
      <c r="M213" s="218">
        <v>99388</v>
      </c>
      <c r="N213" s="218">
        <v>6120</v>
      </c>
      <c r="O213" s="217">
        <v>0</v>
      </c>
      <c r="P213" s="218">
        <f>Q213+R213+S213</f>
        <v>0</v>
      </c>
      <c r="Q213" s="218">
        <v>0</v>
      </c>
      <c r="R213" s="218">
        <v>0</v>
      </c>
      <c r="S213" s="218">
        <v>0</v>
      </c>
      <c r="T213" s="217">
        <v>0</v>
      </c>
      <c r="U213" s="218">
        <f t="shared" si="87"/>
        <v>0</v>
      </c>
      <c r="V213" s="218">
        <v>0</v>
      </c>
      <c r="W213" s="218">
        <v>0</v>
      </c>
      <c r="X213" s="218">
        <v>0</v>
      </c>
      <c r="Y213" s="217">
        <v>0</v>
      </c>
      <c r="Z213" s="218">
        <f t="shared" si="88"/>
        <v>0</v>
      </c>
      <c r="AA213" s="218">
        <v>0</v>
      </c>
      <c r="AB213" s="218">
        <v>0</v>
      </c>
      <c r="AC213" s="218">
        <v>0</v>
      </c>
      <c r="AD213" s="221"/>
    </row>
    <row r="214" spans="1:30" s="15" customFormat="1" ht="28.5" customHeight="1" outlineLevel="1" x14ac:dyDescent="0.2">
      <c r="A214" s="215" t="s">
        <v>1229</v>
      </c>
      <c r="B214" s="231" t="s">
        <v>305</v>
      </c>
      <c r="C214" s="342">
        <f t="shared" si="84"/>
        <v>10.67</v>
      </c>
      <c r="D214" s="232">
        <f t="shared" si="85"/>
        <v>24936</v>
      </c>
      <c r="E214" s="195">
        <v>0</v>
      </c>
      <c r="F214" s="229">
        <f t="shared" si="86"/>
        <v>0</v>
      </c>
      <c r="G214" s="229">
        <v>0</v>
      </c>
      <c r="H214" s="196">
        <v>0</v>
      </c>
      <c r="I214" s="196">
        <v>0</v>
      </c>
      <c r="J214" s="342">
        <v>10.67</v>
      </c>
      <c r="K214" s="218">
        <f t="shared" si="82"/>
        <v>24936</v>
      </c>
      <c r="L214" s="218">
        <v>0</v>
      </c>
      <c r="M214" s="218">
        <v>23490</v>
      </c>
      <c r="N214" s="218">
        <v>1446</v>
      </c>
      <c r="O214" s="217">
        <v>0</v>
      </c>
      <c r="P214" s="218">
        <f>Q214+R214+S214</f>
        <v>0</v>
      </c>
      <c r="Q214" s="218">
        <v>0</v>
      </c>
      <c r="R214" s="218">
        <v>0</v>
      </c>
      <c r="S214" s="218">
        <v>0</v>
      </c>
      <c r="T214" s="217">
        <v>0</v>
      </c>
      <c r="U214" s="218">
        <f t="shared" si="87"/>
        <v>0</v>
      </c>
      <c r="V214" s="218">
        <v>0</v>
      </c>
      <c r="W214" s="218">
        <v>0</v>
      </c>
      <c r="X214" s="218">
        <v>0</v>
      </c>
      <c r="Y214" s="217">
        <v>0</v>
      </c>
      <c r="Z214" s="218">
        <f t="shared" si="88"/>
        <v>0</v>
      </c>
      <c r="AA214" s="218">
        <v>0</v>
      </c>
      <c r="AB214" s="218">
        <v>0</v>
      </c>
      <c r="AC214" s="218">
        <v>0</v>
      </c>
      <c r="AD214" s="221"/>
    </row>
    <row r="215" spans="1:30" s="15" customFormat="1" ht="31.5" customHeight="1" outlineLevel="1" x14ac:dyDescent="0.2">
      <c r="A215" s="215" t="s">
        <v>1230</v>
      </c>
      <c r="B215" s="231" t="s">
        <v>306</v>
      </c>
      <c r="C215" s="342">
        <f t="shared" si="84"/>
        <v>7.85</v>
      </c>
      <c r="D215" s="232">
        <f t="shared" si="85"/>
        <v>22609</v>
      </c>
      <c r="E215" s="195">
        <v>0</v>
      </c>
      <c r="F215" s="229">
        <f t="shared" si="86"/>
        <v>0</v>
      </c>
      <c r="G215" s="229">
        <v>0</v>
      </c>
      <c r="H215" s="196">
        <v>0</v>
      </c>
      <c r="I215" s="196">
        <v>0</v>
      </c>
      <c r="J215" s="342">
        <v>7.85</v>
      </c>
      <c r="K215" s="218">
        <f t="shared" si="82"/>
        <v>22609</v>
      </c>
      <c r="L215" s="218">
        <v>0</v>
      </c>
      <c r="M215" s="218">
        <v>21298</v>
      </c>
      <c r="N215" s="218">
        <v>1311</v>
      </c>
      <c r="O215" s="217">
        <v>0</v>
      </c>
      <c r="P215" s="218">
        <f>Q215+R215+S215</f>
        <v>0</v>
      </c>
      <c r="Q215" s="218">
        <v>0</v>
      </c>
      <c r="R215" s="218">
        <v>0</v>
      </c>
      <c r="S215" s="218">
        <v>0</v>
      </c>
      <c r="T215" s="217">
        <v>0</v>
      </c>
      <c r="U215" s="218">
        <f t="shared" si="87"/>
        <v>0</v>
      </c>
      <c r="V215" s="218">
        <v>0</v>
      </c>
      <c r="W215" s="218">
        <v>0</v>
      </c>
      <c r="X215" s="218">
        <v>0</v>
      </c>
      <c r="Y215" s="217">
        <v>0</v>
      </c>
      <c r="Z215" s="218">
        <f t="shared" si="88"/>
        <v>0</v>
      </c>
      <c r="AA215" s="218">
        <v>0</v>
      </c>
      <c r="AB215" s="218">
        <v>0</v>
      </c>
      <c r="AC215" s="218">
        <v>0</v>
      </c>
      <c r="AD215" s="221"/>
    </row>
    <row r="216" spans="1:30" s="15" customFormat="1" ht="46.9" customHeight="1" outlineLevel="1" x14ac:dyDescent="0.2">
      <c r="A216" s="215" t="s">
        <v>1231</v>
      </c>
      <c r="B216" s="231" t="s">
        <v>307</v>
      </c>
      <c r="C216" s="342">
        <f t="shared" ref="C216:C223" si="89">E216+J216+O216+T216+Y216</f>
        <v>5.65</v>
      </c>
      <c r="D216" s="232">
        <f t="shared" ref="D216:D223" si="90">F216+K216+P216+U216+Z216</f>
        <v>15130</v>
      </c>
      <c r="E216" s="195">
        <v>0</v>
      </c>
      <c r="F216" s="229">
        <f t="shared" ref="F216:F223" si="91">G216+H216+I216</f>
        <v>0</v>
      </c>
      <c r="G216" s="229">
        <v>0</v>
      </c>
      <c r="H216" s="196">
        <v>0</v>
      </c>
      <c r="I216" s="196">
        <v>0</v>
      </c>
      <c r="J216" s="342">
        <v>5.65</v>
      </c>
      <c r="K216" s="218">
        <f t="shared" si="82"/>
        <v>15130</v>
      </c>
      <c r="L216" s="218">
        <v>0</v>
      </c>
      <c r="M216" s="218">
        <v>14253</v>
      </c>
      <c r="N216" s="218">
        <v>877</v>
      </c>
      <c r="O216" s="217">
        <v>0</v>
      </c>
      <c r="P216" s="218">
        <f t="shared" ref="P216:P223" si="92">Q216+R216+S216</f>
        <v>0</v>
      </c>
      <c r="Q216" s="218">
        <v>0</v>
      </c>
      <c r="R216" s="218">
        <v>0</v>
      </c>
      <c r="S216" s="218">
        <v>0</v>
      </c>
      <c r="T216" s="217">
        <v>0</v>
      </c>
      <c r="U216" s="218">
        <f t="shared" ref="U216:U223" si="93">V216+W216+X216</f>
        <v>0</v>
      </c>
      <c r="V216" s="218">
        <v>0</v>
      </c>
      <c r="W216" s="218">
        <v>0</v>
      </c>
      <c r="X216" s="218">
        <v>0</v>
      </c>
      <c r="Y216" s="217">
        <v>0</v>
      </c>
      <c r="Z216" s="218">
        <f t="shared" ref="Z216:Z223" si="94">AA216+AB216+AC216</f>
        <v>0</v>
      </c>
      <c r="AA216" s="218">
        <v>0</v>
      </c>
      <c r="AB216" s="218">
        <v>0</v>
      </c>
      <c r="AC216" s="218">
        <v>0</v>
      </c>
      <c r="AD216" s="221"/>
    </row>
    <row r="217" spans="1:30" s="15" customFormat="1" ht="40.5" customHeight="1" outlineLevel="1" x14ac:dyDescent="0.2">
      <c r="A217" s="215" t="s">
        <v>1232</v>
      </c>
      <c r="B217" s="231" t="s">
        <v>357</v>
      </c>
      <c r="C217" s="342">
        <f>E217+J217+O217+T217+Y217</f>
        <v>4.07</v>
      </c>
      <c r="D217" s="232">
        <f>F217+K217+P217+U217+Z217</f>
        <v>7603</v>
      </c>
      <c r="E217" s="195">
        <v>0</v>
      </c>
      <c r="F217" s="229">
        <f>G217+H217+I217</f>
        <v>0</v>
      </c>
      <c r="G217" s="229">
        <v>0</v>
      </c>
      <c r="H217" s="196">
        <v>0</v>
      </c>
      <c r="I217" s="196">
        <v>0</v>
      </c>
      <c r="J217" s="342">
        <v>4.07</v>
      </c>
      <c r="K217" s="218">
        <f t="shared" si="82"/>
        <v>7603</v>
      </c>
      <c r="L217" s="218">
        <v>0</v>
      </c>
      <c r="M217" s="218">
        <v>7162</v>
      </c>
      <c r="N217" s="218">
        <v>441</v>
      </c>
      <c r="O217" s="217">
        <v>0</v>
      </c>
      <c r="P217" s="218">
        <f>Q217+R217+S217</f>
        <v>0</v>
      </c>
      <c r="Q217" s="218">
        <v>0</v>
      </c>
      <c r="R217" s="218">
        <v>0</v>
      </c>
      <c r="S217" s="218">
        <v>0</v>
      </c>
      <c r="T217" s="217">
        <v>0</v>
      </c>
      <c r="U217" s="218">
        <f>V217+W217+X217</f>
        <v>0</v>
      </c>
      <c r="V217" s="218">
        <v>0</v>
      </c>
      <c r="W217" s="218">
        <v>0</v>
      </c>
      <c r="X217" s="218">
        <v>0</v>
      </c>
      <c r="Y217" s="217">
        <v>0</v>
      </c>
      <c r="Z217" s="218">
        <f>AA217+AB217+AC217</f>
        <v>0</v>
      </c>
      <c r="AA217" s="218">
        <v>0</v>
      </c>
      <c r="AB217" s="218">
        <v>0</v>
      </c>
      <c r="AC217" s="218">
        <v>0</v>
      </c>
      <c r="AD217" s="221"/>
    </row>
    <row r="218" spans="1:30" s="15" customFormat="1" ht="33" customHeight="1" outlineLevel="1" x14ac:dyDescent="0.2">
      <c r="A218" s="215" t="s">
        <v>1233</v>
      </c>
      <c r="B218" s="231" t="s">
        <v>308</v>
      </c>
      <c r="C218" s="342">
        <f t="shared" si="89"/>
        <v>0</v>
      </c>
      <c r="D218" s="232">
        <f t="shared" si="90"/>
        <v>0</v>
      </c>
      <c r="E218" s="195">
        <v>0</v>
      </c>
      <c r="F218" s="229">
        <f t="shared" si="91"/>
        <v>0</v>
      </c>
      <c r="G218" s="229">
        <v>0</v>
      </c>
      <c r="H218" s="196">
        <v>0</v>
      </c>
      <c r="I218" s="196">
        <v>0</v>
      </c>
      <c r="J218" s="342">
        <v>0</v>
      </c>
      <c r="K218" s="218">
        <f t="shared" si="82"/>
        <v>0</v>
      </c>
      <c r="L218" s="218">
        <v>0</v>
      </c>
      <c r="M218" s="218">
        <v>0</v>
      </c>
      <c r="N218" s="218">
        <v>0</v>
      </c>
      <c r="O218" s="217">
        <v>0</v>
      </c>
      <c r="P218" s="218">
        <f t="shared" si="92"/>
        <v>0</v>
      </c>
      <c r="Q218" s="218">
        <v>0</v>
      </c>
      <c r="R218" s="218">
        <v>0</v>
      </c>
      <c r="S218" s="218">
        <v>0</v>
      </c>
      <c r="T218" s="217">
        <v>0</v>
      </c>
      <c r="U218" s="218">
        <f t="shared" si="93"/>
        <v>0</v>
      </c>
      <c r="V218" s="218">
        <v>0</v>
      </c>
      <c r="W218" s="218">
        <v>0</v>
      </c>
      <c r="X218" s="218">
        <v>0</v>
      </c>
      <c r="Y218" s="217">
        <v>0</v>
      </c>
      <c r="Z218" s="218">
        <f t="shared" si="94"/>
        <v>0</v>
      </c>
      <c r="AA218" s="218">
        <v>0</v>
      </c>
      <c r="AB218" s="218">
        <v>0</v>
      </c>
      <c r="AC218" s="218">
        <v>0</v>
      </c>
      <c r="AD218" s="221"/>
    </row>
    <row r="219" spans="1:30" s="15" customFormat="1" ht="31.9" customHeight="1" outlineLevel="1" x14ac:dyDescent="0.2">
      <c r="A219" s="215" t="s">
        <v>1234</v>
      </c>
      <c r="B219" s="231" t="s">
        <v>537</v>
      </c>
      <c r="C219" s="342">
        <f t="shared" si="89"/>
        <v>39.380000000000003</v>
      </c>
      <c r="D219" s="232">
        <f t="shared" si="90"/>
        <v>156042</v>
      </c>
      <c r="E219" s="195">
        <v>0</v>
      </c>
      <c r="F219" s="229">
        <f t="shared" si="91"/>
        <v>0</v>
      </c>
      <c r="G219" s="229">
        <v>0</v>
      </c>
      <c r="H219" s="196">
        <v>0</v>
      </c>
      <c r="I219" s="196">
        <v>0</v>
      </c>
      <c r="J219" s="342">
        <v>0</v>
      </c>
      <c r="K219" s="218">
        <f t="shared" si="82"/>
        <v>0</v>
      </c>
      <c r="L219" s="218">
        <v>0</v>
      </c>
      <c r="M219" s="218">
        <v>0</v>
      </c>
      <c r="N219" s="218">
        <v>0</v>
      </c>
      <c r="O219" s="217">
        <v>39.380000000000003</v>
      </c>
      <c r="P219" s="218">
        <f>Q219+R219+S219</f>
        <v>156042</v>
      </c>
      <c r="Q219" s="218">
        <v>0</v>
      </c>
      <c r="R219" s="218">
        <f>143483+3508</f>
        <v>146991</v>
      </c>
      <c r="S219" s="218">
        <f>8835+216</f>
        <v>9051</v>
      </c>
      <c r="T219" s="217">
        <v>0</v>
      </c>
      <c r="U219" s="218">
        <f t="shared" si="93"/>
        <v>0</v>
      </c>
      <c r="V219" s="218">
        <v>0</v>
      </c>
      <c r="W219" s="218">
        <v>0</v>
      </c>
      <c r="X219" s="218">
        <v>0</v>
      </c>
      <c r="Y219" s="217">
        <v>0</v>
      </c>
      <c r="Z219" s="218">
        <f t="shared" si="94"/>
        <v>0</v>
      </c>
      <c r="AA219" s="218">
        <v>0</v>
      </c>
      <c r="AB219" s="218">
        <v>0</v>
      </c>
      <c r="AC219" s="218">
        <v>0</v>
      </c>
      <c r="AD219" s="221"/>
    </row>
    <row r="220" spans="1:30" s="15" customFormat="1" ht="39.75" customHeight="1" outlineLevel="1" x14ac:dyDescent="0.2">
      <c r="A220" s="215" t="s">
        <v>1235</v>
      </c>
      <c r="B220" s="231" t="s">
        <v>399</v>
      </c>
      <c r="C220" s="342">
        <f t="shared" si="89"/>
        <v>26</v>
      </c>
      <c r="D220" s="232">
        <f>F220+K220+P220+U220+Z220</f>
        <v>92646</v>
      </c>
      <c r="E220" s="195">
        <v>0</v>
      </c>
      <c r="F220" s="229">
        <f t="shared" si="91"/>
        <v>0</v>
      </c>
      <c r="G220" s="229">
        <v>0</v>
      </c>
      <c r="H220" s="196">
        <v>0</v>
      </c>
      <c r="I220" s="196">
        <v>0</v>
      </c>
      <c r="J220" s="342">
        <v>0</v>
      </c>
      <c r="K220" s="218">
        <f t="shared" si="82"/>
        <v>0</v>
      </c>
      <c r="L220" s="218">
        <v>0</v>
      </c>
      <c r="M220" s="218">
        <v>0</v>
      </c>
      <c r="N220" s="218">
        <v>0</v>
      </c>
      <c r="O220" s="217">
        <v>26</v>
      </c>
      <c r="P220" s="218">
        <f t="shared" si="92"/>
        <v>92646</v>
      </c>
      <c r="Q220" s="218">
        <v>0</v>
      </c>
      <c r="R220" s="218">
        <f>88295-1022</f>
        <v>87273</v>
      </c>
      <c r="S220" s="218">
        <f>5436-63</f>
        <v>5373</v>
      </c>
      <c r="T220" s="217">
        <v>0</v>
      </c>
      <c r="U220" s="218">
        <f t="shared" si="93"/>
        <v>0</v>
      </c>
      <c r="V220" s="218">
        <v>0</v>
      </c>
      <c r="W220" s="218">
        <v>0</v>
      </c>
      <c r="X220" s="218">
        <v>0</v>
      </c>
      <c r="Y220" s="217">
        <v>0</v>
      </c>
      <c r="Z220" s="218">
        <f t="shared" si="94"/>
        <v>0</v>
      </c>
      <c r="AA220" s="218">
        <v>0</v>
      </c>
      <c r="AB220" s="218">
        <v>0</v>
      </c>
      <c r="AC220" s="218">
        <v>0</v>
      </c>
      <c r="AD220" s="221"/>
    </row>
    <row r="221" spans="1:30" s="15" customFormat="1" ht="37.9" customHeight="1" outlineLevel="1" x14ac:dyDescent="0.2">
      <c r="A221" s="215" t="s">
        <v>1236</v>
      </c>
      <c r="B221" s="231" t="s">
        <v>309</v>
      </c>
      <c r="C221" s="342">
        <f t="shared" si="89"/>
        <v>4.7</v>
      </c>
      <c r="D221" s="232">
        <f t="shared" si="90"/>
        <v>19178</v>
      </c>
      <c r="E221" s="195">
        <v>0</v>
      </c>
      <c r="F221" s="229">
        <f t="shared" si="91"/>
        <v>0</v>
      </c>
      <c r="G221" s="229">
        <v>0</v>
      </c>
      <c r="H221" s="196">
        <v>0</v>
      </c>
      <c r="I221" s="196">
        <v>0</v>
      </c>
      <c r="J221" s="342">
        <v>0</v>
      </c>
      <c r="K221" s="218">
        <f t="shared" si="82"/>
        <v>0</v>
      </c>
      <c r="L221" s="218">
        <v>0</v>
      </c>
      <c r="M221" s="218">
        <v>0</v>
      </c>
      <c r="N221" s="218">
        <v>0</v>
      </c>
      <c r="O221" s="217">
        <v>4.7</v>
      </c>
      <c r="P221" s="218">
        <f t="shared" si="92"/>
        <v>19178</v>
      </c>
      <c r="Q221" s="218">
        <v>0</v>
      </c>
      <c r="R221" s="218">
        <f>17556+510</f>
        <v>18066</v>
      </c>
      <c r="S221" s="218">
        <f>1081+31</f>
        <v>1112</v>
      </c>
      <c r="T221" s="217">
        <v>0</v>
      </c>
      <c r="U221" s="218">
        <f t="shared" si="93"/>
        <v>0</v>
      </c>
      <c r="V221" s="218">
        <v>0</v>
      </c>
      <c r="W221" s="218">
        <v>0</v>
      </c>
      <c r="X221" s="218">
        <v>0</v>
      </c>
      <c r="Y221" s="217">
        <v>0</v>
      </c>
      <c r="Z221" s="218">
        <f t="shared" si="94"/>
        <v>0</v>
      </c>
      <c r="AA221" s="218">
        <v>0</v>
      </c>
      <c r="AB221" s="218">
        <v>0</v>
      </c>
      <c r="AC221" s="218">
        <v>0</v>
      </c>
      <c r="AD221" s="221"/>
    </row>
    <row r="222" spans="1:30" s="15" customFormat="1" ht="33" customHeight="1" outlineLevel="1" x14ac:dyDescent="0.2">
      <c r="A222" s="215" t="s">
        <v>1237</v>
      </c>
      <c r="B222" s="231" t="s">
        <v>310</v>
      </c>
      <c r="C222" s="342">
        <f t="shared" si="89"/>
        <v>0</v>
      </c>
      <c r="D222" s="232">
        <f t="shared" si="90"/>
        <v>0</v>
      </c>
      <c r="E222" s="195">
        <v>0</v>
      </c>
      <c r="F222" s="229">
        <f t="shared" si="91"/>
        <v>0</v>
      </c>
      <c r="G222" s="229">
        <v>0</v>
      </c>
      <c r="H222" s="196">
        <v>0</v>
      </c>
      <c r="I222" s="196">
        <v>0</v>
      </c>
      <c r="J222" s="342">
        <v>0</v>
      </c>
      <c r="K222" s="218">
        <f t="shared" si="82"/>
        <v>0</v>
      </c>
      <c r="L222" s="218">
        <v>0</v>
      </c>
      <c r="M222" s="218">
        <v>0</v>
      </c>
      <c r="N222" s="218">
        <v>0</v>
      </c>
      <c r="O222" s="217">
        <v>0</v>
      </c>
      <c r="P222" s="218">
        <f t="shared" si="92"/>
        <v>0</v>
      </c>
      <c r="Q222" s="218">
        <v>0</v>
      </c>
      <c r="R222" s="218">
        <v>0</v>
      </c>
      <c r="S222" s="218">
        <v>0</v>
      </c>
      <c r="T222" s="217">
        <v>0</v>
      </c>
      <c r="U222" s="218">
        <f t="shared" si="93"/>
        <v>0</v>
      </c>
      <c r="V222" s="218">
        <v>0</v>
      </c>
      <c r="W222" s="218">
        <v>0</v>
      </c>
      <c r="X222" s="218">
        <v>0</v>
      </c>
      <c r="Y222" s="217">
        <v>0</v>
      </c>
      <c r="Z222" s="218">
        <f t="shared" si="94"/>
        <v>0</v>
      </c>
      <c r="AA222" s="218">
        <v>0</v>
      </c>
      <c r="AB222" s="218">
        <v>0</v>
      </c>
      <c r="AC222" s="218">
        <v>0</v>
      </c>
      <c r="AD222" s="221"/>
    </row>
    <row r="223" spans="1:30" s="15" customFormat="1" ht="36" customHeight="1" outlineLevel="1" x14ac:dyDescent="0.2">
      <c r="A223" s="215" t="s">
        <v>1238</v>
      </c>
      <c r="B223" s="231" t="s">
        <v>311</v>
      </c>
      <c r="C223" s="342">
        <f t="shared" si="89"/>
        <v>10.91</v>
      </c>
      <c r="D223" s="232">
        <f t="shared" si="90"/>
        <v>39339</v>
      </c>
      <c r="E223" s="195">
        <v>0</v>
      </c>
      <c r="F223" s="229">
        <f t="shared" si="91"/>
        <v>0</v>
      </c>
      <c r="G223" s="229">
        <v>0</v>
      </c>
      <c r="H223" s="196">
        <v>0</v>
      </c>
      <c r="I223" s="196">
        <v>0</v>
      </c>
      <c r="J223" s="342">
        <v>0</v>
      </c>
      <c r="K223" s="218">
        <f t="shared" si="82"/>
        <v>0</v>
      </c>
      <c r="L223" s="218">
        <v>0</v>
      </c>
      <c r="M223" s="218">
        <v>0</v>
      </c>
      <c r="N223" s="218">
        <v>0</v>
      </c>
      <c r="O223" s="217">
        <v>10.91</v>
      </c>
      <c r="P223" s="218">
        <f t="shared" si="92"/>
        <v>39339</v>
      </c>
      <c r="Q223" s="218">
        <v>0</v>
      </c>
      <c r="R223" s="218">
        <f>38996-1939</f>
        <v>37057</v>
      </c>
      <c r="S223" s="218">
        <f>2401-119</f>
        <v>2282</v>
      </c>
      <c r="T223" s="217">
        <v>0</v>
      </c>
      <c r="U223" s="218">
        <f t="shared" si="93"/>
        <v>0</v>
      </c>
      <c r="V223" s="218">
        <v>0</v>
      </c>
      <c r="W223" s="218">
        <v>0</v>
      </c>
      <c r="X223" s="218">
        <v>0</v>
      </c>
      <c r="Y223" s="217">
        <v>0</v>
      </c>
      <c r="Z223" s="218">
        <f t="shared" si="94"/>
        <v>0</v>
      </c>
      <c r="AA223" s="218">
        <v>0</v>
      </c>
      <c r="AB223" s="218">
        <v>0</v>
      </c>
      <c r="AC223" s="218">
        <v>0</v>
      </c>
      <c r="AD223" s="221">
        <f>W224+W225+W226+W227+W240+W241+W243</f>
        <v>700000</v>
      </c>
    </row>
    <row r="224" spans="1:30" s="15" customFormat="1" ht="36" customHeight="1" outlineLevel="1" x14ac:dyDescent="0.2">
      <c r="A224" s="215" t="s">
        <v>1239</v>
      </c>
      <c r="B224" s="231" t="s">
        <v>599</v>
      </c>
      <c r="C224" s="342">
        <f t="shared" ref="C224:C243" si="95">E224+J224+O224+T224+Y224</f>
        <v>1.38</v>
      </c>
      <c r="D224" s="232">
        <f t="shared" ref="D224:D241" si="96">F224+K224+P224+U224+Z224</f>
        <v>33737</v>
      </c>
      <c r="E224" s="195">
        <v>0</v>
      </c>
      <c r="F224" s="229">
        <f t="shared" ref="F224:F239" si="97">G224+H224+I224</f>
        <v>0</v>
      </c>
      <c r="G224" s="229">
        <v>0</v>
      </c>
      <c r="H224" s="196">
        <v>0</v>
      </c>
      <c r="I224" s="196">
        <v>0</v>
      </c>
      <c r="J224" s="342">
        <v>0</v>
      </c>
      <c r="K224" s="218">
        <f t="shared" ref="K224:K241" si="98">L224+M224+N224</f>
        <v>0</v>
      </c>
      <c r="L224" s="218">
        <v>0</v>
      </c>
      <c r="M224" s="218">
        <v>0</v>
      </c>
      <c r="N224" s="218">
        <v>0</v>
      </c>
      <c r="O224" s="217">
        <v>0</v>
      </c>
      <c r="P224" s="218">
        <f t="shared" ref="P224:P243" si="99">Q224+R224+S224</f>
        <v>0</v>
      </c>
      <c r="Q224" s="218">
        <v>0</v>
      </c>
      <c r="R224" s="218">
        <v>0</v>
      </c>
      <c r="S224" s="218">
        <v>0</v>
      </c>
      <c r="T224" s="217">
        <v>1.38</v>
      </c>
      <c r="U224" s="218">
        <f t="shared" ref="U224:U243" si="100">V224+W224+X224</f>
        <v>33737</v>
      </c>
      <c r="V224" s="218">
        <v>0</v>
      </c>
      <c r="W224" s="218">
        <v>32725</v>
      </c>
      <c r="X224" s="218">
        <v>1012</v>
      </c>
      <c r="Y224" s="217">
        <v>0</v>
      </c>
      <c r="Z224" s="218">
        <f t="shared" ref="Z224:Z243" si="101">AA224+AB224+AC224</f>
        <v>0</v>
      </c>
      <c r="AA224" s="218">
        <v>0</v>
      </c>
      <c r="AB224" s="218">
        <v>0</v>
      </c>
      <c r="AC224" s="218">
        <v>0</v>
      </c>
      <c r="AD224" s="221">
        <f>U224+U225+U226+U227+U240+U241+U243</f>
        <v>721650</v>
      </c>
    </row>
    <row r="225" spans="1:30" s="15" customFormat="1" ht="36" customHeight="1" outlineLevel="1" x14ac:dyDescent="0.2">
      <c r="A225" s="215" t="s">
        <v>1240</v>
      </c>
      <c r="B225" s="231" t="s">
        <v>600</v>
      </c>
      <c r="C225" s="342">
        <f t="shared" si="95"/>
        <v>2.0299999999999998</v>
      </c>
      <c r="D225" s="232">
        <f t="shared" si="96"/>
        <v>108761</v>
      </c>
      <c r="E225" s="195">
        <v>0</v>
      </c>
      <c r="F225" s="229">
        <f t="shared" si="97"/>
        <v>0</v>
      </c>
      <c r="G225" s="229">
        <v>0</v>
      </c>
      <c r="H225" s="196">
        <v>0</v>
      </c>
      <c r="I225" s="196">
        <v>0</v>
      </c>
      <c r="J225" s="342">
        <v>0</v>
      </c>
      <c r="K225" s="218">
        <f t="shared" si="98"/>
        <v>0</v>
      </c>
      <c r="L225" s="218">
        <v>0</v>
      </c>
      <c r="M225" s="218">
        <v>0</v>
      </c>
      <c r="N225" s="218">
        <v>0</v>
      </c>
      <c r="O225" s="217">
        <v>0</v>
      </c>
      <c r="P225" s="218">
        <f t="shared" si="99"/>
        <v>0</v>
      </c>
      <c r="Q225" s="218">
        <v>0</v>
      </c>
      <c r="R225" s="218">
        <v>0</v>
      </c>
      <c r="S225" s="218">
        <v>0</v>
      </c>
      <c r="T225" s="217">
        <v>2.0299999999999998</v>
      </c>
      <c r="U225" s="218">
        <f t="shared" si="100"/>
        <v>108761</v>
      </c>
      <c r="V225" s="218">
        <v>0</v>
      </c>
      <c r="W225" s="218">
        <v>105498</v>
      </c>
      <c r="X225" s="218">
        <v>3263</v>
      </c>
      <c r="Y225" s="217">
        <v>0</v>
      </c>
      <c r="Z225" s="218">
        <f t="shared" si="101"/>
        <v>0</v>
      </c>
      <c r="AA225" s="218">
        <v>0</v>
      </c>
      <c r="AB225" s="218">
        <v>0</v>
      </c>
      <c r="AC225" s="218">
        <v>0</v>
      </c>
      <c r="AD225" s="221"/>
    </row>
    <row r="226" spans="1:30" s="15" customFormat="1" ht="36" customHeight="1" outlineLevel="1" x14ac:dyDescent="0.2">
      <c r="A226" s="215" t="s">
        <v>1241</v>
      </c>
      <c r="B226" s="231" t="s">
        <v>601</v>
      </c>
      <c r="C226" s="342">
        <f t="shared" si="95"/>
        <v>2.5</v>
      </c>
      <c r="D226" s="232">
        <f t="shared" si="96"/>
        <v>218742</v>
      </c>
      <c r="E226" s="195">
        <v>0</v>
      </c>
      <c r="F226" s="229">
        <f t="shared" si="97"/>
        <v>0</v>
      </c>
      <c r="G226" s="229">
        <v>0</v>
      </c>
      <c r="H226" s="196">
        <v>0</v>
      </c>
      <c r="I226" s="196">
        <v>0</v>
      </c>
      <c r="J226" s="342">
        <v>0</v>
      </c>
      <c r="K226" s="218">
        <f t="shared" si="98"/>
        <v>0</v>
      </c>
      <c r="L226" s="218">
        <v>0</v>
      </c>
      <c r="M226" s="218">
        <v>0</v>
      </c>
      <c r="N226" s="218">
        <v>0</v>
      </c>
      <c r="O226" s="217">
        <v>0</v>
      </c>
      <c r="P226" s="218">
        <f t="shared" si="99"/>
        <v>0</v>
      </c>
      <c r="Q226" s="218">
        <v>0</v>
      </c>
      <c r="R226" s="218">
        <v>0</v>
      </c>
      <c r="S226" s="218">
        <v>0</v>
      </c>
      <c r="T226" s="217">
        <v>2.5</v>
      </c>
      <c r="U226" s="218">
        <f t="shared" si="100"/>
        <v>218742</v>
      </c>
      <c r="V226" s="218">
        <v>0</v>
      </c>
      <c r="W226" s="218">
        <v>212180</v>
      </c>
      <c r="X226" s="218">
        <v>6562</v>
      </c>
      <c r="Y226" s="217">
        <v>0</v>
      </c>
      <c r="Z226" s="218">
        <f t="shared" si="101"/>
        <v>0</v>
      </c>
      <c r="AA226" s="218">
        <v>0</v>
      </c>
      <c r="AB226" s="218">
        <v>0</v>
      </c>
      <c r="AC226" s="218">
        <v>0</v>
      </c>
      <c r="AD226" s="221"/>
    </row>
    <row r="227" spans="1:30" s="15" customFormat="1" ht="52.5" customHeight="1" outlineLevel="1" x14ac:dyDescent="0.2">
      <c r="A227" s="215" t="s">
        <v>1242</v>
      </c>
      <c r="B227" s="231" t="s">
        <v>598</v>
      </c>
      <c r="C227" s="342">
        <f t="shared" si="95"/>
        <v>5.56</v>
      </c>
      <c r="D227" s="232">
        <f t="shared" si="96"/>
        <v>194910</v>
      </c>
      <c r="E227" s="195">
        <v>0</v>
      </c>
      <c r="F227" s="229">
        <f t="shared" si="97"/>
        <v>0</v>
      </c>
      <c r="G227" s="229">
        <v>0</v>
      </c>
      <c r="H227" s="196">
        <v>0</v>
      </c>
      <c r="I227" s="196">
        <v>0</v>
      </c>
      <c r="J227" s="342">
        <v>0</v>
      </c>
      <c r="K227" s="218">
        <f t="shared" si="98"/>
        <v>0</v>
      </c>
      <c r="L227" s="218">
        <v>0</v>
      </c>
      <c r="M227" s="218">
        <v>0</v>
      </c>
      <c r="N227" s="218">
        <v>0</v>
      </c>
      <c r="O227" s="217">
        <v>0</v>
      </c>
      <c r="P227" s="218">
        <f t="shared" si="99"/>
        <v>0</v>
      </c>
      <c r="Q227" s="218">
        <v>0</v>
      </c>
      <c r="R227" s="218">
        <v>0</v>
      </c>
      <c r="S227" s="218">
        <v>0</v>
      </c>
      <c r="T227" s="217">
        <v>5.56</v>
      </c>
      <c r="U227" s="218">
        <f t="shared" si="100"/>
        <v>194910</v>
      </c>
      <c r="V227" s="218">
        <v>0</v>
      </c>
      <c r="W227" s="218">
        <v>189063</v>
      </c>
      <c r="X227" s="239">
        <v>5847</v>
      </c>
      <c r="Y227" s="217">
        <v>0</v>
      </c>
      <c r="Z227" s="218">
        <f t="shared" si="101"/>
        <v>0</v>
      </c>
      <c r="AA227" s="218">
        <v>0</v>
      </c>
      <c r="AB227" s="218">
        <v>0</v>
      </c>
      <c r="AC227" s="218">
        <v>0</v>
      </c>
      <c r="AD227" s="221"/>
    </row>
    <row r="228" spans="1:30" s="15" customFormat="1" ht="96" customHeight="1" outlineLevel="1" x14ac:dyDescent="0.2">
      <c r="A228" s="215" t="s">
        <v>1243</v>
      </c>
      <c r="B228" s="240" t="s">
        <v>377</v>
      </c>
      <c r="C228" s="342">
        <f t="shared" si="95"/>
        <v>0</v>
      </c>
      <c r="D228" s="232">
        <f t="shared" si="96"/>
        <v>0</v>
      </c>
      <c r="E228" s="195">
        <v>0</v>
      </c>
      <c r="F228" s="229">
        <f t="shared" si="97"/>
        <v>0</v>
      </c>
      <c r="G228" s="229">
        <v>0</v>
      </c>
      <c r="H228" s="196">
        <v>0</v>
      </c>
      <c r="I228" s="196">
        <v>0</v>
      </c>
      <c r="J228" s="342">
        <v>0</v>
      </c>
      <c r="K228" s="218">
        <f t="shared" si="98"/>
        <v>0</v>
      </c>
      <c r="L228" s="218">
        <v>0</v>
      </c>
      <c r="M228" s="218">
        <v>0</v>
      </c>
      <c r="N228" s="218">
        <v>0</v>
      </c>
      <c r="O228" s="217">
        <v>0</v>
      </c>
      <c r="P228" s="218">
        <f t="shared" si="99"/>
        <v>0</v>
      </c>
      <c r="Q228" s="218">
        <v>0</v>
      </c>
      <c r="R228" s="218">
        <v>0</v>
      </c>
      <c r="S228" s="218">
        <v>0</v>
      </c>
      <c r="T228" s="217">
        <v>0</v>
      </c>
      <c r="U228" s="218">
        <f t="shared" si="100"/>
        <v>0</v>
      </c>
      <c r="V228" s="218">
        <v>0</v>
      </c>
      <c r="W228" s="218">
        <v>0</v>
      </c>
      <c r="X228" s="218">
        <v>0</v>
      </c>
      <c r="Y228" s="217">
        <v>0</v>
      </c>
      <c r="Z228" s="218">
        <f t="shared" si="101"/>
        <v>0</v>
      </c>
      <c r="AA228" s="218">
        <v>0</v>
      </c>
      <c r="AB228" s="218">
        <v>0</v>
      </c>
      <c r="AC228" s="218">
        <v>0</v>
      </c>
      <c r="AD228" s="221"/>
    </row>
    <row r="229" spans="1:30" s="15" customFormat="1" ht="36" customHeight="1" outlineLevel="1" x14ac:dyDescent="0.2">
      <c r="A229" s="215" t="s">
        <v>1244</v>
      </c>
      <c r="B229" s="231" t="s">
        <v>538</v>
      </c>
      <c r="C229" s="342">
        <f t="shared" si="95"/>
        <v>72.13</v>
      </c>
      <c r="D229" s="232">
        <f t="shared" si="96"/>
        <v>273574</v>
      </c>
      <c r="E229" s="195">
        <v>0</v>
      </c>
      <c r="F229" s="229">
        <f t="shared" si="97"/>
        <v>0</v>
      </c>
      <c r="G229" s="229">
        <v>0</v>
      </c>
      <c r="H229" s="196">
        <v>0</v>
      </c>
      <c r="I229" s="196">
        <v>0</v>
      </c>
      <c r="J229" s="342">
        <v>0</v>
      </c>
      <c r="K229" s="218">
        <f t="shared" si="98"/>
        <v>0</v>
      </c>
      <c r="L229" s="218">
        <v>0</v>
      </c>
      <c r="M229" s="218">
        <v>0</v>
      </c>
      <c r="N229" s="218">
        <v>0</v>
      </c>
      <c r="O229" s="217">
        <f>71.96+0.17</f>
        <v>72.13</v>
      </c>
      <c r="P229" s="218">
        <f t="shared" si="99"/>
        <v>273574</v>
      </c>
      <c r="Q229" s="218">
        <v>0</v>
      </c>
      <c r="R229" s="218">
        <f>247769+9938</f>
        <v>257707</v>
      </c>
      <c r="S229" s="218">
        <f>15255+612</f>
        <v>15867</v>
      </c>
      <c r="T229" s="217">
        <v>0</v>
      </c>
      <c r="U229" s="218">
        <f t="shared" si="100"/>
        <v>0</v>
      </c>
      <c r="V229" s="218">
        <v>0</v>
      </c>
      <c r="W229" s="218">
        <v>0</v>
      </c>
      <c r="X229" s="218">
        <v>0</v>
      </c>
      <c r="Y229" s="217">
        <v>0</v>
      </c>
      <c r="Z229" s="218">
        <f t="shared" si="101"/>
        <v>0</v>
      </c>
      <c r="AA229" s="218">
        <v>0</v>
      </c>
      <c r="AB229" s="218">
        <v>0</v>
      </c>
      <c r="AC229" s="218">
        <v>0</v>
      </c>
      <c r="AD229" s="221"/>
    </row>
    <row r="230" spans="1:30" s="15" customFormat="1" ht="36" outlineLevel="1" x14ac:dyDescent="0.2">
      <c r="A230" s="215" t="s">
        <v>1245</v>
      </c>
      <c r="B230" s="231" t="s">
        <v>404</v>
      </c>
      <c r="C230" s="342">
        <f t="shared" si="95"/>
        <v>21.39</v>
      </c>
      <c r="D230" s="232">
        <f t="shared" si="96"/>
        <v>48832</v>
      </c>
      <c r="E230" s="195">
        <v>0</v>
      </c>
      <c r="F230" s="229">
        <f t="shared" si="97"/>
        <v>0</v>
      </c>
      <c r="G230" s="229">
        <v>0</v>
      </c>
      <c r="H230" s="196">
        <v>0</v>
      </c>
      <c r="I230" s="229">
        <v>0</v>
      </c>
      <c r="J230" s="342">
        <v>21.39</v>
      </c>
      <c r="K230" s="218">
        <f t="shared" si="98"/>
        <v>48832</v>
      </c>
      <c r="L230" s="218">
        <v>0</v>
      </c>
      <c r="M230" s="218">
        <v>46000</v>
      </c>
      <c r="N230" s="218">
        <v>2832</v>
      </c>
      <c r="O230" s="217">
        <v>0</v>
      </c>
      <c r="P230" s="218">
        <f t="shared" si="99"/>
        <v>0</v>
      </c>
      <c r="Q230" s="218">
        <v>0</v>
      </c>
      <c r="R230" s="218">
        <v>0</v>
      </c>
      <c r="S230" s="218">
        <v>0</v>
      </c>
      <c r="T230" s="217">
        <v>0</v>
      </c>
      <c r="U230" s="218">
        <f t="shared" si="100"/>
        <v>0</v>
      </c>
      <c r="V230" s="218">
        <v>0</v>
      </c>
      <c r="W230" s="218">
        <v>0</v>
      </c>
      <c r="X230" s="218">
        <v>0</v>
      </c>
      <c r="Y230" s="217">
        <v>0</v>
      </c>
      <c r="Z230" s="218">
        <f t="shared" si="101"/>
        <v>0</v>
      </c>
      <c r="AA230" s="218">
        <v>0</v>
      </c>
      <c r="AB230" s="218">
        <v>0</v>
      </c>
      <c r="AC230" s="218">
        <v>0</v>
      </c>
      <c r="AD230" s="221"/>
    </row>
    <row r="231" spans="1:30" s="15" customFormat="1" ht="38.25" customHeight="1" outlineLevel="1" x14ac:dyDescent="0.2">
      <c r="A231" s="215" t="s">
        <v>1246</v>
      </c>
      <c r="B231" s="231" t="s">
        <v>419</v>
      </c>
      <c r="C231" s="342">
        <f t="shared" si="95"/>
        <v>7.04</v>
      </c>
      <c r="D231" s="232">
        <f t="shared" si="96"/>
        <v>29826</v>
      </c>
      <c r="E231" s="195">
        <v>0</v>
      </c>
      <c r="F231" s="229">
        <f t="shared" si="97"/>
        <v>0</v>
      </c>
      <c r="G231" s="229">
        <v>0</v>
      </c>
      <c r="H231" s="196">
        <v>0</v>
      </c>
      <c r="I231" s="229">
        <v>0</v>
      </c>
      <c r="J231" s="129">
        <v>7.04</v>
      </c>
      <c r="K231" s="239">
        <f t="shared" si="98"/>
        <v>29826</v>
      </c>
      <c r="L231" s="239">
        <v>0</v>
      </c>
      <c r="M231" s="239">
        <v>28096</v>
      </c>
      <c r="N231" s="239">
        <v>1730</v>
      </c>
      <c r="O231" s="241">
        <v>0</v>
      </c>
      <c r="P231" s="218">
        <f t="shared" si="99"/>
        <v>0</v>
      </c>
      <c r="Q231" s="218">
        <v>0</v>
      </c>
      <c r="R231" s="218">
        <v>0</v>
      </c>
      <c r="S231" s="218">
        <v>0</v>
      </c>
      <c r="T231" s="217">
        <v>0</v>
      </c>
      <c r="U231" s="218">
        <f t="shared" si="100"/>
        <v>0</v>
      </c>
      <c r="V231" s="218">
        <v>0</v>
      </c>
      <c r="W231" s="218">
        <v>0</v>
      </c>
      <c r="X231" s="218">
        <v>0</v>
      </c>
      <c r="Y231" s="217">
        <v>0</v>
      </c>
      <c r="Z231" s="218">
        <f t="shared" si="101"/>
        <v>0</v>
      </c>
      <c r="AA231" s="218">
        <v>0</v>
      </c>
      <c r="AB231" s="218">
        <v>0</v>
      </c>
      <c r="AC231" s="218">
        <v>0</v>
      </c>
      <c r="AD231" s="221"/>
    </row>
    <row r="232" spans="1:30" s="15" customFormat="1" ht="36" customHeight="1" outlineLevel="1" x14ac:dyDescent="0.2">
      <c r="A232" s="215" t="s">
        <v>1247</v>
      </c>
      <c r="B232" s="231" t="s">
        <v>416</v>
      </c>
      <c r="C232" s="342">
        <f t="shared" si="95"/>
        <v>8.4</v>
      </c>
      <c r="D232" s="232">
        <f t="shared" si="96"/>
        <v>27392</v>
      </c>
      <c r="E232" s="195">
        <v>0</v>
      </c>
      <c r="F232" s="229">
        <f t="shared" si="97"/>
        <v>0</v>
      </c>
      <c r="G232" s="229">
        <v>0</v>
      </c>
      <c r="H232" s="196">
        <v>0</v>
      </c>
      <c r="I232" s="196">
        <v>0</v>
      </c>
      <c r="J232" s="342">
        <v>8.4</v>
      </c>
      <c r="K232" s="218">
        <f t="shared" si="98"/>
        <v>27392</v>
      </c>
      <c r="L232" s="218">
        <v>0</v>
      </c>
      <c r="M232" s="218">
        <v>25803</v>
      </c>
      <c r="N232" s="218">
        <v>1589</v>
      </c>
      <c r="O232" s="217">
        <v>0</v>
      </c>
      <c r="P232" s="218">
        <f t="shared" si="99"/>
        <v>0</v>
      </c>
      <c r="Q232" s="218">
        <v>0</v>
      </c>
      <c r="R232" s="218">
        <v>0</v>
      </c>
      <c r="S232" s="218">
        <v>0</v>
      </c>
      <c r="T232" s="217">
        <v>0</v>
      </c>
      <c r="U232" s="218">
        <f t="shared" si="100"/>
        <v>0</v>
      </c>
      <c r="V232" s="218">
        <v>0</v>
      </c>
      <c r="W232" s="218">
        <v>0</v>
      </c>
      <c r="X232" s="218">
        <v>0</v>
      </c>
      <c r="Y232" s="217">
        <v>0</v>
      </c>
      <c r="Z232" s="218">
        <f t="shared" si="101"/>
        <v>0</v>
      </c>
      <c r="AA232" s="218">
        <v>0</v>
      </c>
      <c r="AB232" s="218">
        <v>0</v>
      </c>
      <c r="AC232" s="218">
        <v>0</v>
      </c>
      <c r="AD232" s="221"/>
    </row>
    <row r="233" spans="1:30" s="15" customFormat="1" ht="36" customHeight="1" outlineLevel="1" x14ac:dyDescent="0.2">
      <c r="A233" s="215" t="s">
        <v>1248</v>
      </c>
      <c r="B233" s="231" t="s">
        <v>417</v>
      </c>
      <c r="C233" s="342">
        <f t="shared" si="95"/>
        <v>38.479999999999997</v>
      </c>
      <c r="D233" s="232">
        <f t="shared" si="96"/>
        <v>117730</v>
      </c>
      <c r="E233" s="195">
        <v>0</v>
      </c>
      <c r="F233" s="229">
        <f t="shared" si="97"/>
        <v>0</v>
      </c>
      <c r="G233" s="229">
        <v>0</v>
      </c>
      <c r="H233" s="196">
        <v>0</v>
      </c>
      <c r="I233" s="196">
        <v>0</v>
      </c>
      <c r="J233" s="342">
        <v>38.479999999999997</v>
      </c>
      <c r="K233" s="218">
        <f t="shared" si="98"/>
        <v>117730</v>
      </c>
      <c r="L233" s="218">
        <v>0</v>
      </c>
      <c r="M233" s="218">
        <v>110902</v>
      </c>
      <c r="N233" s="218">
        <v>6828</v>
      </c>
      <c r="O233" s="217">
        <v>0</v>
      </c>
      <c r="P233" s="218">
        <f t="shared" si="99"/>
        <v>0</v>
      </c>
      <c r="Q233" s="218">
        <v>0</v>
      </c>
      <c r="R233" s="218">
        <v>0</v>
      </c>
      <c r="S233" s="218">
        <v>0</v>
      </c>
      <c r="T233" s="217">
        <v>0</v>
      </c>
      <c r="U233" s="218">
        <f t="shared" si="100"/>
        <v>0</v>
      </c>
      <c r="V233" s="218">
        <v>0</v>
      </c>
      <c r="W233" s="218">
        <v>0</v>
      </c>
      <c r="X233" s="218">
        <v>0</v>
      </c>
      <c r="Y233" s="217">
        <v>0</v>
      </c>
      <c r="Z233" s="218">
        <f t="shared" si="101"/>
        <v>0</v>
      </c>
      <c r="AA233" s="218">
        <v>0</v>
      </c>
      <c r="AB233" s="218">
        <v>0</v>
      </c>
      <c r="AC233" s="218">
        <v>0</v>
      </c>
      <c r="AD233" s="221"/>
    </row>
    <row r="234" spans="1:30" s="15" customFormat="1" ht="36" customHeight="1" outlineLevel="1" x14ac:dyDescent="0.2">
      <c r="A234" s="215" t="s">
        <v>1249</v>
      </c>
      <c r="B234" s="231" t="s">
        <v>418</v>
      </c>
      <c r="C234" s="342">
        <f t="shared" si="95"/>
        <v>56.7</v>
      </c>
      <c r="D234" s="232">
        <f t="shared" si="96"/>
        <v>173349</v>
      </c>
      <c r="E234" s="195">
        <v>0</v>
      </c>
      <c r="F234" s="229">
        <f t="shared" si="97"/>
        <v>0</v>
      </c>
      <c r="G234" s="229">
        <v>0</v>
      </c>
      <c r="H234" s="196">
        <v>0</v>
      </c>
      <c r="I234" s="196">
        <v>0</v>
      </c>
      <c r="J234" s="342">
        <v>56.7</v>
      </c>
      <c r="K234" s="218">
        <f t="shared" si="98"/>
        <v>173349</v>
      </c>
      <c r="L234" s="218">
        <v>0</v>
      </c>
      <c r="M234" s="218">
        <v>163295</v>
      </c>
      <c r="N234" s="218">
        <v>10054</v>
      </c>
      <c r="O234" s="217">
        <v>0</v>
      </c>
      <c r="P234" s="218">
        <f t="shared" si="99"/>
        <v>0</v>
      </c>
      <c r="Q234" s="218">
        <v>0</v>
      </c>
      <c r="R234" s="218">
        <v>0</v>
      </c>
      <c r="S234" s="218">
        <v>0</v>
      </c>
      <c r="T234" s="217">
        <v>0</v>
      </c>
      <c r="U234" s="218">
        <f t="shared" si="100"/>
        <v>0</v>
      </c>
      <c r="V234" s="218">
        <v>0</v>
      </c>
      <c r="W234" s="218">
        <v>0</v>
      </c>
      <c r="X234" s="218">
        <v>0</v>
      </c>
      <c r="Y234" s="217">
        <v>0</v>
      </c>
      <c r="Z234" s="218">
        <f t="shared" si="101"/>
        <v>0</v>
      </c>
      <c r="AA234" s="218">
        <v>0</v>
      </c>
      <c r="AB234" s="218">
        <v>0</v>
      </c>
      <c r="AC234" s="218">
        <v>0</v>
      </c>
      <c r="AD234" s="221"/>
    </row>
    <row r="235" spans="1:30" s="15" customFormat="1" ht="38.25" customHeight="1" outlineLevel="1" x14ac:dyDescent="0.2">
      <c r="A235" s="215" t="s">
        <v>1250</v>
      </c>
      <c r="B235" s="231" t="s">
        <v>525</v>
      </c>
      <c r="C235" s="342">
        <f t="shared" si="95"/>
        <v>0</v>
      </c>
      <c r="D235" s="232">
        <f t="shared" si="96"/>
        <v>0</v>
      </c>
      <c r="E235" s="195">
        <v>0</v>
      </c>
      <c r="F235" s="229">
        <f t="shared" si="97"/>
        <v>0</v>
      </c>
      <c r="G235" s="229">
        <v>0</v>
      </c>
      <c r="H235" s="196">
        <v>0</v>
      </c>
      <c r="I235" s="229">
        <v>0</v>
      </c>
      <c r="J235" s="129">
        <v>0</v>
      </c>
      <c r="K235" s="239">
        <f t="shared" si="98"/>
        <v>0</v>
      </c>
      <c r="L235" s="239">
        <v>0</v>
      </c>
      <c r="M235" s="239">
        <v>0</v>
      </c>
      <c r="N235" s="239">
        <v>0</v>
      </c>
      <c r="O235" s="241">
        <v>0</v>
      </c>
      <c r="P235" s="218">
        <f t="shared" si="99"/>
        <v>0</v>
      </c>
      <c r="Q235" s="218">
        <v>0</v>
      </c>
      <c r="R235" s="218">
        <v>0</v>
      </c>
      <c r="S235" s="218">
        <v>0</v>
      </c>
      <c r="T235" s="217">
        <v>0</v>
      </c>
      <c r="U235" s="218">
        <f t="shared" si="100"/>
        <v>0</v>
      </c>
      <c r="V235" s="218">
        <v>0</v>
      </c>
      <c r="W235" s="218">
        <v>0</v>
      </c>
      <c r="X235" s="218">
        <v>0</v>
      </c>
      <c r="Y235" s="217">
        <v>0</v>
      </c>
      <c r="Z235" s="218">
        <f t="shared" si="101"/>
        <v>0</v>
      </c>
      <c r="AA235" s="218">
        <v>0</v>
      </c>
      <c r="AB235" s="218">
        <f>14219-14219</f>
        <v>0</v>
      </c>
      <c r="AC235" s="218">
        <f>887-887</f>
        <v>0</v>
      </c>
      <c r="AD235" s="221"/>
    </row>
    <row r="236" spans="1:30" s="15" customFormat="1" ht="38.25" customHeight="1" outlineLevel="1" x14ac:dyDescent="0.2">
      <c r="A236" s="215" t="s">
        <v>1251</v>
      </c>
      <c r="B236" s="231" t="s">
        <v>526</v>
      </c>
      <c r="C236" s="342">
        <f t="shared" si="95"/>
        <v>0</v>
      </c>
      <c r="D236" s="232">
        <f t="shared" si="96"/>
        <v>0</v>
      </c>
      <c r="E236" s="195">
        <v>0</v>
      </c>
      <c r="F236" s="229">
        <f t="shared" si="97"/>
        <v>0</v>
      </c>
      <c r="G236" s="229">
        <v>0</v>
      </c>
      <c r="H236" s="196">
        <v>0</v>
      </c>
      <c r="I236" s="229">
        <v>0</v>
      </c>
      <c r="J236" s="129">
        <v>0</v>
      </c>
      <c r="K236" s="239">
        <f t="shared" si="98"/>
        <v>0</v>
      </c>
      <c r="L236" s="239">
        <v>0</v>
      </c>
      <c r="M236" s="239">
        <v>0</v>
      </c>
      <c r="N236" s="239">
        <v>0</v>
      </c>
      <c r="O236" s="241">
        <v>0</v>
      </c>
      <c r="P236" s="218">
        <f t="shared" si="99"/>
        <v>0</v>
      </c>
      <c r="Q236" s="218">
        <v>0</v>
      </c>
      <c r="R236" s="218">
        <v>0</v>
      </c>
      <c r="S236" s="218">
        <v>0</v>
      </c>
      <c r="T236" s="217">
        <v>0</v>
      </c>
      <c r="U236" s="218">
        <f t="shared" si="100"/>
        <v>0</v>
      </c>
      <c r="V236" s="218">
        <v>0</v>
      </c>
      <c r="W236" s="218">
        <v>0</v>
      </c>
      <c r="X236" s="218">
        <v>0</v>
      </c>
      <c r="Y236" s="217">
        <v>0</v>
      </c>
      <c r="Z236" s="218">
        <f t="shared" si="101"/>
        <v>0</v>
      </c>
      <c r="AA236" s="218">
        <v>0</v>
      </c>
      <c r="AB236" s="218">
        <f>92720-92720</f>
        <v>0</v>
      </c>
      <c r="AC236" s="218">
        <f>5709-5709</f>
        <v>0</v>
      </c>
      <c r="AD236" s="221"/>
    </row>
    <row r="237" spans="1:30" s="15" customFormat="1" ht="38.25" customHeight="1" outlineLevel="1" x14ac:dyDescent="0.2">
      <c r="A237" s="215" t="s">
        <v>1252</v>
      </c>
      <c r="B237" s="231" t="s">
        <v>527</v>
      </c>
      <c r="C237" s="342">
        <f t="shared" si="95"/>
        <v>0</v>
      </c>
      <c r="D237" s="232">
        <f t="shared" si="96"/>
        <v>0</v>
      </c>
      <c r="E237" s="195">
        <v>0</v>
      </c>
      <c r="F237" s="229">
        <f t="shared" si="97"/>
        <v>0</v>
      </c>
      <c r="G237" s="229">
        <v>0</v>
      </c>
      <c r="H237" s="196">
        <v>0</v>
      </c>
      <c r="I237" s="229">
        <v>0</v>
      </c>
      <c r="J237" s="129">
        <v>0</v>
      </c>
      <c r="K237" s="239">
        <f t="shared" si="98"/>
        <v>0</v>
      </c>
      <c r="L237" s="239">
        <v>0</v>
      </c>
      <c r="M237" s="239">
        <v>0</v>
      </c>
      <c r="N237" s="239">
        <v>0</v>
      </c>
      <c r="O237" s="241">
        <v>0</v>
      </c>
      <c r="P237" s="218">
        <f t="shared" si="99"/>
        <v>0</v>
      </c>
      <c r="Q237" s="218">
        <v>0</v>
      </c>
      <c r="R237" s="218">
        <v>0</v>
      </c>
      <c r="S237" s="218">
        <v>0</v>
      </c>
      <c r="T237" s="217">
        <v>0</v>
      </c>
      <c r="U237" s="218">
        <f t="shared" si="100"/>
        <v>0</v>
      </c>
      <c r="V237" s="218">
        <v>0</v>
      </c>
      <c r="W237" s="218">
        <v>0</v>
      </c>
      <c r="X237" s="218">
        <v>0</v>
      </c>
      <c r="Y237" s="217">
        <v>0</v>
      </c>
      <c r="Z237" s="218">
        <f t="shared" si="101"/>
        <v>0</v>
      </c>
      <c r="AA237" s="218">
        <v>0</v>
      </c>
      <c r="AB237" s="218">
        <f>63616-63616</f>
        <v>0</v>
      </c>
      <c r="AC237" s="218">
        <f>3917-3917</f>
        <v>0</v>
      </c>
      <c r="AD237" s="221"/>
    </row>
    <row r="238" spans="1:30" s="15" customFormat="1" ht="38.25" customHeight="1" outlineLevel="1" x14ac:dyDescent="0.2">
      <c r="A238" s="215" t="s">
        <v>1253</v>
      </c>
      <c r="B238" s="231" t="s">
        <v>528</v>
      </c>
      <c r="C238" s="342">
        <f t="shared" si="95"/>
        <v>0</v>
      </c>
      <c r="D238" s="232">
        <f t="shared" si="96"/>
        <v>0</v>
      </c>
      <c r="E238" s="195">
        <v>0</v>
      </c>
      <c r="F238" s="229">
        <f t="shared" si="97"/>
        <v>0</v>
      </c>
      <c r="G238" s="229">
        <v>0</v>
      </c>
      <c r="H238" s="196">
        <v>0</v>
      </c>
      <c r="I238" s="229">
        <v>0</v>
      </c>
      <c r="J238" s="129">
        <v>0</v>
      </c>
      <c r="K238" s="239">
        <f t="shared" si="98"/>
        <v>0</v>
      </c>
      <c r="L238" s="239">
        <v>0</v>
      </c>
      <c r="M238" s="239">
        <v>0</v>
      </c>
      <c r="N238" s="239">
        <v>0</v>
      </c>
      <c r="O238" s="241">
        <v>0</v>
      </c>
      <c r="P238" s="218">
        <f t="shared" si="99"/>
        <v>0</v>
      </c>
      <c r="Q238" s="218">
        <v>0</v>
      </c>
      <c r="R238" s="218">
        <v>0</v>
      </c>
      <c r="S238" s="218">
        <v>0</v>
      </c>
      <c r="T238" s="217">
        <v>0</v>
      </c>
      <c r="U238" s="218">
        <f t="shared" si="100"/>
        <v>0</v>
      </c>
      <c r="V238" s="218">
        <v>0</v>
      </c>
      <c r="W238" s="218">
        <v>0</v>
      </c>
      <c r="X238" s="218">
        <v>0</v>
      </c>
      <c r="Y238" s="217">
        <v>0</v>
      </c>
      <c r="Z238" s="218">
        <f t="shared" si="101"/>
        <v>0</v>
      </c>
      <c r="AA238" s="218">
        <v>0</v>
      </c>
      <c r="AB238" s="218">
        <f>313121-313121</f>
        <v>0</v>
      </c>
      <c r="AC238" s="218">
        <f>19279-19279</f>
        <v>0</v>
      </c>
      <c r="AD238" s="221"/>
    </row>
    <row r="239" spans="1:30" s="15" customFormat="1" ht="38.25" customHeight="1" outlineLevel="1" x14ac:dyDescent="0.2">
      <c r="A239" s="215" t="s">
        <v>1254</v>
      </c>
      <c r="B239" s="231" t="s">
        <v>529</v>
      </c>
      <c r="C239" s="342">
        <f t="shared" si="95"/>
        <v>0</v>
      </c>
      <c r="D239" s="232">
        <f t="shared" si="96"/>
        <v>0</v>
      </c>
      <c r="E239" s="195">
        <v>0</v>
      </c>
      <c r="F239" s="229">
        <f t="shared" si="97"/>
        <v>0</v>
      </c>
      <c r="G239" s="229">
        <v>0</v>
      </c>
      <c r="H239" s="196">
        <v>0</v>
      </c>
      <c r="I239" s="229">
        <v>0</v>
      </c>
      <c r="J239" s="129">
        <v>0</v>
      </c>
      <c r="K239" s="239">
        <f t="shared" si="98"/>
        <v>0</v>
      </c>
      <c r="L239" s="239">
        <v>0</v>
      </c>
      <c r="M239" s="239">
        <v>0</v>
      </c>
      <c r="N239" s="239">
        <v>0</v>
      </c>
      <c r="O239" s="241">
        <v>0</v>
      </c>
      <c r="P239" s="218">
        <f t="shared" si="99"/>
        <v>0</v>
      </c>
      <c r="Q239" s="218">
        <v>0</v>
      </c>
      <c r="R239" s="218">
        <v>0</v>
      </c>
      <c r="S239" s="218">
        <v>0</v>
      </c>
      <c r="T239" s="217">
        <v>0</v>
      </c>
      <c r="U239" s="218">
        <f t="shared" si="100"/>
        <v>0</v>
      </c>
      <c r="V239" s="218">
        <v>0</v>
      </c>
      <c r="W239" s="218">
        <v>0</v>
      </c>
      <c r="X239" s="218">
        <v>0</v>
      </c>
      <c r="Y239" s="217">
        <v>0</v>
      </c>
      <c r="Z239" s="218">
        <f t="shared" si="101"/>
        <v>0</v>
      </c>
      <c r="AA239" s="218">
        <v>0</v>
      </c>
      <c r="AB239" s="218">
        <f>216324-216324</f>
        <v>0</v>
      </c>
      <c r="AC239" s="218">
        <f>13308-13308</f>
        <v>0</v>
      </c>
      <c r="AD239" s="221"/>
    </row>
    <row r="240" spans="1:30" s="15" customFormat="1" ht="38.25" customHeight="1" outlineLevel="1" x14ac:dyDescent="0.2">
      <c r="A240" s="215" t="s">
        <v>1255</v>
      </c>
      <c r="B240" s="231" t="s">
        <v>596</v>
      </c>
      <c r="C240" s="342">
        <f t="shared" si="95"/>
        <v>1.1200000000000001</v>
      </c>
      <c r="D240" s="232">
        <f t="shared" si="96"/>
        <v>54127</v>
      </c>
      <c r="E240" s="195">
        <v>0</v>
      </c>
      <c r="F240" s="229">
        <f t="shared" ref="F240:F241" si="102">G240+H240+I240</f>
        <v>0</v>
      </c>
      <c r="G240" s="229">
        <v>0</v>
      </c>
      <c r="H240" s="196">
        <v>0</v>
      </c>
      <c r="I240" s="229">
        <v>0</v>
      </c>
      <c r="J240" s="129">
        <v>0</v>
      </c>
      <c r="K240" s="229">
        <f t="shared" si="98"/>
        <v>0</v>
      </c>
      <c r="L240" s="229">
        <v>0</v>
      </c>
      <c r="M240" s="196">
        <v>0</v>
      </c>
      <c r="N240" s="229">
        <v>0</v>
      </c>
      <c r="O240" s="241">
        <v>0</v>
      </c>
      <c r="P240" s="229">
        <f t="shared" si="99"/>
        <v>0</v>
      </c>
      <c r="Q240" s="229">
        <v>0</v>
      </c>
      <c r="R240" s="196">
        <v>0</v>
      </c>
      <c r="S240" s="229">
        <v>0</v>
      </c>
      <c r="T240" s="217">
        <v>1.1200000000000001</v>
      </c>
      <c r="U240" s="218">
        <f t="shared" si="100"/>
        <v>54127</v>
      </c>
      <c r="V240" s="218">
        <v>0</v>
      </c>
      <c r="W240" s="218">
        <v>52503</v>
      </c>
      <c r="X240" s="218">
        <v>1624</v>
      </c>
      <c r="Y240" s="217">
        <v>0</v>
      </c>
      <c r="Z240" s="218">
        <f t="shared" si="101"/>
        <v>0</v>
      </c>
      <c r="AA240" s="218">
        <v>0</v>
      </c>
      <c r="AB240" s="218">
        <v>0</v>
      </c>
      <c r="AC240" s="218">
        <v>0</v>
      </c>
      <c r="AD240" s="221"/>
    </row>
    <row r="241" spans="1:31" s="15" customFormat="1" ht="38.25" customHeight="1" outlineLevel="1" x14ac:dyDescent="0.2">
      <c r="A241" s="215" t="s">
        <v>1256</v>
      </c>
      <c r="B241" s="231" t="s">
        <v>597</v>
      </c>
      <c r="C241" s="342">
        <f t="shared" si="95"/>
        <v>1.93</v>
      </c>
      <c r="D241" s="232">
        <f t="shared" si="96"/>
        <v>111362</v>
      </c>
      <c r="E241" s="195">
        <v>0</v>
      </c>
      <c r="F241" s="229">
        <f t="shared" si="102"/>
        <v>0</v>
      </c>
      <c r="G241" s="229">
        <v>0</v>
      </c>
      <c r="H241" s="196">
        <v>0</v>
      </c>
      <c r="I241" s="229">
        <v>0</v>
      </c>
      <c r="J241" s="129">
        <v>0</v>
      </c>
      <c r="K241" s="229">
        <f t="shared" si="98"/>
        <v>0</v>
      </c>
      <c r="L241" s="229">
        <v>0</v>
      </c>
      <c r="M241" s="196">
        <v>0</v>
      </c>
      <c r="N241" s="229">
        <v>0</v>
      </c>
      <c r="O241" s="241">
        <v>0</v>
      </c>
      <c r="P241" s="229">
        <f t="shared" si="99"/>
        <v>0</v>
      </c>
      <c r="Q241" s="229">
        <v>0</v>
      </c>
      <c r="R241" s="196">
        <v>0</v>
      </c>
      <c r="S241" s="229">
        <v>0</v>
      </c>
      <c r="T241" s="217">
        <v>1.93</v>
      </c>
      <c r="U241" s="218">
        <f t="shared" si="100"/>
        <v>111362</v>
      </c>
      <c r="V241" s="218">
        <v>0</v>
      </c>
      <c r="W241" s="218">
        <v>108021</v>
      </c>
      <c r="X241" s="218">
        <v>3341</v>
      </c>
      <c r="Y241" s="217">
        <v>0</v>
      </c>
      <c r="Z241" s="218">
        <f t="shared" si="101"/>
        <v>0</v>
      </c>
      <c r="AA241" s="218">
        <v>0</v>
      </c>
      <c r="AB241" s="218">
        <v>0</v>
      </c>
      <c r="AC241" s="218">
        <v>0</v>
      </c>
      <c r="AD241" s="221"/>
    </row>
    <row r="242" spans="1:31" s="15" customFormat="1" ht="38.25" customHeight="1" outlineLevel="1" x14ac:dyDescent="0.2">
      <c r="A242" s="215" t="s">
        <v>1257</v>
      </c>
      <c r="B242" s="231" t="s">
        <v>1353</v>
      </c>
      <c r="C242" s="342" t="s">
        <v>103</v>
      </c>
      <c r="D242" s="232">
        <f>Z242</f>
        <v>21650</v>
      </c>
      <c r="E242" s="195" t="s">
        <v>103</v>
      </c>
      <c r="F242" s="229" t="s">
        <v>103</v>
      </c>
      <c r="G242" s="229" t="s">
        <v>103</v>
      </c>
      <c r="H242" s="229" t="s">
        <v>103</v>
      </c>
      <c r="I242" s="229" t="s">
        <v>103</v>
      </c>
      <c r="J242" s="229" t="s">
        <v>103</v>
      </c>
      <c r="K242" s="229" t="s">
        <v>103</v>
      </c>
      <c r="L242" s="229" t="s">
        <v>103</v>
      </c>
      <c r="M242" s="229" t="s">
        <v>103</v>
      </c>
      <c r="N242" s="229" t="s">
        <v>103</v>
      </c>
      <c r="O242" s="229" t="s">
        <v>103</v>
      </c>
      <c r="P242" s="229" t="s">
        <v>103</v>
      </c>
      <c r="Q242" s="229" t="s">
        <v>103</v>
      </c>
      <c r="R242" s="229" t="s">
        <v>103</v>
      </c>
      <c r="S242" s="229" t="s">
        <v>103</v>
      </c>
      <c r="T242" s="217" t="s">
        <v>103</v>
      </c>
      <c r="U242" s="218" t="s">
        <v>103</v>
      </c>
      <c r="V242" s="218" t="s">
        <v>103</v>
      </c>
      <c r="W242" s="218" t="s">
        <v>103</v>
      </c>
      <c r="X242" s="218" t="s">
        <v>103</v>
      </c>
      <c r="Y242" s="217">
        <v>0</v>
      </c>
      <c r="Z242" s="218">
        <f t="shared" si="101"/>
        <v>21650</v>
      </c>
      <c r="AA242" s="218">
        <v>0</v>
      </c>
      <c r="AB242" s="218">
        <v>0</v>
      </c>
      <c r="AC242" s="218">
        <v>21650</v>
      </c>
      <c r="AD242" s="221"/>
    </row>
    <row r="243" spans="1:31" s="15" customFormat="1" ht="18.75" customHeight="1" outlineLevel="1" x14ac:dyDescent="0.2">
      <c r="A243" s="215"/>
      <c r="B243" s="231" t="s">
        <v>216</v>
      </c>
      <c r="C243" s="342">
        <f t="shared" si="95"/>
        <v>0</v>
      </c>
      <c r="D243" s="232">
        <f>F243+K243+P243+U243+Z243</f>
        <v>3055</v>
      </c>
      <c r="E243" s="195">
        <v>0</v>
      </c>
      <c r="F243" s="229">
        <f>H243+I243</f>
        <v>0</v>
      </c>
      <c r="G243" s="229">
        <v>0</v>
      </c>
      <c r="H243" s="196">
        <v>0</v>
      </c>
      <c r="I243" s="196">
        <v>0</v>
      </c>
      <c r="J243" s="342">
        <v>0</v>
      </c>
      <c r="K243" s="218">
        <f t="shared" si="82"/>
        <v>99</v>
      </c>
      <c r="L243" s="218">
        <v>0</v>
      </c>
      <c r="M243" s="218">
        <v>0</v>
      </c>
      <c r="N243" s="218">
        <v>99</v>
      </c>
      <c r="O243" s="217">
        <v>0</v>
      </c>
      <c r="P243" s="218">
        <f t="shared" si="99"/>
        <v>2945</v>
      </c>
      <c r="Q243" s="218">
        <v>0</v>
      </c>
      <c r="R243" s="218">
        <f>2774</f>
        <v>2774</v>
      </c>
      <c r="S243" s="218">
        <f>171</f>
        <v>171</v>
      </c>
      <c r="T243" s="217">
        <v>0</v>
      </c>
      <c r="U243" s="218">
        <f t="shared" si="100"/>
        <v>11</v>
      </c>
      <c r="V243" s="218">
        <v>0</v>
      </c>
      <c r="W243" s="218">
        <v>10</v>
      </c>
      <c r="X243" s="218">
        <v>1</v>
      </c>
      <c r="Y243" s="217">
        <v>0</v>
      </c>
      <c r="Z243" s="218">
        <f t="shared" si="101"/>
        <v>0</v>
      </c>
      <c r="AA243" s="218">
        <v>0</v>
      </c>
      <c r="AB243" s="218">
        <v>0</v>
      </c>
      <c r="AC243" s="218">
        <v>0</v>
      </c>
      <c r="AD243" s="221"/>
    </row>
    <row r="244" spans="1:31" s="17" customFormat="1" ht="42" customHeight="1" x14ac:dyDescent="0.2">
      <c r="A244" s="215"/>
      <c r="B244" s="226" t="s">
        <v>503</v>
      </c>
      <c r="C244" s="346">
        <f t="shared" ref="C244:AC244" si="103">SUM(C104:C243)</f>
        <v>1186.0300000000004</v>
      </c>
      <c r="D244" s="228">
        <f t="shared" si="103"/>
        <v>4391506.5</v>
      </c>
      <c r="E244" s="346">
        <f t="shared" si="103"/>
        <v>297.87999999999994</v>
      </c>
      <c r="F244" s="228">
        <f t="shared" si="103"/>
        <v>787419</v>
      </c>
      <c r="G244" s="228">
        <f t="shared" si="103"/>
        <v>0</v>
      </c>
      <c r="H244" s="228">
        <f t="shared" si="103"/>
        <v>745331</v>
      </c>
      <c r="I244" s="228">
        <f t="shared" si="103"/>
        <v>42088</v>
      </c>
      <c r="J244" s="346">
        <f t="shared" si="103"/>
        <v>355.79</v>
      </c>
      <c r="K244" s="228">
        <f t="shared" si="103"/>
        <v>934352</v>
      </c>
      <c r="L244" s="228">
        <f t="shared" si="103"/>
        <v>0</v>
      </c>
      <c r="M244" s="228">
        <f t="shared" si="103"/>
        <v>876202</v>
      </c>
      <c r="N244" s="228">
        <f t="shared" si="103"/>
        <v>58150</v>
      </c>
      <c r="O244" s="346">
        <f t="shared" si="103"/>
        <v>361.57</v>
      </c>
      <c r="P244" s="228">
        <f t="shared" si="103"/>
        <v>1216402</v>
      </c>
      <c r="Q244" s="228">
        <f t="shared" si="103"/>
        <v>0</v>
      </c>
      <c r="R244" s="228">
        <f t="shared" si="103"/>
        <v>1032121</v>
      </c>
      <c r="S244" s="228">
        <f t="shared" si="103"/>
        <v>184281</v>
      </c>
      <c r="T244" s="346">
        <f t="shared" si="103"/>
        <v>170.79000000000002</v>
      </c>
      <c r="U244" s="228">
        <f>SUM(U104:U243)</f>
        <v>1427661.5</v>
      </c>
      <c r="V244" s="228">
        <f t="shared" si="103"/>
        <v>0</v>
      </c>
      <c r="W244" s="228">
        <f t="shared" si="103"/>
        <v>1279600</v>
      </c>
      <c r="X244" s="228">
        <f>SUM(X104:X243)</f>
        <v>148061.5</v>
      </c>
      <c r="Y244" s="346">
        <f t="shared" si="103"/>
        <v>0</v>
      </c>
      <c r="Z244" s="228">
        <f t="shared" si="103"/>
        <v>25672</v>
      </c>
      <c r="AA244" s="242">
        <f t="shared" si="103"/>
        <v>0</v>
      </c>
      <c r="AB244" s="228">
        <f t="shared" si="103"/>
        <v>0</v>
      </c>
      <c r="AC244" s="228">
        <f t="shared" si="103"/>
        <v>25672</v>
      </c>
      <c r="AD244" s="235"/>
    </row>
    <row r="245" spans="1:31" s="18" customFormat="1" ht="27" customHeight="1" x14ac:dyDescent="0.2">
      <c r="A245" s="243" t="s">
        <v>453</v>
      </c>
      <c r="B245" s="441" t="s">
        <v>290</v>
      </c>
      <c r="C245" s="442"/>
      <c r="D245" s="442"/>
      <c r="E245" s="442"/>
      <c r="F245" s="442"/>
      <c r="G245" s="442"/>
      <c r="H245" s="442"/>
      <c r="I245" s="442"/>
      <c r="J245" s="442"/>
      <c r="K245" s="442"/>
      <c r="L245" s="442"/>
      <c r="M245" s="442"/>
      <c r="N245" s="442"/>
      <c r="O245" s="442"/>
      <c r="P245" s="442"/>
      <c r="Q245" s="442"/>
      <c r="R245" s="442"/>
      <c r="S245" s="442"/>
      <c r="T245" s="442"/>
      <c r="U245" s="442"/>
      <c r="V245" s="442"/>
      <c r="W245" s="442"/>
      <c r="X245" s="442"/>
      <c r="Y245" s="442"/>
      <c r="Z245" s="442"/>
      <c r="AA245" s="442"/>
      <c r="AB245" s="442"/>
      <c r="AC245" s="443"/>
      <c r="AD245" s="244"/>
    </row>
    <row r="246" spans="1:31" s="17" customFormat="1" ht="78" customHeight="1" outlineLevel="1" x14ac:dyDescent="0.2">
      <c r="A246" s="233" t="s">
        <v>1328</v>
      </c>
      <c r="B246" s="245" t="s">
        <v>18</v>
      </c>
      <c r="C246" s="217">
        <f>E246+J246+O246+T246+Y246</f>
        <v>191.94000000000003</v>
      </c>
      <c r="D246" s="218">
        <f>F246+K246+P246+U246+Z246</f>
        <v>425865</v>
      </c>
      <c r="E246" s="217">
        <v>85.67</v>
      </c>
      <c r="F246" s="229">
        <f>G246+H246+I246</f>
        <v>142702</v>
      </c>
      <c r="G246" s="218">
        <v>0</v>
      </c>
      <c r="H246" s="218">
        <f>135000</f>
        <v>135000</v>
      </c>
      <c r="I246" s="218">
        <v>7702</v>
      </c>
      <c r="J246" s="217">
        <v>87.87</v>
      </c>
      <c r="K246" s="229">
        <f>SUM(L246:N246)</f>
        <v>132502</v>
      </c>
      <c r="L246" s="218">
        <v>0</v>
      </c>
      <c r="M246" s="218">
        <v>0</v>
      </c>
      <c r="N246" s="218">
        <f>132751-249</f>
        <v>132502</v>
      </c>
      <c r="O246" s="217">
        <f>5.8+18.4-5.8</f>
        <v>18.399999999999999</v>
      </c>
      <c r="P246" s="218">
        <f>Q246+R246+S246</f>
        <v>39988</v>
      </c>
      <c r="Q246" s="218">
        <v>0</v>
      </c>
      <c r="R246" s="218">
        <v>0</v>
      </c>
      <c r="S246" s="218">
        <f>47696-7696-12</f>
        <v>39988</v>
      </c>
      <c r="T246" s="217">
        <f>5.8-5.8</f>
        <v>0</v>
      </c>
      <c r="U246" s="218">
        <f>V246+W246+X246</f>
        <v>110673</v>
      </c>
      <c r="V246" s="218">
        <v>0</v>
      </c>
      <c r="W246" s="218">
        <v>0</v>
      </c>
      <c r="X246" s="218">
        <f>62015+43535+6000-877</f>
        <v>110673</v>
      </c>
      <c r="Y246" s="217">
        <f>5.8-5.8</f>
        <v>0</v>
      </c>
      <c r="Z246" s="218">
        <f>AA246+AB246+AC246</f>
        <v>0</v>
      </c>
      <c r="AA246" s="218">
        <v>0</v>
      </c>
      <c r="AB246" s="218">
        <v>0</v>
      </c>
      <c r="AC246" s="218">
        <f>7696-7696</f>
        <v>0</v>
      </c>
      <c r="AD246" s="246"/>
      <c r="AE246" s="16"/>
    </row>
    <row r="247" spans="1:31" s="11" customFormat="1" ht="150.75" customHeight="1" outlineLevel="1" x14ac:dyDescent="0.2">
      <c r="A247" s="233" t="s">
        <v>1329</v>
      </c>
      <c r="B247" s="245" t="s">
        <v>573</v>
      </c>
      <c r="C247" s="217">
        <v>0</v>
      </c>
      <c r="D247" s="218">
        <f>F247+K247+P247+U247+Z247</f>
        <v>654</v>
      </c>
      <c r="E247" s="217">
        <v>0</v>
      </c>
      <c r="F247" s="229">
        <v>0</v>
      </c>
      <c r="G247" s="218">
        <v>0</v>
      </c>
      <c r="H247" s="218">
        <v>0</v>
      </c>
      <c r="I247" s="218">
        <v>0</v>
      </c>
      <c r="J247" s="217">
        <v>0</v>
      </c>
      <c r="K247" s="229">
        <f>SUM(L247:N247)</f>
        <v>0</v>
      </c>
      <c r="L247" s="218">
        <v>0</v>
      </c>
      <c r="M247" s="218">
        <v>0</v>
      </c>
      <c r="N247" s="218">
        <v>0</v>
      </c>
      <c r="O247" s="217">
        <v>0</v>
      </c>
      <c r="P247" s="218">
        <f>Q247+R247+S247</f>
        <v>149</v>
      </c>
      <c r="Q247" s="218">
        <v>0</v>
      </c>
      <c r="R247" s="218">
        <v>0</v>
      </c>
      <c r="S247" s="218">
        <f>699-550</f>
        <v>149</v>
      </c>
      <c r="T247" s="217">
        <v>0</v>
      </c>
      <c r="U247" s="218">
        <f>V247+W247+X247</f>
        <v>505</v>
      </c>
      <c r="V247" s="218">
        <v>0</v>
      </c>
      <c r="W247" s="218">
        <v>0</v>
      </c>
      <c r="X247" s="218">
        <f>573-68</f>
        <v>505</v>
      </c>
      <c r="Y247" s="217">
        <v>0</v>
      </c>
      <c r="Z247" s="218">
        <f>AA247+AB247+AC247</f>
        <v>0</v>
      </c>
      <c r="AA247" s="218">
        <v>0</v>
      </c>
      <c r="AB247" s="218">
        <v>0</v>
      </c>
      <c r="AC247" s="218">
        <v>0</v>
      </c>
      <c r="AD247" s="183"/>
    </row>
    <row r="248" spans="1:31" s="17" customFormat="1" ht="53.25" customHeight="1" x14ac:dyDescent="0.2">
      <c r="A248" s="233"/>
      <c r="B248" s="247" t="s">
        <v>504</v>
      </c>
      <c r="C248" s="227">
        <f>C246+C247</f>
        <v>191.94000000000003</v>
      </c>
      <c r="D248" s="192">
        <f>D246+D247</f>
        <v>426519</v>
      </c>
      <c r="E248" s="227">
        <f t="shared" ref="E248:J248" si="104">E246+E247</f>
        <v>85.67</v>
      </c>
      <c r="F248" s="228">
        <f>F246+F247</f>
        <v>142702</v>
      </c>
      <c r="G248" s="228">
        <f t="shared" si="104"/>
        <v>0</v>
      </c>
      <c r="H248" s="228">
        <f t="shared" si="104"/>
        <v>135000</v>
      </c>
      <c r="I248" s="228">
        <f t="shared" si="104"/>
        <v>7702</v>
      </c>
      <c r="J248" s="227">
        <f t="shared" si="104"/>
        <v>87.87</v>
      </c>
      <c r="K248" s="228">
        <f>K246+K247</f>
        <v>132502</v>
      </c>
      <c r="L248" s="228">
        <f t="shared" ref="L248:AC248" si="105">L246+L247</f>
        <v>0</v>
      </c>
      <c r="M248" s="228">
        <f t="shared" si="105"/>
        <v>0</v>
      </c>
      <c r="N248" s="228">
        <f t="shared" si="105"/>
        <v>132502</v>
      </c>
      <c r="O248" s="227">
        <f t="shared" si="105"/>
        <v>18.399999999999999</v>
      </c>
      <c r="P248" s="228">
        <f>P246+P247</f>
        <v>40137</v>
      </c>
      <c r="Q248" s="228">
        <f t="shared" si="105"/>
        <v>0</v>
      </c>
      <c r="R248" s="228">
        <f t="shared" si="105"/>
        <v>0</v>
      </c>
      <c r="S248" s="228">
        <f t="shared" si="105"/>
        <v>40137</v>
      </c>
      <c r="T248" s="227">
        <f t="shared" si="105"/>
        <v>0</v>
      </c>
      <c r="U248" s="228">
        <f>U246+U247</f>
        <v>111178</v>
      </c>
      <c r="V248" s="228">
        <f t="shared" si="105"/>
        <v>0</v>
      </c>
      <c r="W248" s="228">
        <f t="shared" si="105"/>
        <v>0</v>
      </c>
      <c r="X248" s="228">
        <f t="shared" si="105"/>
        <v>111178</v>
      </c>
      <c r="Y248" s="227">
        <f t="shared" si="105"/>
        <v>0</v>
      </c>
      <c r="Z248" s="228">
        <f t="shared" si="105"/>
        <v>0</v>
      </c>
      <c r="AA248" s="228">
        <f t="shared" si="105"/>
        <v>0</v>
      </c>
      <c r="AB248" s="228">
        <f t="shared" si="105"/>
        <v>0</v>
      </c>
      <c r="AC248" s="228">
        <f t="shared" si="105"/>
        <v>0</v>
      </c>
      <c r="AD248" s="235"/>
    </row>
    <row r="249" spans="1:31" s="17" customFormat="1" ht="31.5" customHeight="1" x14ac:dyDescent="0.2">
      <c r="A249" s="248" t="s">
        <v>454</v>
      </c>
      <c r="B249" s="435" t="s">
        <v>166</v>
      </c>
      <c r="C249" s="436"/>
      <c r="D249" s="436"/>
      <c r="E249" s="436"/>
      <c r="F249" s="436"/>
      <c r="G249" s="436"/>
      <c r="H249" s="436"/>
      <c r="I249" s="436"/>
      <c r="J249" s="436"/>
      <c r="K249" s="436"/>
      <c r="L249" s="436"/>
      <c r="M249" s="436"/>
      <c r="N249" s="436"/>
      <c r="O249" s="436"/>
      <c r="P249" s="436"/>
      <c r="Q249" s="436"/>
      <c r="R249" s="436"/>
      <c r="S249" s="436"/>
      <c r="T249" s="436"/>
      <c r="U249" s="436"/>
      <c r="V249" s="436"/>
      <c r="W249" s="436"/>
      <c r="X249" s="436"/>
      <c r="Y249" s="436"/>
      <c r="Z249" s="436"/>
      <c r="AA249" s="436"/>
      <c r="AB249" s="436"/>
      <c r="AC249" s="437"/>
      <c r="AD249" s="235"/>
    </row>
    <row r="250" spans="1:31" s="17" customFormat="1" ht="25.15" customHeight="1" x14ac:dyDescent="0.2">
      <c r="A250" s="249"/>
      <c r="B250" s="250" t="s">
        <v>81</v>
      </c>
      <c r="C250" s="251"/>
      <c r="D250" s="252"/>
      <c r="E250" s="227"/>
      <c r="F250" s="242"/>
      <c r="G250" s="242"/>
      <c r="H250" s="242"/>
      <c r="I250" s="242"/>
      <c r="J250" s="227"/>
      <c r="K250" s="346"/>
      <c r="L250" s="242"/>
      <c r="M250" s="242"/>
      <c r="N250" s="242"/>
      <c r="O250" s="227"/>
      <c r="P250" s="253"/>
      <c r="Q250" s="242"/>
      <c r="R250" s="242"/>
      <c r="S250" s="251"/>
      <c r="T250" s="227"/>
      <c r="U250" s="254"/>
      <c r="V250" s="242"/>
      <c r="W250" s="242"/>
      <c r="X250" s="242"/>
      <c r="Y250" s="227"/>
      <c r="Z250" s="255"/>
      <c r="AA250" s="255"/>
      <c r="AB250" s="255"/>
      <c r="AC250" s="255"/>
      <c r="AD250" s="235"/>
    </row>
    <row r="251" spans="1:31" s="17" customFormat="1" ht="31.15" customHeight="1" x14ac:dyDescent="0.2">
      <c r="A251" s="256" t="s">
        <v>1330</v>
      </c>
      <c r="B251" s="250" t="s">
        <v>85</v>
      </c>
      <c r="C251" s="345">
        <f>E251+J251+O251+T251+Y251</f>
        <v>0</v>
      </c>
      <c r="D251" s="257">
        <f>F251+K251+P251+U251+Z251</f>
        <v>0</v>
      </c>
      <c r="E251" s="345">
        <v>0</v>
      </c>
      <c r="F251" s="258">
        <f>SUM(G251:I251)</f>
        <v>0</v>
      </c>
      <c r="G251" s="259">
        <v>0</v>
      </c>
      <c r="H251" s="259">
        <v>0</v>
      </c>
      <c r="I251" s="259">
        <v>0</v>
      </c>
      <c r="J251" s="345">
        <v>0</v>
      </c>
      <c r="K251" s="258">
        <f>SUM(L251:N251)</f>
        <v>0</v>
      </c>
      <c r="L251" s="259">
        <v>0</v>
      </c>
      <c r="M251" s="259">
        <v>0</v>
      </c>
      <c r="N251" s="259">
        <v>0</v>
      </c>
      <c r="O251" s="345">
        <v>0</v>
      </c>
      <c r="P251" s="257">
        <f>Q251+R251+S251</f>
        <v>0</v>
      </c>
      <c r="Q251" s="257">
        <v>0</v>
      </c>
      <c r="R251" s="257">
        <v>0</v>
      </c>
      <c r="S251" s="259">
        <v>0</v>
      </c>
      <c r="T251" s="345">
        <v>0</v>
      </c>
      <c r="U251" s="257">
        <f>V251+W251+X251</f>
        <v>0</v>
      </c>
      <c r="V251" s="259">
        <v>0</v>
      </c>
      <c r="W251" s="259">
        <v>0</v>
      </c>
      <c r="X251" s="259">
        <v>0</v>
      </c>
      <c r="Y251" s="345">
        <v>0</v>
      </c>
      <c r="Z251" s="258">
        <f>SUM(Z252:Z257)</f>
        <v>0</v>
      </c>
      <c r="AA251" s="259">
        <v>0</v>
      </c>
      <c r="AB251" s="259">
        <v>0</v>
      </c>
      <c r="AC251" s="259">
        <v>0</v>
      </c>
      <c r="AD251" s="235"/>
    </row>
    <row r="252" spans="1:31" s="17" customFormat="1" ht="27" customHeight="1" outlineLevel="1" x14ac:dyDescent="0.2">
      <c r="A252" s="260" t="s">
        <v>1331</v>
      </c>
      <c r="B252" s="261" t="s">
        <v>92</v>
      </c>
      <c r="C252" s="345">
        <f>E252+J252+O252+T252+Y252</f>
        <v>0</v>
      </c>
      <c r="D252" s="257">
        <f>F252+K252+P252+U252+Z252</f>
        <v>0</v>
      </c>
      <c r="E252" s="260">
        <v>0</v>
      </c>
      <c r="F252" s="258">
        <f>SUM(G252:I252)</f>
        <v>0</v>
      </c>
      <c r="G252" s="258">
        <v>0</v>
      </c>
      <c r="H252" s="258">
        <v>0</v>
      </c>
      <c r="I252" s="258">
        <v>0</v>
      </c>
      <c r="J252" s="260">
        <v>0</v>
      </c>
      <c r="K252" s="258">
        <f>SUM(L252:N252)</f>
        <v>0</v>
      </c>
      <c r="L252" s="258">
        <v>0</v>
      </c>
      <c r="M252" s="258">
        <v>0</v>
      </c>
      <c r="N252" s="258">
        <v>0</v>
      </c>
      <c r="O252" s="260">
        <v>0</v>
      </c>
      <c r="P252" s="257">
        <f>Q252+R252+S252</f>
        <v>0</v>
      </c>
      <c r="Q252" s="258">
        <v>0</v>
      </c>
      <c r="R252" s="258">
        <v>0</v>
      </c>
      <c r="S252" s="258">
        <v>0</v>
      </c>
      <c r="T252" s="260">
        <v>0</v>
      </c>
      <c r="U252" s="257">
        <f>V252+W252+X252</f>
        <v>0</v>
      </c>
      <c r="V252" s="258">
        <v>0</v>
      </c>
      <c r="W252" s="258">
        <v>0</v>
      </c>
      <c r="X252" s="258">
        <v>0</v>
      </c>
      <c r="Y252" s="260">
        <v>0</v>
      </c>
      <c r="Z252" s="258">
        <f>SUM(Z253:Z258)</f>
        <v>0</v>
      </c>
      <c r="AA252" s="258">
        <v>0</v>
      </c>
      <c r="AB252" s="258">
        <v>0</v>
      </c>
      <c r="AC252" s="258">
        <v>0</v>
      </c>
      <c r="AD252" s="235"/>
    </row>
    <row r="253" spans="1:31" s="17" customFormat="1" ht="32.450000000000003" customHeight="1" outlineLevel="1" x14ac:dyDescent="0.2">
      <c r="A253" s="256" t="s">
        <v>1332</v>
      </c>
      <c r="B253" s="261" t="s">
        <v>86</v>
      </c>
      <c r="C253" s="260">
        <f>SUM(C254:C259)</f>
        <v>23.36</v>
      </c>
      <c r="D253" s="258">
        <f>SUM(D254:D260)</f>
        <v>4672</v>
      </c>
      <c r="E253" s="260">
        <f t="shared" ref="E253:N253" si="106">SUM(E254:E259)</f>
        <v>13.8</v>
      </c>
      <c r="F253" s="258">
        <f t="shared" si="106"/>
        <v>2746</v>
      </c>
      <c r="G253" s="258">
        <f t="shared" si="106"/>
        <v>0</v>
      </c>
      <c r="H253" s="258">
        <f t="shared" si="106"/>
        <v>0</v>
      </c>
      <c r="I253" s="258">
        <f t="shared" si="106"/>
        <v>2746</v>
      </c>
      <c r="J253" s="260">
        <f t="shared" si="106"/>
        <v>0</v>
      </c>
      <c r="K253" s="258">
        <f t="shared" si="106"/>
        <v>0</v>
      </c>
      <c r="L253" s="258">
        <f t="shared" si="106"/>
        <v>0</v>
      </c>
      <c r="M253" s="258">
        <f t="shared" si="106"/>
        <v>0</v>
      </c>
      <c r="N253" s="258">
        <f t="shared" si="106"/>
        <v>0</v>
      </c>
      <c r="O253" s="260">
        <f>SUM(O254:O260)</f>
        <v>6.98</v>
      </c>
      <c r="P253" s="258">
        <f>SUM(P254:P260)</f>
        <v>1210</v>
      </c>
      <c r="Q253" s="258">
        <f>SUM(Q254:Q260)</f>
        <v>0</v>
      </c>
      <c r="R253" s="258">
        <f>SUM(R254:R260)</f>
        <v>0</v>
      </c>
      <c r="S253" s="258">
        <f>SUM(S254:S260)</f>
        <v>1210</v>
      </c>
      <c r="T253" s="260">
        <f t="shared" ref="T253:Y253" si="107">SUM(T254:T259)</f>
        <v>4</v>
      </c>
      <c r="U253" s="258">
        <f t="shared" si="107"/>
        <v>716</v>
      </c>
      <c r="V253" s="258">
        <f t="shared" si="107"/>
        <v>0</v>
      </c>
      <c r="W253" s="258">
        <f t="shared" si="107"/>
        <v>0</v>
      </c>
      <c r="X253" s="258">
        <f t="shared" si="107"/>
        <v>716</v>
      </c>
      <c r="Y253" s="260">
        <f t="shared" si="107"/>
        <v>0</v>
      </c>
      <c r="Z253" s="258">
        <f>SUM(Z254:Z259)</f>
        <v>0</v>
      </c>
      <c r="AA253" s="258">
        <f>SUM(AA254:AA259)</f>
        <v>0</v>
      </c>
      <c r="AB253" s="258">
        <f>SUM(AB254:AB259)</f>
        <v>0</v>
      </c>
      <c r="AC253" s="258">
        <f>SUM(AC254:AC259)</f>
        <v>0</v>
      </c>
      <c r="AD253" s="235"/>
    </row>
    <row r="254" spans="1:31" s="17" customFormat="1" ht="42.75" customHeight="1" outlineLevel="1" x14ac:dyDescent="0.2">
      <c r="A254" s="249" t="s">
        <v>1333</v>
      </c>
      <c r="B254" s="127" t="s">
        <v>293</v>
      </c>
      <c r="C254" s="342">
        <f>E254+J254+P254+T254+Y254</f>
        <v>7.25</v>
      </c>
      <c r="D254" s="218">
        <f>F254+K254+P254+Z254+U254</f>
        <v>831</v>
      </c>
      <c r="E254" s="217">
        <v>7.25</v>
      </c>
      <c r="F254" s="229">
        <f t="shared" ref="F254" si="108">G254+H254+I254</f>
        <v>831</v>
      </c>
      <c r="G254" s="229">
        <v>0</v>
      </c>
      <c r="H254" s="229">
        <v>0</v>
      </c>
      <c r="I254" s="229">
        <v>831</v>
      </c>
      <c r="J254" s="217">
        <f t="shared" ref="J254:K256" si="109">K254+L254+M254</f>
        <v>0</v>
      </c>
      <c r="K254" s="229">
        <f t="shared" si="109"/>
        <v>0</v>
      </c>
      <c r="L254" s="229">
        <v>0</v>
      </c>
      <c r="M254" s="229">
        <v>0</v>
      </c>
      <c r="N254" s="229">
        <v>0</v>
      </c>
      <c r="O254" s="183">
        <v>0</v>
      </c>
      <c r="P254" s="262">
        <v>0</v>
      </c>
      <c r="Q254" s="229">
        <v>0</v>
      </c>
      <c r="R254" s="229">
        <v>0</v>
      </c>
      <c r="S254" s="229">
        <v>0</v>
      </c>
      <c r="T254" s="217">
        <v>0</v>
      </c>
      <c r="U254" s="229">
        <f>V254+W254+X254</f>
        <v>0</v>
      </c>
      <c r="V254" s="229">
        <v>0</v>
      </c>
      <c r="W254" s="229">
        <v>0</v>
      </c>
      <c r="X254" s="229">
        <v>0</v>
      </c>
      <c r="Y254" s="217">
        <v>0</v>
      </c>
      <c r="Z254" s="229">
        <f>AA254+AB254+AC254</f>
        <v>0</v>
      </c>
      <c r="AA254" s="229">
        <v>0</v>
      </c>
      <c r="AB254" s="229">
        <v>0</v>
      </c>
      <c r="AC254" s="229">
        <v>0</v>
      </c>
      <c r="AD254" s="235"/>
    </row>
    <row r="255" spans="1:31" s="17" customFormat="1" ht="31.9" customHeight="1" outlineLevel="1" x14ac:dyDescent="0.2">
      <c r="A255" s="249" t="s">
        <v>1334</v>
      </c>
      <c r="B255" s="263" t="s">
        <v>543</v>
      </c>
      <c r="C255" s="342">
        <f t="shared" ref="C255:C259" si="110">E255+J255+O255+T255+Y255</f>
        <v>4</v>
      </c>
      <c r="D255" s="218">
        <f t="shared" ref="D255:D259" si="111">F255+K255+P255+Z255+U255</f>
        <v>716</v>
      </c>
      <c r="E255" s="217">
        <v>0</v>
      </c>
      <c r="F255" s="229">
        <f t="shared" ref="F255:F259" si="112">G255+H255+I255</f>
        <v>0</v>
      </c>
      <c r="G255" s="262">
        <v>0</v>
      </c>
      <c r="H255" s="262">
        <v>0</v>
      </c>
      <c r="I255" s="262">
        <v>0</v>
      </c>
      <c r="J255" s="217">
        <v>0</v>
      </c>
      <c r="K255" s="229">
        <f t="shared" si="109"/>
        <v>0</v>
      </c>
      <c r="L255" s="262">
        <v>0</v>
      </c>
      <c r="M255" s="262">
        <v>0</v>
      </c>
      <c r="N255" s="262">
        <v>0</v>
      </c>
      <c r="O255" s="342">
        <v>0</v>
      </c>
      <c r="P255" s="262">
        <f t="shared" ref="P255:P266" si="113">Q255+R255+S255</f>
        <v>0</v>
      </c>
      <c r="Q255" s="262">
        <v>0</v>
      </c>
      <c r="R255" s="262">
        <v>0</v>
      </c>
      <c r="S255" s="344">
        <v>0</v>
      </c>
      <c r="T255" s="342">
        <v>4</v>
      </c>
      <c r="U255" s="262">
        <f>V255+W255+X255</f>
        <v>716</v>
      </c>
      <c r="V255" s="262">
        <v>0</v>
      </c>
      <c r="W255" s="262">
        <v>0</v>
      </c>
      <c r="X255" s="262">
        <f>928-212</f>
        <v>716</v>
      </c>
      <c r="Y255" s="342">
        <v>0</v>
      </c>
      <c r="Z255" s="262">
        <f t="shared" ref="Z255:Z257" si="114">AA255+AB255+AC255</f>
        <v>0</v>
      </c>
      <c r="AA255" s="262">
        <v>0</v>
      </c>
      <c r="AB255" s="262">
        <v>0</v>
      </c>
      <c r="AC255" s="344">
        <v>0</v>
      </c>
      <c r="AD255" s="235"/>
    </row>
    <row r="256" spans="1:31" s="17" customFormat="1" ht="24" customHeight="1" outlineLevel="1" x14ac:dyDescent="0.2">
      <c r="A256" s="249" t="s">
        <v>1335</v>
      </c>
      <c r="B256" s="127" t="s">
        <v>540</v>
      </c>
      <c r="C256" s="342">
        <f t="shared" si="110"/>
        <v>4.12</v>
      </c>
      <c r="D256" s="218">
        <f t="shared" si="111"/>
        <v>692</v>
      </c>
      <c r="E256" s="217">
        <v>0</v>
      </c>
      <c r="F256" s="229">
        <f t="shared" si="112"/>
        <v>0</v>
      </c>
      <c r="G256" s="262">
        <v>0</v>
      </c>
      <c r="H256" s="262">
        <v>0</v>
      </c>
      <c r="I256" s="262">
        <v>0</v>
      </c>
      <c r="J256" s="217">
        <v>0</v>
      </c>
      <c r="K256" s="229">
        <f t="shared" si="109"/>
        <v>0</v>
      </c>
      <c r="L256" s="262">
        <v>0</v>
      </c>
      <c r="M256" s="262">
        <v>0</v>
      </c>
      <c r="N256" s="262">
        <v>0</v>
      </c>
      <c r="O256" s="342">
        <v>4.12</v>
      </c>
      <c r="P256" s="262">
        <f t="shared" si="113"/>
        <v>692</v>
      </c>
      <c r="Q256" s="262">
        <v>0</v>
      </c>
      <c r="R256" s="262">
        <v>0</v>
      </c>
      <c r="S256" s="344">
        <f>885-285+92</f>
        <v>692</v>
      </c>
      <c r="T256" s="342">
        <v>0</v>
      </c>
      <c r="U256" s="262">
        <v>0</v>
      </c>
      <c r="V256" s="262">
        <v>0</v>
      </c>
      <c r="W256" s="262">
        <v>0</v>
      </c>
      <c r="X256" s="262">
        <v>0</v>
      </c>
      <c r="Y256" s="342">
        <v>0</v>
      </c>
      <c r="Z256" s="262">
        <f t="shared" si="114"/>
        <v>0</v>
      </c>
      <c r="AA256" s="262">
        <v>0</v>
      </c>
      <c r="AB256" s="262">
        <v>0</v>
      </c>
      <c r="AC256" s="344">
        <v>0</v>
      </c>
      <c r="AD256" s="235"/>
    </row>
    <row r="257" spans="1:30" s="17" customFormat="1" ht="46.9" customHeight="1" outlineLevel="1" x14ac:dyDescent="0.2">
      <c r="A257" s="249" t="s">
        <v>1336</v>
      </c>
      <c r="B257" s="127" t="s">
        <v>541</v>
      </c>
      <c r="C257" s="342">
        <f t="shared" si="110"/>
        <v>1.44</v>
      </c>
      <c r="D257" s="218">
        <f t="shared" si="111"/>
        <v>243</v>
      </c>
      <c r="E257" s="217">
        <v>0</v>
      </c>
      <c r="F257" s="229">
        <f t="shared" si="112"/>
        <v>0</v>
      </c>
      <c r="G257" s="262">
        <v>0</v>
      </c>
      <c r="H257" s="262">
        <v>0</v>
      </c>
      <c r="I257" s="262">
        <v>0</v>
      </c>
      <c r="J257" s="217">
        <v>0</v>
      </c>
      <c r="K257" s="229">
        <f t="shared" ref="K257:K259" si="115">L257+M257+N257</f>
        <v>0</v>
      </c>
      <c r="L257" s="262">
        <v>0</v>
      </c>
      <c r="M257" s="262">
        <v>0</v>
      </c>
      <c r="N257" s="262">
        <v>0</v>
      </c>
      <c r="O257" s="342">
        <v>1.44</v>
      </c>
      <c r="P257" s="262">
        <f t="shared" si="113"/>
        <v>243</v>
      </c>
      <c r="Q257" s="262">
        <v>0</v>
      </c>
      <c r="R257" s="262">
        <v>0</v>
      </c>
      <c r="S257" s="344">
        <f>303-60</f>
        <v>243</v>
      </c>
      <c r="T257" s="342">
        <v>0</v>
      </c>
      <c r="U257" s="262">
        <v>0</v>
      </c>
      <c r="V257" s="262">
        <v>0</v>
      </c>
      <c r="W257" s="262">
        <v>0</v>
      </c>
      <c r="X257" s="262">
        <v>0</v>
      </c>
      <c r="Y257" s="342">
        <v>0</v>
      </c>
      <c r="Z257" s="262">
        <f t="shared" si="114"/>
        <v>0</v>
      </c>
      <c r="AA257" s="262">
        <v>0</v>
      </c>
      <c r="AB257" s="262">
        <v>0</v>
      </c>
      <c r="AC257" s="344">
        <v>0</v>
      </c>
      <c r="AD257" s="235"/>
    </row>
    <row r="258" spans="1:30" s="17" customFormat="1" ht="39.6" customHeight="1" outlineLevel="1" x14ac:dyDescent="0.2">
      <c r="A258" s="249" t="s">
        <v>1337</v>
      </c>
      <c r="B258" s="127" t="s">
        <v>294</v>
      </c>
      <c r="C258" s="342">
        <f t="shared" si="110"/>
        <v>5.65</v>
      </c>
      <c r="D258" s="218">
        <f t="shared" si="111"/>
        <v>648</v>
      </c>
      <c r="E258" s="217">
        <v>5.65</v>
      </c>
      <c r="F258" s="229">
        <f t="shared" si="112"/>
        <v>648</v>
      </c>
      <c r="G258" s="262">
        <v>0</v>
      </c>
      <c r="H258" s="262">
        <v>0</v>
      </c>
      <c r="I258" s="262">
        <v>648</v>
      </c>
      <c r="J258" s="217">
        <v>0</v>
      </c>
      <c r="K258" s="229">
        <f t="shared" si="115"/>
        <v>0</v>
      </c>
      <c r="L258" s="262">
        <v>0</v>
      </c>
      <c r="M258" s="262">
        <v>0</v>
      </c>
      <c r="N258" s="262">
        <v>0</v>
      </c>
      <c r="O258" s="342">
        <v>0</v>
      </c>
      <c r="P258" s="262">
        <f>Q258+R258+S258</f>
        <v>0</v>
      </c>
      <c r="Q258" s="262">
        <v>0</v>
      </c>
      <c r="R258" s="262">
        <v>0</v>
      </c>
      <c r="S258" s="344">
        <v>0</v>
      </c>
      <c r="T258" s="342">
        <v>0</v>
      </c>
      <c r="U258" s="262">
        <v>0</v>
      </c>
      <c r="V258" s="262">
        <v>0</v>
      </c>
      <c r="W258" s="262">
        <v>0</v>
      </c>
      <c r="X258" s="262">
        <v>0</v>
      </c>
      <c r="Y258" s="342">
        <v>0</v>
      </c>
      <c r="Z258" s="262">
        <f>AA258+AB258+AC258</f>
        <v>0</v>
      </c>
      <c r="AA258" s="262">
        <v>0</v>
      </c>
      <c r="AB258" s="262">
        <v>0</v>
      </c>
      <c r="AC258" s="344">
        <v>0</v>
      </c>
      <c r="AD258" s="235"/>
    </row>
    <row r="259" spans="1:30" s="17" customFormat="1" ht="39.6" customHeight="1" outlineLevel="1" x14ac:dyDescent="0.2">
      <c r="A259" s="249" t="s">
        <v>1338</v>
      </c>
      <c r="B259" s="127" t="s">
        <v>328</v>
      </c>
      <c r="C259" s="342">
        <f t="shared" si="110"/>
        <v>0.9</v>
      </c>
      <c r="D259" s="218">
        <f t="shared" si="111"/>
        <v>1267</v>
      </c>
      <c r="E259" s="217">
        <v>0.9</v>
      </c>
      <c r="F259" s="229">
        <f t="shared" si="112"/>
        <v>1267</v>
      </c>
      <c r="G259" s="262">
        <v>0</v>
      </c>
      <c r="H259" s="262">
        <v>0</v>
      </c>
      <c r="I259" s="262">
        <v>1267</v>
      </c>
      <c r="J259" s="217">
        <v>0</v>
      </c>
      <c r="K259" s="229">
        <f t="shared" si="115"/>
        <v>0</v>
      </c>
      <c r="L259" s="262">
        <v>0</v>
      </c>
      <c r="M259" s="262">
        <v>0</v>
      </c>
      <c r="N259" s="262">
        <v>0</v>
      </c>
      <c r="O259" s="342">
        <v>0</v>
      </c>
      <c r="P259" s="262">
        <f>Q259+R259+S259</f>
        <v>0</v>
      </c>
      <c r="Q259" s="262">
        <v>0</v>
      </c>
      <c r="R259" s="262">
        <v>0</v>
      </c>
      <c r="S259" s="344">
        <v>0</v>
      </c>
      <c r="T259" s="342">
        <v>0</v>
      </c>
      <c r="U259" s="262">
        <v>0</v>
      </c>
      <c r="V259" s="262">
        <v>0</v>
      </c>
      <c r="W259" s="262">
        <v>0</v>
      </c>
      <c r="X259" s="262">
        <v>0</v>
      </c>
      <c r="Y259" s="342">
        <v>0</v>
      </c>
      <c r="Z259" s="262">
        <f>AA259+AB259+AC259</f>
        <v>0</v>
      </c>
      <c r="AA259" s="262">
        <v>0</v>
      </c>
      <c r="AB259" s="262">
        <v>0</v>
      </c>
      <c r="AC259" s="344">
        <v>0</v>
      </c>
      <c r="AD259" s="235"/>
    </row>
    <row r="260" spans="1:30" s="17" customFormat="1" ht="39.6" customHeight="1" outlineLevel="1" x14ac:dyDescent="0.2">
      <c r="A260" s="249" t="s">
        <v>1339</v>
      </c>
      <c r="B260" s="127" t="s">
        <v>539</v>
      </c>
      <c r="C260" s="342">
        <f>E260+J260+O260+T260+Y260</f>
        <v>1.42</v>
      </c>
      <c r="D260" s="218">
        <f>F260+K260+P260+Z260+U260</f>
        <v>275</v>
      </c>
      <c r="E260" s="217">
        <v>0</v>
      </c>
      <c r="F260" s="229">
        <f>G260+H260+I260</f>
        <v>0</v>
      </c>
      <c r="G260" s="262">
        <v>0</v>
      </c>
      <c r="H260" s="262">
        <v>0</v>
      </c>
      <c r="I260" s="262">
        <v>0</v>
      </c>
      <c r="J260" s="217">
        <v>0</v>
      </c>
      <c r="K260" s="229">
        <f>L260+M260+N260</f>
        <v>0</v>
      </c>
      <c r="L260" s="262">
        <v>0</v>
      </c>
      <c r="M260" s="262">
        <v>0</v>
      </c>
      <c r="N260" s="262">
        <v>0</v>
      </c>
      <c r="O260" s="342">
        <v>1.42</v>
      </c>
      <c r="P260" s="262">
        <f>Q260+R260+S260</f>
        <v>275</v>
      </c>
      <c r="Q260" s="262">
        <v>0</v>
      </c>
      <c r="R260" s="262">
        <v>0</v>
      </c>
      <c r="S260" s="344">
        <f>345-70</f>
        <v>275</v>
      </c>
      <c r="T260" s="342">
        <v>0</v>
      </c>
      <c r="U260" s="262">
        <v>0</v>
      </c>
      <c r="V260" s="262">
        <v>0</v>
      </c>
      <c r="W260" s="262">
        <v>0</v>
      </c>
      <c r="X260" s="262">
        <v>0</v>
      </c>
      <c r="Y260" s="342">
        <v>0</v>
      </c>
      <c r="Z260" s="262">
        <f>AA260+AB260+AC260</f>
        <v>0</v>
      </c>
      <c r="AA260" s="262">
        <v>0</v>
      </c>
      <c r="AB260" s="262">
        <v>0</v>
      </c>
      <c r="AC260" s="344">
        <v>0</v>
      </c>
      <c r="AD260" s="235"/>
    </row>
    <row r="261" spans="1:30" s="17" customFormat="1" ht="25.9" customHeight="1" x14ac:dyDescent="0.2">
      <c r="A261" s="260"/>
      <c r="B261" s="261" t="s">
        <v>91</v>
      </c>
      <c r="C261" s="260">
        <f t="shared" ref="C261:J261" si="116">SUM(C251,C253,C252)</f>
        <v>23.36</v>
      </c>
      <c r="D261" s="258">
        <f t="shared" si="116"/>
        <v>4672</v>
      </c>
      <c r="E261" s="260">
        <f t="shared" si="116"/>
        <v>13.8</v>
      </c>
      <c r="F261" s="258">
        <f t="shared" si="116"/>
        <v>2746</v>
      </c>
      <c r="G261" s="258">
        <f t="shared" si="116"/>
        <v>0</v>
      </c>
      <c r="H261" s="258">
        <f t="shared" si="116"/>
        <v>0</v>
      </c>
      <c r="I261" s="258">
        <f t="shared" si="116"/>
        <v>2746</v>
      </c>
      <c r="J261" s="260">
        <f t="shared" si="116"/>
        <v>0</v>
      </c>
      <c r="K261" s="258">
        <f>SUM(L261:N261)</f>
        <v>0</v>
      </c>
      <c r="L261" s="258">
        <f>SUM(L251,L253,L252)</f>
        <v>0</v>
      </c>
      <c r="M261" s="258">
        <f>SUM(M251,M253,M252)</f>
        <v>0</v>
      </c>
      <c r="N261" s="258">
        <f>SUM(N251,N253,N252)</f>
        <v>0</v>
      </c>
      <c r="O261" s="260">
        <f>SUM(O251,O253,O252)</f>
        <v>6.98</v>
      </c>
      <c r="P261" s="258">
        <f>Q261+R261+S261</f>
        <v>1210</v>
      </c>
      <c r="Q261" s="258">
        <f>SUM(Q251,Q253,Q252)</f>
        <v>0</v>
      </c>
      <c r="R261" s="258">
        <f>SUM(R251,R253,R252)</f>
        <v>0</v>
      </c>
      <c r="S261" s="258">
        <f>SUM(S251,S253,S252)</f>
        <v>1210</v>
      </c>
      <c r="T261" s="260">
        <f>SUM(T251,T253,T252)</f>
        <v>4</v>
      </c>
      <c r="U261" s="258">
        <f>V261+W261+X261</f>
        <v>716</v>
      </c>
      <c r="V261" s="258">
        <f t="shared" ref="V261:AC261" si="117">SUM(V251,V253,V252)</f>
        <v>0</v>
      </c>
      <c r="W261" s="258">
        <f t="shared" si="117"/>
        <v>0</v>
      </c>
      <c r="X261" s="258">
        <f t="shared" si="117"/>
        <v>716</v>
      </c>
      <c r="Y261" s="260">
        <f t="shared" si="117"/>
        <v>0</v>
      </c>
      <c r="Z261" s="258">
        <f t="shared" si="117"/>
        <v>0</v>
      </c>
      <c r="AA261" s="258">
        <f t="shared" si="117"/>
        <v>0</v>
      </c>
      <c r="AB261" s="258">
        <f t="shared" si="117"/>
        <v>0</v>
      </c>
      <c r="AC261" s="258">
        <f t="shared" si="117"/>
        <v>0</v>
      </c>
      <c r="AD261" s="235"/>
    </row>
    <row r="262" spans="1:30" s="17" customFormat="1" ht="24" customHeight="1" x14ac:dyDescent="0.2">
      <c r="A262" s="256"/>
      <c r="B262" s="264" t="s">
        <v>82</v>
      </c>
      <c r="C262" s="265"/>
      <c r="D262" s="262"/>
      <c r="E262" s="217"/>
      <c r="F262" s="258"/>
      <c r="G262" s="266"/>
      <c r="H262" s="266"/>
      <c r="I262" s="266"/>
      <c r="J262" s="227"/>
      <c r="K262" s="267"/>
      <c r="L262" s="266"/>
      <c r="M262" s="266"/>
      <c r="N262" s="266"/>
      <c r="O262" s="265"/>
      <c r="P262" s="262"/>
      <c r="Q262" s="266"/>
      <c r="R262" s="266"/>
      <c r="S262" s="268"/>
      <c r="T262" s="265"/>
      <c r="U262" s="262"/>
      <c r="V262" s="266"/>
      <c r="W262" s="266"/>
      <c r="X262" s="268"/>
      <c r="Y262" s="265"/>
      <c r="Z262" s="262"/>
      <c r="AA262" s="262"/>
      <c r="AB262" s="262"/>
      <c r="AC262" s="268"/>
      <c r="AD262" s="235"/>
    </row>
    <row r="263" spans="1:30" s="17" customFormat="1" ht="34.15" customHeight="1" outlineLevel="1" x14ac:dyDescent="0.2">
      <c r="A263" s="260" t="s">
        <v>1340</v>
      </c>
      <c r="B263" s="269" t="s">
        <v>89</v>
      </c>
      <c r="C263" s="345">
        <f>E263+J263+O263+T263+Y263</f>
        <v>0</v>
      </c>
      <c r="D263" s="259">
        <f>F263+K263+P263+U263+Z263</f>
        <v>0</v>
      </c>
      <c r="E263" s="345">
        <v>0</v>
      </c>
      <c r="F263" s="258">
        <f>G263+H263+I263</f>
        <v>0</v>
      </c>
      <c r="G263" s="259">
        <v>0</v>
      </c>
      <c r="H263" s="259">
        <v>0</v>
      </c>
      <c r="I263" s="259">
        <v>0</v>
      </c>
      <c r="J263" s="345">
        <v>0</v>
      </c>
      <c r="K263" s="259">
        <f>SUM(L263:N263)</f>
        <v>0</v>
      </c>
      <c r="L263" s="259">
        <v>0</v>
      </c>
      <c r="M263" s="259">
        <v>0</v>
      </c>
      <c r="N263" s="259">
        <v>0</v>
      </c>
      <c r="O263" s="345">
        <v>0</v>
      </c>
      <c r="P263" s="257">
        <f t="shared" si="113"/>
        <v>0</v>
      </c>
      <c r="Q263" s="259">
        <v>0</v>
      </c>
      <c r="R263" s="259">
        <v>0</v>
      </c>
      <c r="S263" s="259">
        <v>0</v>
      </c>
      <c r="T263" s="345">
        <v>0</v>
      </c>
      <c r="U263" s="257">
        <v>0</v>
      </c>
      <c r="V263" s="257">
        <v>0</v>
      </c>
      <c r="W263" s="257">
        <v>0</v>
      </c>
      <c r="X263" s="257">
        <v>0</v>
      </c>
      <c r="Y263" s="345">
        <v>0</v>
      </c>
      <c r="Z263" s="257">
        <f t="shared" ref="Z263:Z266" si="118">AA263+AB263+AC263</f>
        <v>0</v>
      </c>
      <c r="AA263" s="259">
        <v>0</v>
      </c>
      <c r="AB263" s="259">
        <v>0</v>
      </c>
      <c r="AC263" s="259">
        <v>0</v>
      </c>
      <c r="AD263" s="235"/>
    </row>
    <row r="264" spans="1:30" s="17" customFormat="1" ht="28.9" customHeight="1" outlineLevel="1" x14ac:dyDescent="0.2">
      <c r="A264" s="256" t="s">
        <v>1341</v>
      </c>
      <c r="B264" s="269" t="s">
        <v>88</v>
      </c>
      <c r="C264" s="345">
        <f t="shared" ref="C264:J264" si="119">SUM(C265:C265)</f>
        <v>4.59</v>
      </c>
      <c r="D264" s="259">
        <f t="shared" si="119"/>
        <v>823</v>
      </c>
      <c r="E264" s="345">
        <f t="shared" si="119"/>
        <v>0</v>
      </c>
      <c r="F264" s="259">
        <f t="shared" si="119"/>
        <v>0</v>
      </c>
      <c r="G264" s="259">
        <f t="shared" si="119"/>
        <v>0</v>
      </c>
      <c r="H264" s="259">
        <f t="shared" si="119"/>
        <v>0</v>
      </c>
      <c r="I264" s="259">
        <f t="shared" si="119"/>
        <v>0</v>
      </c>
      <c r="J264" s="345">
        <f t="shared" si="119"/>
        <v>0</v>
      </c>
      <c r="K264" s="267">
        <f t="shared" ref="K264:K265" si="120">L264+M264+N264</f>
        <v>0</v>
      </c>
      <c r="L264" s="259">
        <f>SUM(L265:L265)</f>
        <v>0</v>
      </c>
      <c r="M264" s="259">
        <f>SUM(M265:M265)</f>
        <v>0</v>
      </c>
      <c r="N264" s="259">
        <f>SUM(N265:N265)</f>
        <v>0</v>
      </c>
      <c r="O264" s="345">
        <f>SUM(O265:O265)</f>
        <v>0</v>
      </c>
      <c r="P264" s="257">
        <f t="shared" si="113"/>
        <v>0</v>
      </c>
      <c r="Q264" s="259">
        <f>SUM(Q265:Q265)</f>
        <v>0</v>
      </c>
      <c r="R264" s="259">
        <f>SUM(R265:R265)</f>
        <v>0</v>
      </c>
      <c r="S264" s="259">
        <f>SUM(S265:S265)</f>
        <v>0</v>
      </c>
      <c r="T264" s="345">
        <f>SUM(T265:T265)</f>
        <v>4.59</v>
      </c>
      <c r="U264" s="257">
        <f t="shared" ref="U264:U266" si="121">V264+W264+X264</f>
        <v>823</v>
      </c>
      <c r="V264" s="257">
        <f>SUM(V265:V265)</f>
        <v>0</v>
      </c>
      <c r="W264" s="257">
        <f>SUM(W265:W265)</f>
        <v>0</v>
      </c>
      <c r="X264" s="257">
        <f>SUM(X265:X265)</f>
        <v>823</v>
      </c>
      <c r="Y264" s="345">
        <f>SUM(Y265:Y265)</f>
        <v>0</v>
      </c>
      <c r="Z264" s="257">
        <f t="shared" si="118"/>
        <v>0</v>
      </c>
      <c r="AA264" s="259">
        <f>SUM(AA265:AA265)</f>
        <v>0</v>
      </c>
      <c r="AB264" s="259">
        <f>SUM(AB265:AB265)</f>
        <v>0</v>
      </c>
      <c r="AC264" s="259">
        <f>SUM(AC265:AC265)</f>
        <v>0</v>
      </c>
      <c r="AD264" s="235"/>
    </row>
    <row r="265" spans="1:30" s="17" customFormat="1" ht="36" customHeight="1" outlineLevel="1" x14ac:dyDescent="0.2">
      <c r="A265" s="249" t="s">
        <v>1342</v>
      </c>
      <c r="B265" s="236" t="s">
        <v>544</v>
      </c>
      <c r="C265" s="342">
        <f t="shared" ref="C265" si="122">E265+J265+O265+Y265+T265</f>
        <v>4.59</v>
      </c>
      <c r="D265" s="262">
        <f t="shared" ref="D265:D267" si="123">F265+K265+P265+Z265+U265</f>
        <v>823</v>
      </c>
      <c r="E265" s="217">
        <v>0</v>
      </c>
      <c r="F265" s="267">
        <f t="shared" ref="F265:F267" si="124">G265+H265+I265</f>
        <v>0</v>
      </c>
      <c r="G265" s="262">
        <v>0</v>
      </c>
      <c r="H265" s="262">
        <v>0</v>
      </c>
      <c r="I265" s="262">
        <v>0</v>
      </c>
      <c r="J265" s="217">
        <v>0</v>
      </c>
      <c r="K265" s="267">
        <f t="shared" si="120"/>
        <v>0</v>
      </c>
      <c r="L265" s="262">
        <v>0</v>
      </c>
      <c r="M265" s="262">
        <v>0</v>
      </c>
      <c r="N265" s="262">
        <v>0</v>
      </c>
      <c r="O265" s="342">
        <v>0</v>
      </c>
      <c r="P265" s="262">
        <f t="shared" ref="P265" si="125">Q265+R265+S265</f>
        <v>0</v>
      </c>
      <c r="Q265" s="262">
        <v>0</v>
      </c>
      <c r="R265" s="262">
        <v>0</v>
      </c>
      <c r="S265" s="344">
        <v>0</v>
      </c>
      <c r="T265" s="342">
        <v>4.59</v>
      </c>
      <c r="U265" s="262">
        <f t="shared" si="121"/>
        <v>823</v>
      </c>
      <c r="V265" s="262">
        <v>0</v>
      </c>
      <c r="W265" s="262">
        <v>0</v>
      </c>
      <c r="X265" s="262">
        <f>1133-310</f>
        <v>823</v>
      </c>
      <c r="Y265" s="342">
        <v>0</v>
      </c>
      <c r="Z265" s="262">
        <f t="shared" si="118"/>
        <v>0</v>
      </c>
      <c r="AA265" s="262">
        <v>0</v>
      </c>
      <c r="AB265" s="262">
        <v>0</v>
      </c>
      <c r="AC265" s="344">
        <v>0</v>
      </c>
      <c r="AD265" s="235"/>
    </row>
    <row r="266" spans="1:30" s="17" customFormat="1" ht="28.15" customHeight="1" outlineLevel="1" x14ac:dyDescent="0.2">
      <c r="A266" s="260" t="s">
        <v>1343</v>
      </c>
      <c r="B266" s="261" t="s">
        <v>87</v>
      </c>
      <c r="C266" s="345">
        <f t="shared" ref="C266:J266" si="126">SUM(C267:C267)</f>
        <v>5.6</v>
      </c>
      <c r="D266" s="259">
        <f t="shared" si="126"/>
        <v>1856</v>
      </c>
      <c r="E266" s="345">
        <f t="shared" si="126"/>
        <v>0</v>
      </c>
      <c r="F266" s="259">
        <f t="shared" si="126"/>
        <v>0</v>
      </c>
      <c r="G266" s="259">
        <f t="shared" si="126"/>
        <v>0</v>
      </c>
      <c r="H266" s="259">
        <f t="shared" si="126"/>
        <v>0</v>
      </c>
      <c r="I266" s="259">
        <f t="shared" si="126"/>
        <v>0</v>
      </c>
      <c r="J266" s="345">
        <f t="shared" si="126"/>
        <v>2.8</v>
      </c>
      <c r="K266" s="259">
        <f>SUM(L266:N266)</f>
        <v>1380</v>
      </c>
      <c r="L266" s="259">
        <f>SUM(L267:L267)</f>
        <v>0</v>
      </c>
      <c r="M266" s="259">
        <f>SUM(M267:M267)</f>
        <v>0</v>
      </c>
      <c r="N266" s="259">
        <f>SUM(N267:N267)</f>
        <v>1380</v>
      </c>
      <c r="O266" s="345">
        <f>SUM(O267:O267)</f>
        <v>2.8</v>
      </c>
      <c r="P266" s="257">
        <f t="shared" si="113"/>
        <v>476</v>
      </c>
      <c r="Q266" s="259">
        <f>SUM(Q267:Q267)</f>
        <v>0</v>
      </c>
      <c r="R266" s="259">
        <f>SUM(R267:R267)</f>
        <v>0</v>
      </c>
      <c r="S266" s="259">
        <f>SUM(S267:S267)</f>
        <v>476</v>
      </c>
      <c r="T266" s="345">
        <f>SUM(T267:T267)</f>
        <v>0</v>
      </c>
      <c r="U266" s="257">
        <f t="shared" si="121"/>
        <v>0</v>
      </c>
      <c r="V266" s="257">
        <f>SUM(V267:V267)</f>
        <v>0</v>
      </c>
      <c r="W266" s="257">
        <f>SUM(W267:W267)</f>
        <v>0</v>
      </c>
      <c r="X266" s="257">
        <f>SUM(X267:X267)</f>
        <v>0</v>
      </c>
      <c r="Y266" s="345">
        <f>SUM(Y267:Y267)</f>
        <v>0</v>
      </c>
      <c r="Z266" s="257">
        <f t="shared" si="118"/>
        <v>0</v>
      </c>
      <c r="AA266" s="259">
        <f>SUM(V267:V267)</f>
        <v>0</v>
      </c>
      <c r="AB266" s="259">
        <f>SUM(W267:W267)</f>
        <v>0</v>
      </c>
      <c r="AC266" s="259">
        <f>SUM(AC267:AC267)</f>
        <v>0</v>
      </c>
      <c r="AD266" s="235"/>
    </row>
    <row r="267" spans="1:30" s="17" customFormat="1" ht="27.75" customHeight="1" outlineLevel="1" x14ac:dyDescent="0.2">
      <c r="A267" s="249" t="s">
        <v>1344</v>
      </c>
      <c r="B267" s="127" t="s">
        <v>542</v>
      </c>
      <c r="C267" s="342">
        <f>E267+J267+O267+T267+Y267</f>
        <v>5.6</v>
      </c>
      <c r="D267" s="262">
        <f t="shared" si="123"/>
        <v>1856</v>
      </c>
      <c r="E267" s="217">
        <v>0</v>
      </c>
      <c r="F267" s="267">
        <f t="shared" si="124"/>
        <v>0</v>
      </c>
      <c r="G267" s="262">
        <v>0</v>
      </c>
      <c r="H267" s="262">
        <v>0</v>
      </c>
      <c r="I267" s="262">
        <v>0</v>
      </c>
      <c r="J267" s="217">
        <v>2.8</v>
      </c>
      <c r="K267" s="267">
        <f t="shared" ref="K267" si="127">L267+M267+N267</f>
        <v>1380</v>
      </c>
      <c r="L267" s="262">
        <v>0</v>
      </c>
      <c r="M267" s="262">
        <v>0</v>
      </c>
      <c r="N267" s="262">
        <v>1380</v>
      </c>
      <c r="O267" s="342">
        <v>2.8</v>
      </c>
      <c r="P267" s="262">
        <f t="shared" ref="P267:P270" si="128">Q267+R267+S267</f>
        <v>476</v>
      </c>
      <c r="Q267" s="262">
        <v>0</v>
      </c>
      <c r="R267" s="262">
        <v>0</v>
      </c>
      <c r="S267" s="344">
        <f>724-248</f>
        <v>476</v>
      </c>
      <c r="T267" s="342">
        <v>0</v>
      </c>
      <c r="U267" s="262">
        <v>0</v>
      </c>
      <c r="V267" s="262">
        <v>0</v>
      </c>
      <c r="W267" s="262">
        <v>0</v>
      </c>
      <c r="X267" s="344">
        <v>0</v>
      </c>
      <c r="Y267" s="342">
        <v>0</v>
      </c>
      <c r="Z267" s="262">
        <f>AA267+AB267+AC267</f>
        <v>0</v>
      </c>
      <c r="AA267" s="262">
        <v>0</v>
      </c>
      <c r="AB267" s="262">
        <v>0</v>
      </c>
      <c r="AC267" s="344">
        <v>0</v>
      </c>
      <c r="AD267" s="235"/>
    </row>
    <row r="268" spans="1:30" s="17" customFormat="1" ht="34.15" customHeight="1" outlineLevel="1" x14ac:dyDescent="0.2">
      <c r="A268" s="260" t="s">
        <v>1345</v>
      </c>
      <c r="B268" s="261" t="s">
        <v>90</v>
      </c>
      <c r="C268" s="260">
        <f>E268+J268+O268+T268+Y268</f>
        <v>0</v>
      </c>
      <c r="D268" s="258">
        <f>F268+K268+P268+U268+Z268</f>
        <v>0</v>
      </c>
      <c r="E268" s="260">
        <v>0</v>
      </c>
      <c r="F268" s="258">
        <f>SUM(G268:I268)</f>
        <v>0</v>
      </c>
      <c r="G268" s="258">
        <v>0</v>
      </c>
      <c r="H268" s="258">
        <v>0</v>
      </c>
      <c r="I268" s="258">
        <v>0</v>
      </c>
      <c r="J268" s="260">
        <v>0</v>
      </c>
      <c r="K268" s="258">
        <f>SUM(L268:N268)</f>
        <v>0</v>
      </c>
      <c r="L268" s="258">
        <v>0</v>
      </c>
      <c r="M268" s="258">
        <v>0</v>
      </c>
      <c r="N268" s="258">
        <v>0</v>
      </c>
      <c r="O268" s="260">
        <v>0</v>
      </c>
      <c r="P268" s="257">
        <f t="shared" si="128"/>
        <v>0</v>
      </c>
      <c r="Q268" s="258">
        <v>0</v>
      </c>
      <c r="R268" s="258">
        <v>0</v>
      </c>
      <c r="S268" s="258">
        <v>0</v>
      </c>
      <c r="T268" s="345">
        <v>0</v>
      </c>
      <c r="U268" s="257">
        <v>0</v>
      </c>
      <c r="V268" s="257">
        <v>0</v>
      </c>
      <c r="W268" s="257">
        <v>0</v>
      </c>
      <c r="X268" s="257">
        <v>0</v>
      </c>
      <c r="Y268" s="260">
        <v>0</v>
      </c>
      <c r="Z268" s="257">
        <f>AA268+AB268+AC268</f>
        <v>0</v>
      </c>
      <c r="AA268" s="258">
        <v>0</v>
      </c>
      <c r="AB268" s="258">
        <v>0</v>
      </c>
      <c r="AC268" s="258">
        <v>0</v>
      </c>
      <c r="AD268" s="235"/>
    </row>
    <row r="269" spans="1:30" s="17" customFormat="1" ht="32.25" customHeight="1" x14ac:dyDescent="0.2">
      <c r="A269" s="233"/>
      <c r="B269" s="270" t="s">
        <v>84</v>
      </c>
      <c r="C269" s="345">
        <f t="shared" ref="C269:J269" si="129">SUM(C268,C266,C264,C263)</f>
        <v>10.19</v>
      </c>
      <c r="D269" s="271">
        <f t="shared" si="129"/>
        <v>2679</v>
      </c>
      <c r="E269" s="345">
        <f t="shared" si="129"/>
        <v>0</v>
      </c>
      <c r="F269" s="271">
        <f t="shared" si="129"/>
        <v>0</v>
      </c>
      <c r="G269" s="271">
        <f t="shared" si="129"/>
        <v>0</v>
      </c>
      <c r="H269" s="271">
        <f t="shared" si="129"/>
        <v>0</v>
      </c>
      <c r="I269" s="271">
        <f t="shared" si="129"/>
        <v>0</v>
      </c>
      <c r="J269" s="345">
        <f t="shared" si="129"/>
        <v>2.8</v>
      </c>
      <c r="K269" s="271">
        <f>SUM(L269:N269)</f>
        <v>1380</v>
      </c>
      <c r="L269" s="271">
        <f>SUM(L268,L266,L264,L263)</f>
        <v>0</v>
      </c>
      <c r="M269" s="271">
        <f>SUM(M268,M266,M264,M263)</f>
        <v>0</v>
      </c>
      <c r="N269" s="271">
        <f>SUM(N268,N266,N264,N263)</f>
        <v>1380</v>
      </c>
      <c r="O269" s="345">
        <f>SUM(O268,,O264,O263,O266)</f>
        <v>2.8</v>
      </c>
      <c r="P269" s="271">
        <f t="shared" si="128"/>
        <v>476</v>
      </c>
      <c r="Q269" s="271">
        <f>SUM(Q268,Q266,Q264,Q263)</f>
        <v>0</v>
      </c>
      <c r="R269" s="271">
        <f>SUM(R268,R266,R264,R263)</f>
        <v>0</v>
      </c>
      <c r="S269" s="271">
        <f>SUM(S268,S266,S264,S263)</f>
        <v>476</v>
      </c>
      <c r="T269" s="345">
        <f>SUM(T268,T266,T264,T263)</f>
        <v>4.59</v>
      </c>
      <c r="U269" s="257">
        <f>V269+W269+X269</f>
        <v>823</v>
      </c>
      <c r="V269" s="257">
        <v>0</v>
      </c>
      <c r="W269" s="257">
        <v>0</v>
      </c>
      <c r="X269" s="257">
        <f>SUM(X268,X266,X264,X263)</f>
        <v>823</v>
      </c>
      <c r="Y269" s="345">
        <f>SUM(Y268,Y266,Y264,Y263)</f>
        <v>0</v>
      </c>
      <c r="Z269" s="271">
        <f>AA269+AB269+AC269</f>
        <v>0</v>
      </c>
      <c r="AA269" s="271">
        <f>SUM(AA268,AA266,AA264,AA263)</f>
        <v>0</v>
      </c>
      <c r="AB269" s="271">
        <f>SUM(AB268,AB266,AB264,AB263)</f>
        <v>0</v>
      </c>
      <c r="AC269" s="271">
        <f>SUM(AC268,AC266,AC264,AC263)</f>
        <v>0</v>
      </c>
      <c r="AD269" s="235"/>
    </row>
    <row r="270" spans="1:30" s="17" customFormat="1" ht="127.5" hidden="1" customHeight="1" x14ac:dyDescent="0.2">
      <c r="A270" s="233"/>
      <c r="B270" s="127" t="s">
        <v>83</v>
      </c>
      <c r="C270" s="342">
        <f>E270+J270+O270+T270+Y270</f>
        <v>0</v>
      </c>
      <c r="D270" s="262">
        <f>F270+K270+P270+U270+Z270</f>
        <v>0</v>
      </c>
      <c r="E270" s="227"/>
      <c r="F270" s="267">
        <f>G270+H270+I270</f>
        <v>0</v>
      </c>
      <c r="G270" s="266"/>
      <c r="H270" s="266"/>
      <c r="I270" s="266"/>
      <c r="J270" s="227"/>
      <c r="K270" s="267">
        <f>SUM(L270:N270)</f>
        <v>0</v>
      </c>
      <c r="L270" s="266"/>
      <c r="M270" s="266"/>
      <c r="N270" s="266"/>
      <c r="O270" s="233">
        <v>0</v>
      </c>
      <c r="P270" s="267">
        <f t="shared" si="128"/>
        <v>0</v>
      </c>
      <c r="Q270" s="266"/>
      <c r="R270" s="266"/>
      <c r="S270" s="267">
        <v>0</v>
      </c>
      <c r="T270" s="233">
        <v>0</v>
      </c>
      <c r="U270" s="267">
        <f>V270+W270+X270</f>
        <v>0</v>
      </c>
      <c r="V270" s="266"/>
      <c r="W270" s="266"/>
      <c r="X270" s="267">
        <v>0</v>
      </c>
      <c r="Y270" s="233">
        <v>0</v>
      </c>
      <c r="Z270" s="267">
        <f t="shared" ref="Z270" si="130">AA270+AB270+AC270</f>
        <v>0</v>
      </c>
      <c r="AA270" s="262">
        <v>0</v>
      </c>
      <c r="AB270" s="262">
        <v>0</v>
      </c>
      <c r="AC270" s="267">
        <v>0</v>
      </c>
      <c r="AD270" s="235"/>
    </row>
    <row r="271" spans="1:30" s="17" customFormat="1" ht="66.75" customHeight="1" x14ac:dyDescent="0.2">
      <c r="A271" s="272"/>
      <c r="B271" s="247" t="s">
        <v>505</v>
      </c>
      <c r="C271" s="227">
        <f t="shared" ref="C271:U271" si="131">C261+C269</f>
        <v>33.549999999999997</v>
      </c>
      <c r="D271" s="228">
        <f t="shared" si="131"/>
        <v>7351</v>
      </c>
      <c r="E271" s="227">
        <f t="shared" si="131"/>
        <v>13.8</v>
      </c>
      <c r="F271" s="228">
        <f t="shared" si="131"/>
        <v>2746</v>
      </c>
      <c r="G271" s="228">
        <f t="shared" si="131"/>
        <v>0</v>
      </c>
      <c r="H271" s="228">
        <f t="shared" si="131"/>
        <v>0</v>
      </c>
      <c r="I271" s="228">
        <f t="shared" si="131"/>
        <v>2746</v>
      </c>
      <c r="J271" s="227">
        <f t="shared" si="131"/>
        <v>2.8</v>
      </c>
      <c r="K271" s="228">
        <f t="shared" si="131"/>
        <v>1380</v>
      </c>
      <c r="L271" s="228">
        <f t="shared" si="131"/>
        <v>0</v>
      </c>
      <c r="M271" s="228">
        <f t="shared" si="131"/>
        <v>0</v>
      </c>
      <c r="N271" s="228">
        <f t="shared" si="131"/>
        <v>1380</v>
      </c>
      <c r="O271" s="227">
        <f t="shared" si="131"/>
        <v>9.7800000000000011</v>
      </c>
      <c r="P271" s="228">
        <f t="shared" si="131"/>
        <v>1686</v>
      </c>
      <c r="Q271" s="228">
        <f t="shared" si="131"/>
        <v>0</v>
      </c>
      <c r="R271" s="228">
        <f t="shared" si="131"/>
        <v>0</v>
      </c>
      <c r="S271" s="228">
        <f t="shared" si="131"/>
        <v>1686</v>
      </c>
      <c r="T271" s="227">
        <f t="shared" si="131"/>
        <v>8.59</v>
      </c>
      <c r="U271" s="228">
        <f t="shared" si="131"/>
        <v>1539</v>
      </c>
      <c r="V271" s="228">
        <f>V261+AA269</f>
        <v>0</v>
      </c>
      <c r="W271" s="228">
        <f>W261+AB269</f>
        <v>0</v>
      </c>
      <c r="X271" s="228">
        <f t="shared" ref="X271:AC271" si="132">X261+X269</f>
        <v>1539</v>
      </c>
      <c r="Y271" s="227">
        <f t="shared" si="132"/>
        <v>0</v>
      </c>
      <c r="Z271" s="228">
        <f t="shared" si="132"/>
        <v>0</v>
      </c>
      <c r="AA271" s="228">
        <f t="shared" si="132"/>
        <v>0</v>
      </c>
      <c r="AB271" s="228">
        <f t="shared" si="132"/>
        <v>0</v>
      </c>
      <c r="AC271" s="228">
        <f t="shared" si="132"/>
        <v>0</v>
      </c>
      <c r="AD271" s="235"/>
    </row>
    <row r="272" spans="1:30" s="17" customFormat="1" ht="36.75" customHeight="1" x14ac:dyDescent="0.2">
      <c r="A272" s="248" t="s">
        <v>455</v>
      </c>
      <c r="B272" s="435" t="s">
        <v>1112</v>
      </c>
      <c r="C272" s="436"/>
      <c r="D272" s="436"/>
      <c r="E272" s="436"/>
      <c r="F272" s="436"/>
      <c r="G272" s="436"/>
      <c r="H272" s="436"/>
      <c r="I272" s="436"/>
      <c r="J272" s="436"/>
      <c r="K272" s="436"/>
      <c r="L272" s="436"/>
      <c r="M272" s="436"/>
      <c r="N272" s="436"/>
      <c r="O272" s="436"/>
      <c r="P272" s="436"/>
      <c r="Q272" s="436"/>
      <c r="R272" s="436"/>
      <c r="S272" s="436"/>
      <c r="T272" s="436"/>
      <c r="U272" s="436"/>
      <c r="V272" s="436"/>
      <c r="W272" s="436"/>
      <c r="X272" s="436"/>
      <c r="Y272" s="436"/>
      <c r="Z272" s="436"/>
      <c r="AA272" s="436"/>
      <c r="AB272" s="436"/>
      <c r="AC272" s="437"/>
      <c r="AD272" s="235"/>
    </row>
    <row r="273" spans="1:31" s="17" customFormat="1" ht="39.75" customHeight="1" x14ac:dyDescent="0.2">
      <c r="A273" s="233" t="s">
        <v>506</v>
      </c>
      <c r="B273" s="273" t="s">
        <v>316</v>
      </c>
      <c r="C273" s="217">
        <f>E273+J273+O273+T273+Y273</f>
        <v>0</v>
      </c>
      <c r="D273" s="196">
        <f>F273+K273+P273+U273+Z273</f>
        <v>646482</v>
      </c>
      <c r="E273" s="253">
        <v>0</v>
      </c>
      <c r="F273" s="218">
        <f>G273+H273+I273</f>
        <v>155462</v>
      </c>
      <c r="G273" s="218">
        <v>0</v>
      </c>
      <c r="H273" s="218">
        <v>148000</v>
      </c>
      <c r="I273" s="218">
        <v>7462</v>
      </c>
      <c r="J273" s="217">
        <v>0</v>
      </c>
      <c r="K273" s="218">
        <f>SUM(L273:N273)</f>
        <v>212314</v>
      </c>
      <c r="L273" s="218">
        <v>0</v>
      </c>
      <c r="M273" s="218">
        <v>200000</v>
      </c>
      <c r="N273" s="218">
        <v>12314</v>
      </c>
      <c r="O273" s="217">
        <v>0</v>
      </c>
      <c r="P273" s="218">
        <f>Q273+R273+S273</f>
        <v>212314</v>
      </c>
      <c r="Q273" s="262">
        <v>0</v>
      </c>
      <c r="R273" s="218">
        <v>200000</v>
      </c>
      <c r="S273" s="218">
        <v>12314</v>
      </c>
      <c r="T273" s="217">
        <v>0</v>
      </c>
      <c r="U273" s="274">
        <f>V273+W273+X273</f>
        <v>66392</v>
      </c>
      <c r="V273" s="274">
        <v>0</v>
      </c>
      <c r="W273" s="274">
        <f>200000+64400-200000</f>
        <v>64400</v>
      </c>
      <c r="X273" s="275">
        <f>6186+1992-6186</f>
        <v>1992</v>
      </c>
      <c r="Y273" s="217">
        <v>0</v>
      </c>
      <c r="Z273" s="262">
        <f>AA273+AB273+AC273</f>
        <v>0</v>
      </c>
      <c r="AA273" s="262">
        <v>0</v>
      </c>
      <c r="AB273" s="262">
        <v>0</v>
      </c>
      <c r="AC273" s="262">
        <v>0</v>
      </c>
      <c r="AD273" s="235"/>
    </row>
    <row r="274" spans="1:31" s="17" customFormat="1" ht="88.5" customHeight="1" x14ac:dyDescent="0.2">
      <c r="A274" s="272"/>
      <c r="B274" s="247" t="s">
        <v>507</v>
      </c>
      <c r="C274" s="227">
        <f t="shared" ref="C274:AC274" si="133">C273</f>
        <v>0</v>
      </c>
      <c r="D274" s="205">
        <f t="shared" si="133"/>
        <v>646482</v>
      </c>
      <c r="E274" s="227">
        <f t="shared" si="133"/>
        <v>0</v>
      </c>
      <c r="F274" s="205">
        <f t="shared" si="133"/>
        <v>155462</v>
      </c>
      <c r="G274" s="205">
        <f t="shared" si="133"/>
        <v>0</v>
      </c>
      <c r="H274" s="205">
        <f t="shared" si="133"/>
        <v>148000</v>
      </c>
      <c r="I274" s="205">
        <f t="shared" si="133"/>
        <v>7462</v>
      </c>
      <c r="J274" s="227">
        <f t="shared" si="133"/>
        <v>0</v>
      </c>
      <c r="K274" s="228">
        <f t="shared" si="133"/>
        <v>212314</v>
      </c>
      <c r="L274" s="228">
        <f t="shared" si="133"/>
        <v>0</v>
      </c>
      <c r="M274" s="228">
        <f t="shared" si="133"/>
        <v>200000</v>
      </c>
      <c r="N274" s="228">
        <f t="shared" si="133"/>
        <v>12314</v>
      </c>
      <c r="O274" s="227">
        <f t="shared" si="133"/>
        <v>0</v>
      </c>
      <c r="P274" s="205">
        <f t="shared" si="133"/>
        <v>212314</v>
      </c>
      <c r="Q274" s="205">
        <f t="shared" si="133"/>
        <v>0</v>
      </c>
      <c r="R274" s="205">
        <f t="shared" si="133"/>
        <v>200000</v>
      </c>
      <c r="S274" s="205">
        <f t="shared" si="133"/>
        <v>12314</v>
      </c>
      <c r="T274" s="227">
        <f t="shared" si="133"/>
        <v>0</v>
      </c>
      <c r="U274" s="205">
        <f t="shared" si="133"/>
        <v>66392</v>
      </c>
      <c r="V274" s="205">
        <f t="shared" si="133"/>
        <v>0</v>
      </c>
      <c r="W274" s="205">
        <f t="shared" si="133"/>
        <v>64400</v>
      </c>
      <c r="X274" s="205">
        <f t="shared" si="133"/>
        <v>1992</v>
      </c>
      <c r="Y274" s="227">
        <f t="shared" si="133"/>
        <v>0</v>
      </c>
      <c r="Z274" s="205">
        <f t="shared" si="133"/>
        <v>0</v>
      </c>
      <c r="AA274" s="205">
        <f t="shared" si="133"/>
        <v>0</v>
      </c>
      <c r="AB274" s="205">
        <f t="shared" si="133"/>
        <v>0</v>
      </c>
      <c r="AC274" s="205">
        <f t="shared" si="133"/>
        <v>0</v>
      </c>
      <c r="AD274" s="235"/>
    </row>
    <row r="275" spans="1:31" s="17" customFormat="1" ht="42.75" customHeight="1" x14ac:dyDescent="0.2">
      <c r="A275" s="450" t="s">
        <v>382</v>
      </c>
      <c r="B275" s="450"/>
      <c r="C275" s="450"/>
      <c r="D275" s="192">
        <f>D277-D276</f>
        <v>7101550.5</v>
      </c>
      <c r="E275" s="224">
        <f>E277-E276</f>
        <v>405.98999999999995</v>
      </c>
      <c r="F275" s="192">
        <f>F277-F276</f>
        <v>1584835</v>
      </c>
      <c r="G275" s="192">
        <f t="shared" ref="G275:AB275" si="134">G277-G276</f>
        <v>126793</v>
      </c>
      <c r="H275" s="192">
        <f t="shared" si="134"/>
        <v>1349108</v>
      </c>
      <c r="I275" s="192">
        <f t="shared" si="134"/>
        <v>108934</v>
      </c>
      <c r="J275" s="224">
        <f t="shared" si="134"/>
        <v>492.97</v>
      </c>
      <c r="K275" s="192">
        <f>K277-K276</f>
        <v>1550012</v>
      </c>
      <c r="L275" s="192">
        <f t="shared" si="134"/>
        <v>0</v>
      </c>
      <c r="M275" s="192">
        <f t="shared" si="134"/>
        <v>1290861</v>
      </c>
      <c r="N275" s="192">
        <f t="shared" si="134"/>
        <v>259151</v>
      </c>
      <c r="O275" s="224">
        <f t="shared" si="134"/>
        <v>432.65300000000002</v>
      </c>
      <c r="P275" s="192">
        <f>P277-P276</f>
        <v>2080681</v>
      </c>
      <c r="Q275" s="192">
        <f t="shared" si="134"/>
        <v>0</v>
      </c>
      <c r="R275" s="192">
        <f t="shared" si="134"/>
        <v>1779113</v>
      </c>
      <c r="S275" s="192">
        <f>S277-S276</f>
        <v>301568</v>
      </c>
      <c r="T275" s="224">
        <f t="shared" si="134"/>
        <v>223.51800000000003</v>
      </c>
      <c r="U275" s="192">
        <f>U277-U276</f>
        <v>1797668.5</v>
      </c>
      <c r="V275" s="192">
        <f t="shared" si="134"/>
        <v>0</v>
      </c>
      <c r="W275" s="192">
        <f t="shared" si="134"/>
        <v>1487792</v>
      </c>
      <c r="X275" s="192">
        <f t="shared" si="134"/>
        <v>309876.5</v>
      </c>
      <c r="Y275" s="224">
        <f t="shared" si="134"/>
        <v>4.0999999999999996</v>
      </c>
      <c r="Z275" s="192">
        <f t="shared" si="134"/>
        <v>88354</v>
      </c>
      <c r="AA275" s="192">
        <f t="shared" si="134"/>
        <v>0</v>
      </c>
      <c r="AB275" s="192">
        <f t="shared" si="134"/>
        <v>0</v>
      </c>
      <c r="AC275" s="192">
        <f>AC277-AC276</f>
        <v>88354</v>
      </c>
      <c r="AD275" s="235"/>
    </row>
    <row r="276" spans="1:31" s="14" customFormat="1" ht="26.25" customHeight="1" x14ac:dyDescent="0.2">
      <c r="A276" s="451" t="s">
        <v>386</v>
      </c>
      <c r="B276" s="451"/>
      <c r="C276" s="451"/>
      <c r="D276" s="228">
        <f>F276+K276+P276+U276+Z276</f>
        <v>2572</v>
      </c>
      <c r="E276" s="227">
        <v>0</v>
      </c>
      <c r="F276" s="228">
        <f>G276+H276+I276</f>
        <v>988</v>
      </c>
      <c r="G276" s="228">
        <v>0</v>
      </c>
      <c r="H276" s="228">
        <v>0</v>
      </c>
      <c r="I276" s="228">
        <v>988</v>
      </c>
      <c r="J276" s="227">
        <v>0</v>
      </c>
      <c r="K276" s="228">
        <f>L276+M276+N276</f>
        <v>1584</v>
      </c>
      <c r="L276" s="228">
        <v>0</v>
      </c>
      <c r="M276" s="228">
        <v>0</v>
      </c>
      <c r="N276" s="228">
        <v>1584</v>
      </c>
      <c r="O276" s="227">
        <v>0</v>
      </c>
      <c r="P276" s="228">
        <f>Q276+R276+S276</f>
        <v>0</v>
      </c>
      <c r="Q276" s="228">
        <v>0</v>
      </c>
      <c r="R276" s="228">
        <v>0</v>
      </c>
      <c r="S276" s="228">
        <v>0</v>
      </c>
      <c r="T276" s="227">
        <v>0</v>
      </c>
      <c r="U276" s="228">
        <f>V276+W276+X276</f>
        <v>0</v>
      </c>
      <c r="V276" s="228">
        <v>0</v>
      </c>
      <c r="W276" s="228">
        <v>0</v>
      </c>
      <c r="X276" s="228">
        <f>X96</f>
        <v>0</v>
      </c>
      <c r="Y276" s="227">
        <v>0</v>
      </c>
      <c r="Z276" s="228">
        <f>AA276+AB276+AC276</f>
        <v>0</v>
      </c>
      <c r="AA276" s="228">
        <v>0</v>
      </c>
      <c r="AB276" s="228">
        <v>0</v>
      </c>
      <c r="AC276" s="228">
        <v>0</v>
      </c>
      <c r="AD276" s="221"/>
      <c r="AE276" s="15"/>
    </row>
    <row r="277" spans="1:31" ht="47.25" customHeight="1" x14ac:dyDescent="0.2">
      <c r="A277" s="452" t="s">
        <v>381</v>
      </c>
      <c r="B277" s="452"/>
      <c r="C277" s="452"/>
      <c r="D277" s="192">
        <f t="shared" ref="D277:AB277" si="135">D33+D43+D75+D102+D244+D248+D271+D274+D276</f>
        <v>7104122.5</v>
      </c>
      <c r="E277" s="224">
        <f t="shared" si="135"/>
        <v>405.98999999999995</v>
      </c>
      <c r="F277" s="192">
        <f t="shared" si="135"/>
        <v>1585823</v>
      </c>
      <c r="G277" s="192">
        <f t="shared" si="135"/>
        <v>126793</v>
      </c>
      <c r="H277" s="192">
        <f t="shared" si="135"/>
        <v>1349108</v>
      </c>
      <c r="I277" s="192">
        <f t="shared" si="135"/>
        <v>109922</v>
      </c>
      <c r="J277" s="224">
        <f t="shared" si="135"/>
        <v>492.97</v>
      </c>
      <c r="K277" s="192">
        <f t="shared" si="135"/>
        <v>1551596</v>
      </c>
      <c r="L277" s="192">
        <f t="shared" si="135"/>
        <v>0</v>
      </c>
      <c r="M277" s="192">
        <f t="shared" si="135"/>
        <v>1290861</v>
      </c>
      <c r="N277" s="192">
        <f t="shared" si="135"/>
        <v>260735</v>
      </c>
      <c r="O277" s="224">
        <f t="shared" si="135"/>
        <v>432.65300000000002</v>
      </c>
      <c r="P277" s="192">
        <f t="shared" si="135"/>
        <v>2080681</v>
      </c>
      <c r="Q277" s="192">
        <f t="shared" si="135"/>
        <v>0</v>
      </c>
      <c r="R277" s="192">
        <f t="shared" si="135"/>
        <v>1779113</v>
      </c>
      <c r="S277" s="192">
        <f t="shared" si="135"/>
        <v>301568</v>
      </c>
      <c r="T277" s="224">
        <f t="shared" si="135"/>
        <v>223.51800000000003</v>
      </c>
      <c r="U277" s="192">
        <f>U33+U43+U75+U102+U244+U248+U271+U274+U276</f>
        <v>1797668.5</v>
      </c>
      <c r="V277" s="192">
        <f t="shared" si="135"/>
        <v>0</v>
      </c>
      <c r="W277" s="192">
        <f t="shared" si="135"/>
        <v>1487792</v>
      </c>
      <c r="X277" s="192">
        <f>X33+X43+X75+X102+X244+X248+X271+X274+X276</f>
        <v>309876.5</v>
      </c>
      <c r="Y277" s="224">
        <f t="shared" si="135"/>
        <v>4.0999999999999996</v>
      </c>
      <c r="Z277" s="192">
        <f t="shared" si="135"/>
        <v>88354</v>
      </c>
      <c r="AA277" s="192">
        <f t="shared" si="135"/>
        <v>0</v>
      </c>
      <c r="AB277" s="192">
        <f t="shared" si="135"/>
        <v>0</v>
      </c>
      <c r="AC277" s="192">
        <f>AC33+AC43+AC75+AC102+AC244+AC248+AC271+AC274+AC276</f>
        <v>88354</v>
      </c>
      <c r="AD277" s="46"/>
    </row>
    <row r="278" spans="1:31" ht="24.75" customHeight="1" x14ac:dyDescent="0.2">
      <c r="A278" s="42"/>
      <c r="B278" s="42"/>
      <c r="C278" s="42"/>
      <c r="D278" s="43"/>
      <c r="E278" s="44"/>
      <c r="F278" s="43"/>
      <c r="G278" s="43"/>
      <c r="H278" s="43"/>
      <c r="I278" s="43"/>
      <c r="J278" s="44"/>
      <c r="K278" s="43"/>
      <c r="L278" s="43"/>
      <c r="M278" s="43"/>
      <c r="N278" s="43"/>
      <c r="O278" s="44"/>
      <c r="P278" s="43"/>
      <c r="Q278" s="43"/>
      <c r="R278" s="43"/>
      <c r="S278" s="43"/>
      <c r="T278" s="44"/>
      <c r="U278" s="43"/>
      <c r="V278" s="43"/>
      <c r="W278" s="43"/>
      <c r="X278" s="43"/>
      <c r="Y278" s="44"/>
      <c r="Z278" s="43"/>
      <c r="AA278" s="43"/>
      <c r="AB278" s="43"/>
      <c r="AC278" s="43"/>
    </row>
    <row r="279" spans="1:31" ht="24.75" customHeight="1" x14ac:dyDescent="0.2">
      <c r="A279" s="42"/>
      <c r="B279" s="45" t="s">
        <v>641</v>
      </c>
      <c r="C279" s="42"/>
      <c r="D279" s="43"/>
      <c r="E279" s="44"/>
      <c r="F279" s="43"/>
      <c r="G279" s="43"/>
      <c r="H279" s="43"/>
      <c r="I279" s="43"/>
      <c r="J279" s="44"/>
      <c r="K279" s="43"/>
      <c r="L279" s="43"/>
      <c r="M279" s="43"/>
      <c r="N279" s="43"/>
      <c r="O279" s="44"/>
      <c r="P279" s="43"/>
      <c r="Q279" s="43"/>
      <c r="R279" s="43"/>
      <c r="S279" s="43"/>
      <c r="T279" s="44"/>
      <c r="U279" s="43"/>
      <c r="V279" s="43"/>
      <c r="W279" s="43"/>
      <c r="X279" s="43"/>
      <c r="Y279" s="44"/>
      <c r="Z279" s="43"/>
      <c r="AA279" s="43"/>
      <c r="AB279" s="43"/>
      <c r="AC279" s="43"/>
    </row>
    <row r="280" spans="1:31" ht="18.75" customHeight="1" x14ac:dyDescent="0.2">
      <c r="B280" t="s">
        <v>640</v>
      </c>
      <c r="C280" s="434" t="s">
        <v>1417</v>
      </c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434"/>
      <c r="Y280" s="434"/>
      <c r="Z280" s="434"/>
      <c r="AA280" s="434"/>
      <c r="AB280" s="434"/>
      <c r="AC280" s="434"/>
      <c r="AD280" s="434"/>
    </row>
    <row r="281" spans="1:31" ht="37.5" customHeight="1" x14ac:dyDescent="0.2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31" x14ac:dyDescent="0.2">
      <c r="M282" s="22"/>
      <c r="N282" s="22"/>
      <c r="O282" s="23"/>
      <c r="P282" s="24"/>
      <c r="Q282" s="24"/>
    </row>
  </sheetData>
  <mergeCells count="29"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C280:AD280"/>
    <mergeCell ref="A8:AC8"/>
    <mergeCell ref="B9:AC9"/>
    <mergeCell ref="B272:AC272"/>
    <mergeCell ref="B44:AC44"/>
    <mergeCell ref="B77:AC77"/>
    <mergeCell ref="B103:AC103"/>
    <mergeCell ref="B245:AC245"/>
    <mergeCell ref="B249:AC249"/>
    <mergeCell ref="A98:AC98"/>
    <mergeCell ref="A195:AC195"/>
    <mergeCell ref="B10:AC10"/>
    <mergeCell ref="B34:AC34"/>
    <mergeCell ref="A275:C275"/>
    <mergeCell ref="A276:C276"/>
    <mergeCell ref="A277:C277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rstPageNumber="19" fitToHeight="0" orientation="landscape" useFirstPageNumber="1" r:id="rId1"/>
  <headerFooter alignWithMargins="0">
    <oddHeader>&amp;C&amp;P</oddHeader>
  </headerFooter>
  <rowBreaks count="18" manualBreakCount="18">
    <brk id="16" max="28" man="1"/>
    <brk id="30" max="28" man="1"/>
    <brk id="43" max="28" man="1"/>
    <brk id="52" max="28" man="1"/>
    <brk id="60" max="28" man="1"/>
    <brk id="71" max="28" man="1"/>
    <brk id="85" max="28" man="1"/>
    <brk id="94" max="28" man="1"/>
    <brk id="112" max="28" man="1"/>
    <brk id="126" max="28" man="1"/>
    <brk id="142" max="28" man="1"/>
    <brk id="156" max="28" man="1"/>
    <brk id="169" max="28" man="1"/>
    <brk id="183" max="28" man="1"/>
    <brk id="200" max="28" man="1"/>
    <brk id="227" max="28" man="1"/>
    <brk id="249" max="28" man="1"/>
    <brk id="274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"/>
  <sheetViews>
    <sheetView view="pageBreakPreview" zoomScale="50" zoomScaleNormal="100" zoomScaleSheetLayoutView="50" workbookViewId="0">
      <selection activeCell="U93" sqref="U93"/>
    </sheetView>
  </sheetViews>
  <sheetFormatPr defaultColWidth="9.140625" defaultRowHeight="42" customHeight="1" outlineLevelRow="1" x14ac:dyDescent="0.2"/>
  <cols>
    <col min="1" max="1" width="8.140625" customWidth="1"/>
    <col min="2" max="2" width="23.85546875" style="32" customWidth="1"/>
    <col min="3" max="3" width="19.7109375" style="9" customWidth="1"/>
    <col min="4" max="4" width="10.28515625" customWidth="1"/>
    <col min="5" max="5" width="14.140625" style="3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3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3" customWidth="1"/>
    <col min="16" max="16" width="11.85546875" customWidth="1"/>
    <col min="17" max="17" width="15.140625" customWidth="1"/>
    <col min="18" max="18" width="8.5703125" customWidth="1"/>
    <col min="19" max="19" width="8.42578125" customWidth="1"/>
    <col min="20" max="20" width="14.42578125" style="3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3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10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</cols>
  <sheetData>
    <row r="1" spans="1:34" s="5" customFormat="1" ht="82.9" customHeight="1" x14ac:dyDescent="0.25">
      <c r="A1" s="132"/>
      <c r="B1" s="276"/>
      <c r="C1" s="277"/>
      <c r="D1" s="278"/>
      <c r="E1" s="133"/>
      <c r="F1" s="52"/>
      <c r="G1" s="52"/>
      <c r="H1" s="52"/>
      <c r="I1" s="52"/>
      <c r="J1" s="134"/>
      <c r="K1" s="53"/>
      <c r="L1" s="53"/>
      <c r="M1" s="53"/>
      <c r="N1" s="53"/>
      <c r="O1" s="46"/>
      <c r="P1" s="46"/>
      <c r="Q1" s="135"/>
      <c r="R1" s="46"/>
      <c r="S1" s="46"/>
      <c r="T1" s="46"/>
      <c r="U1" s="46"/>
      <c r="V1" s="46"/>
      <c r="W1" s="46"/>
      <c r="X1" s="46"/>
      <c r="Y1" s="51"/>
      <c r="Z1" s="46"/>
      <c r="AA1" s="428" t="s">
        <v>1432</v>
      </c>
      <c r="AB1" s="428"/>
      <c r="AC1" s="428"/>
      <c r="AD1" s="428"/>
      <c r="AE1" s="52"/>
      <c r="AF1" s="52"/>
      <c r="AG1" s="52"/>
      <c r="AH1" s="52"/>
    </row>
    <row r="2" spans="1:34" s="5" customFormat="1" ht="138" customHeight="1" x14ac:dyDescent="0.25">
      <c r="A2" s="132"/>
      <c r="B2" s="276"/>
      <c r="C2" s="277"/>
      <c r="D2" s="278"/>
      <c r="E2" s="133"/>
      <c r="F2" s="52"/>
      <c r="G2" s="52"/>
      <c r="H2" s="52"/>
      <c r="I2" s="52"/>
      <c r="J2" s="134"/>
      <c r="K2" s="53"/>
      <c r="L2" s="53"/>
      <c r="M2" s="53"/>
      <c r="N2" s="53"/>
      <c r="O2" s="46"/>
      <c r="P2" s="46"/>
      <c r="Q2" s="135"/>
      <c r="R2" s="46"/>
      <c r="S2" s="46"/>
      <c r="T2" s="46"/>
      <c r="U2" s="46"/>
      <c r="V2" s="46"/>
      <c r="W2" s="46"/>
      <c r="X2" s="46"/>
      <c r="Y2" s="51"/>
      <c r="Z2" s="46"/>
      <c r="AA2" s="427" t="s">
        <v>440</v>
      </c>
      <c r="AB2" s="427"/>
      <c r="AC2" s="427"/>
      <c r="AD2" s="427"/>
      <c r="AE2" s="52"/>
      <c r="AF2" s="52"/>
      <c r="AG2" s="52"/>
      <c r="AH2" s="52"/>
    </row>
    <row r="3" spans="1:34" ht="47.25" customHeight="1" x14ac:dyDescent="0.4">
      <c r="A3" s="65"/>
      <c r="B3" s="484" t="s">
        <v>1352</v>
      </c>
      <c r="C3" s="484"/>
      <c r="D3" s="484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6"/>
      <c r="AF3" s="46"/>
      <c r="AG3" s="46"/>
      <c r="AH3" s="46"/>
    </row>
    <row r="4" spans="1:34" ht="42" customHeight="1" x14ac:dyDescent="0.2">
      <c r="A4" s="420" t="s">
        <v>74</v>
      </c>
      <c r="B4" s="377" t="s">
        <v>73</v>
      </c>
      <c r="C4" s="377" t="s">
        <v>72</v>
      </c>
      <c r="D4" s="377" t="s">
        <v>80</v>
      </c>
      <c r="E4" s="481" t="s">
        <v>71</v>
      </c>
      <c r="F4" s="481"/>
      <c r="G4" s="481"/>
      <c r="H4" s="481"/>
      <c r="I4" s="481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31" t="s">
        <v>70</v>
      </c>
      <c r="AE4" s="46"/>
      <c r="AF4" s="46"/>
      <c r="AG4" s="46"/>
      <c r="AH4" s="46"/>
    </row>
    <row r="5" spans="1:34" ht="42" customHeight="1" x14ac:dyDescent="0.2">
      <c r="A5" s="420"/>
      <c r="B5" s="471"/>
      <c r="C5" s="377"/>
      <c r="D5" s="480"/>
      <c r="E5" s="486" t="s">
        <v>69</v>
      </c>
      <c r="F5" s="486"/>
      <c r="G5" s="486"/>
      <c r="H5" s="486"/>
      <c r="I5" s="486"/>
      <c r="J5" s="486" t="s">
        <v>68</v>
      </c>
      <c r="K5" s="486"/>
      <c r="L5" s="486"/>
      <c r="M5" s="486"/>
      <c r="N5" s="486"/>
      <c r="O5" s="486" t="s">
        <v>67</v>
      </c>
      <c r="P5" s="486"/>
      <c r="Q5" s="486"/>
      <c r="R5" s="486"/>
      <c r="S5" s="486"/>
      <c r="T5" s="486" t="s">
        <v>66</v>
      </c>
      <c r="U5" s="486"/>
      <c r="V5" s="486"/>
      <c r="W5" s="486"/>
      <c r="X5" s="486"/>
      <c r="Y5" s="486" t="s">
        <v>65</v>
      </c>
      <c r="Z5" s="486"/>
      <c r="AA5" s="486"/>
      <c r="AB5" s="486"/>
      <c r="AC5" s="486"/>
      <c r="AD5" s="431"/>
      <c r="AE5" s="46"/>
      <c r="AF5" s="46"/>
      <c r="AG5" s="46"/>
      <c r="AH5" s="46"/>
    </row>
    <row r="6" spans="1:34" ht="57.6" customHeight="1" x14ac:dyDescent="0.2">
      <c r="A6" s="420"/>
      <c r="B6" s="471"/>
      <c r="C6" s="377"/>
      <c r="D6" s="480"/>
      <c r="E6" s="66" t="s">
        <v>64</v>
      </c>
      <c r="F6" s="348" t="s">
        <v>93</v>
      </c>
      <c r="G6" s="348" t="s">
        <v>94</v>
      </c>
      <c r="H6" s="348" t="s">
        <v>61</v>
      </c>
      <c r="I6" s="348" t="s">
        <v>75</v>
      </c>
      <c r="J6" s="66" t="s">
        <v>64</v>
      </c>
      <c r="K6" s="348" t="s">
        <v>93</v>
      </c>
      <c r="L6" s="348" t="s">
        <v>94</v>
      </c>
      <c r="M6" s="348" t="s">
        <v>76</v>
      </c>
      <c r="N6" s="348" t="s">
        <v>75</v>
      </c>
      <c r="O6" s="66" t="s">
        <v>64</v>
      </c>
      <c r="P6" s="348" t="s">
        <v>93</v>
      </c>
      <c r="Q6" s="348" t="s">
        <v>94</v>
      </c>
      <c r="R6" s="348" t="s">
        <v>76</v>
      </c>
      <c r="S6" s="348" t="s">
        <v>75</v>
      </c>
      <c r="T6" s="66" t="s">
        <v>64</v>
      </c>
      <c r="U6" s="348" t="s">
        <v>93</v>
      </c>
      <c r="V6" s="348" t="s">
        <v>94</v>
      </c>
      <c r="W6" s="348" t="s">
        <v>76</v>
      </c>
      <c r="X6" s="348" t="s">
        <v>75</v>
      </c>
      <c r="Y6" s="66" t="s">
        <v>64</v>
      </c>
      <c r="Z6" s="348" t="s">
        <v>93</v>
      </c>
      <c r="AA6" s="348" t="s">
        <v>94</v>
      </c>
      <c r="AB6" s="348" t="s">
        <v>76</v>
      </c>
      <c r="AC6" s="348" t="s">
        <v>75</v>
      </c>
      <c r="AD6" s="431"/>
      <c r="AE6" s="348" t="s">
        <v>63</v>
      </c>
      <c r="AF6" s="348" t="s">
        <v>62</v>
      </c>
      <c r="AG6" s="348" t="s">
        <v>76</v>
      </c>
      <c r="AH6" s="348" t="s">
        <v>75</v>
      </c>
    </row>
    <row r="7" spans="1:34" s="27" customFormat="1" ht="25.15" customHeight="1" x14ac:dyDescent="0.25">
      <c r="A7" s="137">
        <v>1</v>
      </c>
      <c r="B7" s="137">
        <v>2</v>
      </c>
      <c r="C7" s="137">
        <v>3</v>
      </c>
      <c r="D7" s="137">
        <v>4</v>
      </c>
      <c r="E7" s="137">
        <v>5</v>
      </c>
      <c r="F7" s="137">
        <v>6</v>
      </c>
      <c r="G7" s="137">
        <v>7</v>
      </c>
      <c r="H7" s="137">
        <v>8</v>
      </c>
      <c r="I7" s="137">
        <v>9</v>
      </c>
      <c r="J7" s="137">
        <v>10</v>
      </c>
      <c r="K7" s="137">
        <v>11</v>
      </c>
      <c r="L7" s="137">
        <v>12</v>
      </c>
      <c r="M7" s="137">
        <v>13</v>
      </c>
      <c r="N7" s="137">
        <v>14</v>
      </c>
      <c r="O7" s="137">
        <v>15</v>
      </c>
      <c r="P7" s="137">
        <v>16</v>
      </c>
      <c r="Q7" s="137">
        <v>17</v>
      </c>
      <c r="R7" s="137">
        <v>18</v>
      </c>
      <c r="S7" s="137">
        <v>19</v>
      </c>
      <c r="T7" s="137">
        <v>20</v>
      </c>
      <c r="U7" s="137">
        <v>21</v>
      </c>
      <c r="V7" s="137">
        <v>22</v>
      </c>
      <c r="W7" s="137">
        <v>23</v>
      </c>
      <c r="X7" s="137">
        <v>24</v>
      </c>
      <c r="Y7" s="137">
        <v>25</v>
      </c>
      <c r="Z7" s="137">
        <v>26</v>
      </c>
      <c r="AA7" s="137">
        <v>27</v>
      </c>
      <c r="AB7" s="137">
        <v>28</v>
      </c>
      <c r="AC7" s="137">
        <v>29</v>
      </c>
      <c r="AD7" s="137">
        <v>30</v>
      </c>
      <c r="AE7" s="279"/>
      <c r="AF7" s="279"/>
      <c r="AG7" s="279"/>
      <c r="AH7" s="279"/>
    </row>
    <row r="8" spans="1:34" s="27" customFormat="1" ht="33" customHeight="1" x14ac:dyDescent="0.25">
      <c r="A8" s="487" t="s">
        <v>1113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279"/>
      <c r="AF8" s="279"/>
      <c r="AG8" s="279"/>
      <c r="AH8" s="279"/>
    </row>
    <row r="9" spans="1:34" s="27" customFormat="1" ht="34.9" customHeight="1" x14ac:dyDescent="0.25">
      <c r="A9" s="280" t="s">
        <v>449</v>
      </c>
      <c r="B9" s="462" t="s">
        <v>1114</v>
      </c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6"/>
      <c r="AE9" s="279"/>
      <c r="AF9" s="279"/>
      <c r="AG9" s="279"/>
      <c r="AH9" s="279"/>
    </row>
    <row r="10" spans="1:34" s="5" customFormat="1" ht="30" customHeight="1" x14ac:dyDescent="0.2">
      <c r="A10" s="483" t="s">
        <v>298</v>
      </c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52"/>
      <c r="AF10" s="52"/>
      <c r="AG10" s="52"/>
      <c r="AH10" s="52"/>
    </row>
    <row r="11" spans="1:34" s="5" customFormat="1" ht="34.9" customHeight="1" outlineLevel="1" x14ac:dyDescent="0.2">
      <c r="A11" s="488" t="s">
        <v>674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52"/>
      <c r="AF11" s="52"/>
      <c r="AG11" s="52"/>
      <c r="AH11" s="52"/>
    </row>
    <row r="12" spans="1:34" s="5" customFormat="1" ht="38.25" customHeight="1" outlineLevel="1" x14ac:dyDescent="0.2">
      <c r="A12" s="330" t="s">
        <v>1</v>
      </c>
      <c r="B12" s="464" t="s">
        <v>448</v>
      </c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7"/>
      <c r="AE12" s="52"/>
      <c r="AF12" s="52"/>
      <c r="AG12" s="52"/>
      <c r="AH12" s="52"/>
    </row>
    <row r="13" spans="1:34" s="9" customFormat="1" ht="88.15" customHeight="1" outlineLevel="1" x14ac:dyDescent="0.2">
      <c r="A13" s="281" t="s">
        <v>8</v>
      </c>
      <c r="B13" s="335" t="s">
        <v>205</v>
      </c>
      <c r="C13" s="348" t="s">
        <v>51</v>
      </c>
      <c r="D13" s="282" t="s">
        <v>48</v>
      </c>
      <c r="E13" s="351">
        <f t="shared" ref="E13:E21" si="0">F13+G13+H13+I13</f>
        <v>67429</v>
      </c>
      <c r="F13" s="350">
        <f>67429</f>
        <v>67429</v>
      </c>
      <c r="G13" s="350">
        <v>0</v>
      </c>
      <c r="H13" s="350">
        <v>0</v>
      </c>
      <c r="I13" s="350">
        <v>0</v>
      </c>
      <c r="J13" s="351">
        <f t="shared" ref="J13:J21" si="1">K13+L13+M13+N13</f>
        <v>19781</v>
      </c>
      <c r="K13" s="350">
        <f>6885+12896</f>
        <v>19781</v>
      </c>
      <c r="L13" s="350">
        <v>0</v>
      </c>
      <c r="M13" s="350">
        <v>0</v>
      </c>
      <c r="N13" s="350">
        <v>0</v>
      </c>
      <c r="O13" s="351">
        <f t="shared" ref="O13:O20" si="2">SUM(P13:S13)</f>
        <v>757</v>
      </c>
      <c r="P13" s="350">
        <f>30758-12896-17501-30+426</f>
        <v>757</v>
      </c>
      <c r="Q13" s="350">
        <v>0</v>
      </c>
      <c r="R13" s="350">
        <v>0</v>
      </c>
      <c r="S13" s="350">
        <v>0</v>
      </c>
      <c r="T13" s="351">
        <f t="shared" ref="T13:T20" si="3">SUM(U13:X13)</f>
        <v>20213</v>
      </c>
      <c r="U13" s="350">
        <f>30758-22399-1128-23+13546-541</f>
        <v>20213</v>
      </c>
      <c r="V13" s="350">
        <v>0</v>
      </c>
      <c r="W13" s="350">
        <v>0</v>
      </c>
      <c r="X13" s="350">
        <v>0</v>
      </c>
      <c r="Y13" s="351">
        <f t="shared" ref="Y13:Y20" si="4">SUM(Z13:AC13)</f>
        <v>37613</v>
      </c>
      <c r="Z13" s="350">
        <f>34182+3431</f>
        <v>37613</v>
      </c>
      <c r="AA13" s="350">
        <v>0</v>
      </c>
      <c r="AB13" s="350">
        <v>0</v>
      </c>
      <c r="AC13" s="350">
        <v>0</v>
      </c>
      <c r="AD13" s="351">
        <f t="shared" ref="AD13:AD19" si="5">E13+J13+O13+T13+Y13</f>
        <v>145793</v>
      </c>
      <c r="AE13" s="58"/>
      <c r="AF13" s="58"/>
      <c r="AG13" s="58"/>
      <c r="AH13" s="58"/>
    </row>
    <row r="14" spans="1:34" s="9" customFormat="1" ht="117" customHeight="1" outlineLevel="1" x14ac:dyDescent="0.2">
      <c r="A14" s="347" t="s">
        <v>15</v>
      </c>
      <c r="B14" s="335" t="s">
        <v>355</v>
      </c>
      <c r="C14" s="348" t="s">
        <v>51</v>
      </c>
      <c r="D14" s="283" t="s">
        <v>651</v>
      </c>
      <c r="E14" s="351">
        <f t="shared" si="0"/>
        <v>1235</v>
      </c>
      <c r="F14" s="350">
        <v>1235</v>
      </c>
      <c r="G14" s="350">
        <v>0</v>
      </c>
      <c r="H14" s="350">
        <v>0</v>
      </c>
      <c r="I14" s="350">
        <v>0</v>
      </c>
      <c r="J14" s="351">
        <f t="shared" si="1"/>
        <v>741</v>
      </c>
      <c r="K14" s="350">
        <v>741</v>
      </c>
      <c r="L14" s="350">
        <v>0</v>
      </c>
      <c r="M14" s="350">
        <v>0</v>
      </c>
      <c r="N14" s="350">
        <v>0</v>
      </c>
      <c r="O14" s="351">
        <f t="shared" si="2"/>
        <v>115</v>
      </c>
      <c r="P14" s="350">
        <f>0+115</f>
        <v>115</v>
      </c>
      <c r="Q14" s="350">
        <v>0</v>
      </c>
      <c r="R14" s="350">
        <v>0</v>
      </c>
      <c r="S14" s="350">
        <v>0</v>
      </c>
      <c r="T14" s="351">
        <f t="shared" si="3"/>
        <v>1174</v>
      </c>
      <c r="U14" s="350">
        <f>23+119+71+882+79</f>
        <v>1174</v>
      </c>
      <c r="V14" s="350">
        <v>0</v>
      </c>
      <c r="W14" s="350">
        <v>0</v>
      </c>
      <c r="X14" s="350">
        <v>0</v>
      </c>
      <c r="Y14" s="351">
        <f t="shared" si="4"/>
        <v>0</v>
      </c>
      <c r="Z14" s="350">
        <v>0</v>
      </c>
      <c r="AA14" s="350">
        <v>0</v>
      </c>
      <c r="AB14" s="350">
        <v>0</v>
      </c>
      <c r="AC14" s="350">
        <v>0</v>
      </c>
      <c r="AD14" s="351">
        <f t="shared" si="5"/>
        <v>3265</v>
      </c>
      <c r="AE14" s="58"/>
      <c r="AF14" s="58"/>
      <c r="AG14" s="58"/>
      <c r="AH14" s="58"/>
    </row>
    <row r="15" spans="1:34" ht="99" customHeight="1" outlineLevel="1" x14ac:dyDescent="0.2">
      <c r="A15" s="347" t="s">
        <v>26</v>
      </c>
      <c r="B15" s="335" t="s">
        <v>59</v>
      </c>
      <c r="C15" s="348" t="s">
        <v>51</v>
      </c>
      <c r="D15" s="284" t="s">
        <v>48</v>
      </c>
      <c r="E15" s="351">
        <f t="shared" si="0"/>
        <v>1644</v>
      </c>
      <c r="F15" s="350">
        <v>1644</v>
      </c>
      <c r="G15" s="350">
        <v>0</v>
      </c>
      <c r="H15" s="350">
        <v>0</v>
      </c>
      <c r="I15" s="350">
        <v>0</v>
      </c>
      <c r="J15" s="351">
        <f t="shared" si="1"/>
        <v>1472</v>
      </c>
      <c r="K15" s="350">
        <v>1472</v>
      </c>
      <c r="L15" s="350">
        <v>0</v>
      </c>
      <c r="M15" s="350">
        <v>0</v>
      </c>
      <c r="N15" s="350">
        <v>0</v>
      </c>
      <c r="O15" s="351">
        <f t="shared" si="2"/>
        <v>4212</v>
      </c>
      <c r="P15" s="350">
        <f>1368-668+1946+117-708+676+1409+418+253+200-396-403</f>
        <v>4212</v>
      </c>
      <c r="Q15" s="350">
        <v>0</v>
      </c>
      <c r="R15" s="350">
        <v>0</v>
      </c>
      <c r="S15" s="350">
        <v>0</v>
      </c>
      <c r="T15" s="351">
        <f t="shared" si="3"/>
        <v>8783</v>
      </c>
      <c r="U15" s="350">
        <f>1368+3232-3797+8055+17-92</f>
        <v>8783</v>
      </c>
      <c r="V15" s="350">
        <v>0</v>
      </c>
      <c r="W15" s="350">
        <v>0</v>
      </c>
      <c r="X15" s="350">
        <v>0</v>
      </c>
      <c r="Y15" s="351">
        <f t="shared" si="4"/>
        <v>1364</v>
      </c>
      <c r="Z15" s="350">
        <f>4463-3099</f>
        <v>1364</v>
      </c>
      <c r="AA15" s="350">
        <v>0</v>
      </c>
      <c r="AB15" s="350">
        <v>0</v>
      </c>
      <c r="AC15" s="350">
        <v>0</v>
      </c>
      <c r="AD15" s="351">
        <f t="shared" si="5"/>
        <v>17475</v>
      </c>
      <c r="AE15" s="46"/>
      <c r="AF15" s="46"/>
      <c r="AG15" s="46"/>
      <c r="AH15" s="46"/>
    </row>
    <row r="16" spans="1:34" ht="94.9" customHeight="1" outlineLevel="1" x14ac:dyDescent="0.2">
      <c r="A16" s="347" t="s">
        <v>456</v>
      </c>
      <c r="B16" s="335" t="s">
        <v>312</v>
      </c>
      <c r="C16" s="348" t="s">
        <v>58</v>
      </c>
      <c r="D16" s="283" t="s">
        <v>48</v>
      </c>
      <c r="E16" s="351">
        <f t="shared" si="0"/>
        <v>1020</v>
      </c>
      <c r="F16" s="350">
        <v>1020</v>
      </c>
      <c r="G16" s="350">
        <v>0</v>
      </c>
      <c r="H16" s="350">
        <v>0</v>
      </c>
      <c r="I16" s="350">
        <v>0</v>
      </c>
      <c r="J16" s="351">
        <f t="shared" si="1"/>
        <v>1570</v>
      </c>
      <c r="K16" s="350">
        <f>1286+283+1</f>
        <v>1570</v>
      </c>
      <c r="L16" s="350">
        <v>0</v>
      </c>
      <c r="M16" s="350">
        <v>0</v>
      </c>
      <c r="N16" s="350">
        <v>0</v>
      </c>
      <c r="O16" s="351">
        <f t="shared" si="2"/>
        <v>838</v>
      </c>
      <c r="P16" s="350">
        <f>94+838-94</f>
        <v>838</v>
      </c>
      <c r="Q16" s="350">
        <v>0</v>
      </c>
      <c r="R16" s="350">
        <v>0</v>
      </c>
      <c r="S16" s="350">
        <v>0</v>
      </c>
      <c r="T16" s="351">
        <f t="shared" si="3"/>
        <v>6082</v>
      </c>
      <c r="U16" s="350">
        <f>14338+5164-14339+283+1848-289-180-606-137</f>
        <v>6082</v>
      </c>
      <c r="V16" s="350">
        <v>0</v>
      </c>
      <c r="W16" s="350">
        <v>0</v>
      </c>
      <c r="X16" s="350">
        <v>0</v>
      </c>
      <c r="Y16" s="351">
        <f t="shared" si="4"/>
        <v>5117</v>
      </c>
      <c r="Z16" s="350">
        <f>632+230+3086+1169</f>
        <v>5117</v>
      </c>
      <c r="AA16" s="350">
        <v>0</v>
      </c>
      <c r="AB16" s="350">
        <v>0</v>
      </c>
      <c r="AC16" s="350">
        <v>0</v>
      </c>
      <c r="AD16" s="351">
        <f t="shared" si="5"/>
        <v>14627</v>
      </c>
      <c r="AE16" s="46"/>
      <c r="AF16" s="46"/>
      <c r="AG16" s="46"/>
      <c r="AH16" s="46"/>
    </row>
    <row r="17" spans="1:34" ht="96" customHeight="1" outlineLevel="1" x14ac:dyDescent="0.2">
      <c r="A17" s="474" t="s">
        <v>457</v>
      </c>
      <c r="B17" s="468" t="s">
        <v>57</v>
      </c>
      <c r="C17" s="472" t="s">
        <v>51</v>
      </c>
      <c r="D17" s="284" t="s">
        <v>48</v>
      </c>
      <c r="E17" s="351">
        <f t="shared" si="0"/>
        <v>8411</v>
      </c>
      <c r="F17" s="350">
        <v>8411</v>
      </c>
      <c r="G17" s="350">
        <v>0</v>
      </c>
      <c r="H17" s="350">
        <v>0</v>
      </c>
      <c r="I17" s="350">
        <v>0</v>
      </c>
      <c r="J17" s="285">
        <f t="shared" si="1"/>
        <v>3081</v>
      </c>
      <c r="K17" s="286">
        <f>7310-5219+841+153-4</f>
        <v>3081</v>
      </c>
      <c r="L17" s="350">
        <v>0</v>
      </c>
      <c r="M17" s="350">
        <v>0</v>
      </c>
      <c r="N17" s="350">
        <v>0</v>
      </c>
      <c r="O17" s="351">
        <f t="shared" si="2"/>
        <v>4934</v>
      </c>
      <c r="P17" s="350">
        <f>8219-6307+105+772-157-71+3259-1234+348</f>
        <v>4934</v>
      </c>
      <c r="Q17" s="350">
        <v>0</v>
      </c>
      <c r="R17" s="350">
        <v>0</v>
      </c>
      <c r="S17" s="350">
        <v>0</v>
      </c>
      <c r="T17" s="351">
        <f t="shared" si="3"/>
        <v>10726</v>
      </c>
      <c r="U17" s="350">
        <f>4085+4159+70+1617+1168-373</f>
        <v>10726</v>
      </c>
      <c r="V17" s="350">
        <v>0</v>
      </c>
      <c r="W17" s="350">
        <v>0</v>
      </c>
      <c r="X17" s="350">
        <v>0</v>
      </c>
      <c r="Y17" s="351">
        <f t="shared" si="4"/>
        <v>24305</v>
      </c>
      <c r="Z17" s="350">
        <f>9782+15692-1169</f>
        <v>24305</v>
      </c>
      <c r="AA17" s="350">
        <v>0</v>
      </c>
      <c r="AB17" s="350">
        <v>0</v>
      </c>
      <c r="AC17" s="350">
        <v>0</v>
      </c>
      <c r="AD17" s="351">
        <f t="shared" si="5"/>
        <v>51457</v>
      </c>
      <c r="AE17" s="46"/>
      <c r="AF17" s="46"/>
      <c r="AG17" s="46"/>
      <c r="AH17" s="46"/>
    </row>
    <row r="18" spans="1:34" ht="96" customHeight="1" outlineLevel="1" x14ac:dyDescent="0.2">
      <c r="A18" s="475"/>
      <c r="B18" s="469"/>
      <c r="C18" s="473"/>
      <c r="D18" s="284" t="s">
        <v>578</v>
      </c>
      <c r="E18" s="351">
        <v>0</v>
      </c>
      <c r="F18" s="350">
        <v>0</v>
      </c>
      <c r="G18" s="350">
        <v>0</v>
      </c>
      <c r="H18" s="350">
        <v>0</v>
      </c>
      <c r="I18" s="350">
        <v>0</v>
      </c>
      <c r="J18" s="285">
        <v>0</v>
      </c>
      <c r="K18" s="286">
        <v>0</v>
      </c>
      <c r="L18" s="350">
        <v>0</v>
      </c>
      <c r="M18" s="350">
        <v>0</v>
      </c>
      <c r="N18" s="350">
        <v>0</v>
      </c>
      <c r="O18" s="351">
        <f t="shared" si="2"/>
        <v>3417</v>
      </c>
      <c r="P18" s="350">
        <f>3417</f>
        <v>3417</v>
      </c>
      <c r="Q18" s="350">
        <v>0</v>
      </c>
      <c r="R18" s="350">
        <v>0</v>
      </c>
      <c r="S18" s="350">
        <v>0</v>
      </c>
      <c r="T18" s="351">
        <v>0</v>
      </c>
      <c r="U18" s="350">
        <v>0</v>
      </c>
      <c r="V18" s="350">
        <v>0</v>
      </c>
      <c r="W18" s="350">
        <v>0</v>
      </c>
      <c r="X18" s="350">
        <v>0</v>
      </c>
      <c r="Y18" s="351">
        <v>0</v>
      </c>
      <c r="Z18" s="350">
        <v>0</v>
      </c>
      <c r="AA18" s="350">
        <v>0</v>
      </c>
      <c r="AB18" s="350">
        <v>0</v>
      </c>
      <c r="AC18" s="350">
        <v>0</v>
      </c>
      <c r="AD18" s="351">
        <f t="shared" si="5"/>
        <v>3417</v>
      </c>
      <c r="AE18" s="46"/>
      <c r="AF18" s="46"/>
      <c r="AG18" s="46"/>
      <c r="AH18" s="46"/>
    </row>
    <row r="19" spans="1:34" ht="135.75" customHeight="1" outlineLevel="1" x14ac:dyDescent="0.2">
      <c r="A19" s="347" t="s">
        <v>458</v>
      </c>
      <c r="B19" s="335" t="s">
        <v>314</v>
      </c>
      <c r="C19" s="348" t="s">
        <v>51</v>
      </c>
      <c r="D19" s="283" t="s">
        <v>48</v>
      </c>
      <c r="E19" s="351">
        <f t="shared" si="0"/>
        <v>817</v>
      </c>
      <c r="F19" s="350">
        <v>817</v>
      </c>
      <c r="G19" s="350">
        <v>0</v>
      </c>
      <c r="H19" s="350">
        <v>0</v>
      </c>
      <c r="I19" s="350">
        <v>0</v>
      </c>
      <c r="J19" s="351">
        <f t="shared" si="1"/>
        <v>2512</v>
      </c>
      <c r="K19" s="350">
        <f>1695+817</f>
        <v>2512</v>
      </c>
      <c r="L19" s="350">
        <v>0</v>
      </c>
      <c r="M19" s="350">
        <v>0</v>
      </c>
      <c r="N19" s="350">
        <v>0</v>
      </c>
      <c r="O19" s="351">
        <f t="shared" si="2"/>
        <v>4617</v>
      </c>
      <c r="P19" s="350">
        <f>615+578+1853+2512-486-423-32</f>
        <v>4617</v>
      </c>
      <c r="Q19" s="350">
        <v>0</v>
      </c>
      <c r="R19" s="350">
        <v>0</v>
      </c>
      <c r="S19" s="350">
        <v>0</v>
      </c>
      <c r="T19" s="351">
        <f t="shared" si="3"/>
        <v>8504</v>
      </c>
      <c r="U19" s="350">
        <f>3573+4915+817-119-71-20-355-79-104-53</f>
        <v>8504</v>
      </c>
      <c r="V19" s="350">
        <v>0</v>
      </c>
      <c r="W19" s="350">
        <v>0</v>
      </c>
      <c r="X19" s="350">
        <v>0</v>
      </c>
      <c r="Y19" s="351">
        <f t="shared" si="4"/>
        <v>0</v>
      </c>
      <c r="Z19" s="350">
        <f>3719-3719</f>
        <v>0</v>
      </c>
      <c r="AA19" s="350">
        <v>0</v>
      </c>
      <c r="AB19" s="350">
        <v>0</v>
      </c>
      <c r="AC19" s="350">
        <v>0</v>
      </c>
      <c r="AD19" s="351">
        <f t="shared" si="5"/>
        <v>16450</v>
      </c>
      <c r="AE19" s="46"/>
      <c r="AF19" s="46"/>
      <c r="AG19" s="46"/>
      <c r="AH19" s="46"/>
    </row>
    <row r="20" spans="1:34" ht="135.75" customHeight="1" outlineLevel="1" x14ac:dyDescent="0.2">
      <c r="A20" s="347" t="s">
        <v>459</v>
      </c>
      <c r="B20" s="335" t="s">
        <v>364</v>
      </c>
      <c r="C20" s="348" t="s">
        <v>627</v>
      </c>
      <c r="D20" s="283" t="s">
        <v>518</v>
      </c>
      <c r="E20" s="351">
        <f t="shared" si="0"/>
        <v>0</v>
      </c>
      <c r="F20" s="350">
        <v>0</v>
      </c>
      <c r="G20" s="350">
        <v>0</v>
      </c>
      <c r="H20" s="350">
        <v>0</v>
      </c>
      <c r="I20" s="350">
        <v>0</v>
      </c>
      <c r="J20" s="351">
        <f t="shared" si="1"/>
        <v>0</v>
      </c>
      <c r="K20" s="350">
        <f>8629-8629</f>
        <v>0</v>
      </c>
      <c r="L20" s="350">
        <v>0</v>
      </c>
      <c r="M20" s="350">
        <v>0</v>
      </c>
      <c r="N20" s="350">
        <v>0</v>
      </c>
      <c r="O20" s="351">
        <f t="shared" si="2"/>
        <v>10733</v>
      </c>
      <c r="P20" s="350">
        <v>10733</v>
      </c>
      <c r="Q20" s="350">
        <v>0</v>
      </c>
      <c r="R20" s="350">
        <v>0</v>
      </c>
      <c r="S20" s="350">
        <v>0</v>
      </c>
      <c r="T20" s="351">
        <f t="shared" si="3"/>
        <v>0</v>
      </c>
      <c r="U20" s="350">
        <v>0</v>
      </c>
      <c r="V20" s="350">
        <v>0</v>
      </c>
      <c r="W20" s="350">
        <v>0</v>
      </c>
      <c r="X20" s="350">
        <v>0</v>
      </c>
      <c r="Y20" s="351">
        <f t="shared" si="4"/>
        <v>0</v>
      </c>
      <c r="Z20" s="350">
        <v>0</v>
      </c>
      <c r="AA20" s="350">
        <v>0</v>
      </c>
      <c r="AB20" s="350">
        <v>0</v>
      </c>
      <c r="AC20" s="350">
        <v>0</v>
      </c>
      <c r="AD20" s="351">
        <f>E20+J20+O20+T20+Y20</f>
        <v>10733</v>
      </c>
      <c r="AE20" s="46"/>
      <c r="AF20" s="46"/>
      <c r="AG20" s="46"/>
      <c r="AH20" s="46"/>
    </row>
    <row r="21" spans="1:34" ht="132" customHeight="1" outlineLevel="1" x14ac:dyDescent="0.2">
      <c r="A21" s="347" t="s">
        <v>552</v>
      </c>
      <c r="B21" s="287" t="s">
        <v>557</v>
      </c>
      <c r="C21" s="348" t="s">
        <v>51</v>
      </c>
      <c r="D21" s="288" t="s">
        <v>518</v>
      </c>
      <c r="E21" s="351">
        <f t="shared" si="0"/>
        <v>0</v>
      </c>
      <c r="F21" s="350">
        <v>0</v>
      </c>
      <c r="G21" s="350">
        <v>0</v>
      </c>
      <c r="H21" s="350">
        <v>0</v>
      </c>
      <c r="I21" s="350">
        <v>0</v>
      </c>
      <c r="J21" s="351">
        <f t="shared" si="1"/>
        <v>0</v>
      </c>
      <c r="K21" s="350">
        <f>8629-8629</f>
        <v>0</v>
      </c>
      <c r="L21" s="350">
        <v>0</v>
      </c>
      <c r="M21" s="350">
        <v>0</v>
      </c>
      <c r="N21" s="350">
        <v>0</v>
      </c>
      <c r="O21" s="351">
        <f>SUM(P21:S21)</f>
        <v>296</v>
      </c>
      <c r="P21" s="350">
        <f>486-190</f>
        <v>296</v>
      </c>
      <c r="Q21" s="350">
        <v>0</v>
      </c>
      <c r="R21" s="350">
        <v>0</v>
      </c>
      <c r="S21" s="350">
        <v>0</v>
      </c>
      <c r="T21" s="351">
        <f>SUM(U21:X21)</f>
        <v>0</v>
      </c>
      <c r="U21" s="350">
        <v>0</v>
      </c>
      <c r="V21" s="350">
        <v>0</v>
      </c>
      <c r="W21" s="350">
        <v>0</v>
      </c>
      <c r="X21" s="350">
        <v>0</v>
      </c>
      <c r="Y21" s="351">
        <f>SUM(Z21:AC21)</f>
        <v>0</v>
      </c>
      <c r="Z21" s="350">
        <v>0</v>
      </c>
      <c r="AA21" s="350">
        <v>0</v>
      </c>
      <c r="AB21" s="350">
        <v>0</v>
      </c>
      <c r="AC21" s="350">
        <v>0</v>
      </c>
      <c r="AD21" s="351">
        <f>E21+J21+O21+T21+Y21</f>
        <v>296</v>
      </c>
      <c r="AE21" s="46"/>
      <c r="AF21" s="46"/>
      <c r="AG21" s="46"/>
      <c r="AH21" s="46"/>
    </row>
    <row r="22" spans="1:34" ht="132" customHeight="1" outlineLevel="1" x14ac:dyDescent="0.2">
      <c r="A22" s="347" t="s">
        <v>590</v>
      </c>
      <c r="B22" s="289" t="s">
        <v>614</v>
      </c>
      <c r="C22" s="348" t="s">
        <v>51</v>
      </c>
      <c r="D22" s="288" t="s">
        <v>609</v>
      </c>
      <c r="E22" s="351">
        <v>0</v>
      </c>
      <c r="F22" s="350">
        <v>0</v>
      </c>
      <c r="G22" s="350">
        <v>0</v>
      </c>
      <c r="H22" s="350">
        <v>0</v>
      </c>
      <c r="I22" s="350">
        <v>0</v>
      </c>
      <c r="J22" s="351">
        <v>0</v>
      </c>
      <c r="K22" s="350">
        <v>0</v>
      </c>
      <c r="L22" s="350">
        <v>0</v>
      </c>
      <c r="M22" s="350">
        <v>0</v>
      </c>
      <c r="N22" s="350">
        <v>0</v>
      </c>
      <c r="O22" s="351">
        <v>0</v>
      </c>
      <c r="P22" s="350">
        <v>0</v>
      </c>
      <c r="Q22" s="350">
        <v>0</v>
      </c>
      <c r="R22" s="350">
        <v>0</v>
      </c>
      <c r="S22" s="350">
        <v>0</v>
      </c>
      <c r="T22" s="351">
        <f>SUM(U22:X22)</f>
        <v>993</v>
      </c>
      <c r="U22" s="350">
        <v>993</v>
      </c>
      <c r="V22" s="350">
        <v>0</v>
      </c>
      <c r="W22" s="350">
        <v>0</v>
      </c>
      <c r="X22" s="350">
        <v>0</v>
      </c>
      <c r="Y22" s="351">
        <f>SUM(Z22:AC22)</f>
        <v>1000</v>
      </c>
      <c r="Z22" s="350">
        <v>1000</v>
      </c>
      <c r="AA22" s="350">
        <v>0</v>
      </c>
      <c r="AB22" s="350">
        <v>0</v>
      </c>
      <c r="AC22" s="350">
        <v>0</v>
      </c>
      <c r="AD22" s="351">
        <f>E22+J22+O22+T22+Y22</f>
        <v>1993</v>
      </c>
      <c r="AE22" s="46"/>
      <c r="AF22" s="46"/>
      <c r="AG22" s="46"/>
      <c r="AH22" s="46"/>
    </row>
    <row r="23" spans="1:34" ht="132" customHeight="1" outlineLevel="1" x14ac:dyDescent="0.2">
      <c r="A23" s="347" t="s">
        <v>1356</v>
      </c>
      <c r="B23" s="289" t="s">
        <v>1420</v>
      </c>
      <c r="C23" s="348" t="s">
        <v>51</v>
      </c>
      <c r="D23" s="288" t="s">
        <v>1357</v>
      </c>
      <c r="E23" s="351">
        <v>0</v>
      </c>
      <c r="F23" s="350">
        <v>0</v>
      </c>
      <c r="G23" s="350">
        <v>0</v>
      </c>
      <c r="H23" s="350">
        <v>0</v>
      </c>
      <c r="I23" s="350">
        <v>0</v>
      </c>
      <c r="J23" s="351">
        <v>0</v>
      </c>
      <c r="K23" s="350">
        <v>0</v>
      </c>
      <c r="L23" s="350">
        <v>0</v>
      </c>
      <c r="M23" s="350">
        <v>0</v>
      </c>
      <c r="N23" s="350">
        <v>0</v>
      </c>
      <c r="O23" s="351">
        <v>0</v>
      </c>
      <c r="P23" s="350">
        <v>0</v>
      </c>
      <c r="Q23" s="350">
        <v>0</v>
      </c>
      <c r="R23" s="350">
        <v>0</v>
      </c>
      <c r="S23" s="350">
        <v>0</v>
      </c>
      <c r="T23" s="351">
        <f>SUM(U23:X23)</f>
        <v>5751</v>
      </c>
      <c r="U23" s="350">
        <f>626+5125</f>
        <v>5751</v>
      </c>
      <c r="V23" s="350">
        <v>0</v>
      </c>
      <c r="W23" s="350">
        <v>0</v>
      </c>
      <c r="X23" s="350">
        <v>0</v>
      </c>
      <c r="Y23" s="351">
        <f>SUM(Z23:AC23)</f>
        <v>0</v>
      </c>
      <c r="Z23" s="350">
        <v>0</v>
      </c>
      <c r="AA23" s="350">
        <v>0</v>
      </c>
      <c r="AB23" s="350">
        <v>0</v>
      </c>
      <c r="AC23" s="350">
        <v>0</v>
      </c>
      <c r="AD23" s="351">
        <f>E23+J23+O23+T23+Y23</f>
        <v>5751</v>
      </c>
      <c r="AE23" s="46"/>
      <c r="AF23" s="46"/>
      <c r="AG23" s="46"/>
      <c r="AH23" s="46"/>
    </row>
    <row r="24" spans="1:34" ht="40.9" customHeight="1" outlineLevel="1" x14ac:dyDescent="0.2">
      <c r="A24" s="280" t="s">
        <v>10</v>
      </c>
      <c r="B24" s="462" t="s">
        <v>460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6"/>
      <c r="AE24" s="46"/>
      <c r="AF24" s="46"/>
      <c r="AG24" s="46"/>
      <c r="AH24" s="46"/>
    </row>
    <row r="25" spans="1:34" ht="118.9" customHeight="1" outlineLevel="1" x14ac:dyDescent="0.2">
      <c r="A25" s="281" t="s">
        <v>11</v>
      </c>
      <c r="B25" s="335" t="s">
        <v>223</v>
      </c>
      <c r="C25" s="348" t="s">
        <v>628</v>
      </c>
      <c r="D25" s="282" t="s">
        <v>229</v>
      </c>
      <c r="E25" s="351">
        <f>SUM(F25:I25)</f>
        <v>51269</v>
      </c>
      <c r="F25" s="350">
        <f>46195+1408+1630+2036</f>
        <v>51269</v>
      </c>
      <c r="G25" s="350">
        <v>0</v>
      </c>
      <c r="H25" s="350">
        <v>0</v>
      </c>
      <c r="I25" s="350">
        <v>0</v>
      </c>
      <c r="J25" s="351">
        <f>SUM(K25:N25)</f>
        <v>13924</v>
      </c>
      <c r="K25" s="350">
        <f>11888+2036</f>
        <v>13924</v>
      </c>
      <c r="L25" s="350">
        <v>0</v>
      </c>
      <c r="M25" s="350">
        <v>0</v>
      </c>
      <c r="N25" s="350">
        <v>0</v>
      </c>
      <c r="O25" s="351">
        <f t="shared" ref="O25:O34" si="6">SUM(P25:S25)</f>
        <v>35262</v>
      </c>
      <c r="P25" s="350">
        <f>11888+2036+1353+2370+4401+11012+1873+329</f>
        <v>35262</v>
      </c>
      <c r="Q25" s="350">
        <v>0</v>
      </c>
      <c r="R25" s="350">
        <v>0</v>
      </c>
      <c r="S25" s="350">
        <v>0</v>
      </c>
      <c r="T25" s="351">
        <f t="shared" ref="T25:T33" si="7">SUM(U25:X25)</f>
        <v>45752</v>
      </c>
      <c r="U25" s="350">
        <f>13924-11424+9529+1838+109+31404-2310+2310-477-227+743+596-390+127</f>
        <v>45752</v>
      </c>
      <c r="V25" s="350">
        <v>0</v>
      </c>
      <c r="W25" s="350">
        <v>0</v>
      </c>
      <c r="X25" s="350">
        <v>0</v>
      </c>
      <c r="Y25" s="351">
        <f t="shared" ref="Y25:Y33" si="8">SUM(Z25:AC25)</f>
        <v>10769</v>
      </c>
      <c r="Z25" s="350">
        <f>29000+781-27281-2+8271</f>
        <v>10769</v>
      </c>
      <c r="AA25" s="350">
        <v>0</v>
      </c>
      <c r="AB25" s="350">
        <v>0</v>
      </c>
      <c r="AC25" s="350">
        <v>0</v>
      </c>
      <c r="AD25" s="351">
        <f t="shared" ref="AD25:AD35" si="9">E25+J25+O25+T25+Y25</f>
        <v>156976</v>
      </c>
      <c r="AE25" s="46"/>
      <c r="AF25" s="46"/>
      <c r="AG25" s="46"/>
      <c r="AH25" s="46"/>
    </row>
    <row r="26" spans="1:34" ht="126" customHeight="1" outlineLevel="1" x14ac:dyDescent="0.2">
      <c r="A26" s="321" t="s">
        <v>12</v>
      </c>
      <c r="B26" s="335" t="s">
        <v>56</v>
      </c>
      <c r="C26" s="348" t="s">
        <v>51</v>
      </c>
      <c r="D26" s="282" t="s">
        <v>574</v>
      </c>
      <c r="E26" s="351">
        <f>F26+G26+H26+I26</f>
        <v>0</v>
      </c>
      <c r="F26" s="350">
        <v>0</v>
      </c>
      <c r="G26" s="350">
        <v>0</v>
      </c>
      <c r="H26" s="350">
        <v>0</v>
      </c>
      <c r="I26" s="350">
        <v>0</v>
      </c>
      <c r="J26" s="351">
        <f>K26+L26</f>
        <v>0</v>
      </c>
      <c r="K26" s="350">
        <v>0</v>
      </c>
      <c r="L26" s="350">
        <v>0</v>
      </c>
      <c r="M26" s="350">
        <v>0</v>
      </c>
      <c r="N26" s="350">
        <v>0</v>
      </c>
      <c r="O26" s="351">
        <f t="shared" si="6"/>
        <v>0</v>
      </c>
      <c r="P26" s="350">
        <f>1417-578-583-29-214-13</f>
        <v>0</v>
      </c>
      <c r="Q26" s="350">
        <v>0</v>
      </c>
      <c r="R26" s="350">
        <v>0</v>
      </c>
      <c r="S26" s="350">
        <v>0</v>
      </c>
      <c r="T26" s="351">
        <f t="shared" si="7"/>
        <v>821</v>
      </c>
      <c r="U26" s="350">
        <f>1417+3469-4281-10+271-22-23</f>
        <v>821</v>
      </c>
      <c r="V26" s="350">
        <v>0</v>
      </c>
      <c r="W26" s="350">
        <v>0</v>
      </c>
      <c r="X26" s="350">
        <v>0</v>
      </c>
      <c r="Y26" s="351">
        <f t="shared" si="8"/>
        <v>187</v>
      </c>
      <c r="Z26" s="350">
        <f>256-69</f>
        <v>187</v>
      </c>
      <c r="AA26" s="350">
        <v>0</v>
      </c>
      <c r="AB26" s="350">
        <v>0</v>
      </c>
      <c r="AC26" s="350">
        <v>0</v>
      </c>
      <c r="AD26" s="351">
        <f t="shared" si="9"/>
        <v>1008</v>
      </c>
      <c r="AE26" s="46"/>
      <c r="AF26" s="46"/>
      <c r="AG26" s="46"/>
      <c r="AH26" s="46"/>
    </row>
    <row r="27" spans="1:34" ht="223.5" customHeight="1" outlineLevel="1" x14ac:dyDescent="0.2">
      <c r="A27" s="347" t="s">
        <v>17</v>
      </c>
      <c r="B27" s="335" t="s">
        <v>206</v>
      </c>
      <c r="C27" s="348" t="s">
        <v>650</v>
      </c>
      <c r="D27" s="282" t="s">
        <v>516</v>
      </c>
      <c r="E27" s="351">
        <f>F27+G27+H27+I27</f>
        <v>5379</v>
      </c>
      <c r="F27" s="350">
        <v>5379</v>
      </c>
      <c r="G27" s="350">
        <v>0</v>
      </c>
      <c r="H27" s="350">
        <v>0</v>
      </c>
      <c r="I27" s="350">
        <v>0</v>
      </c>
      <c r="J27" s="285">
        <f>K27+L27+M27+N27</f>
        <v>8539</v>
      </c>
      <c r="K27" s="286">
        <f>5209+3483-153</f>
        <v>8539</v>
      </c>
      <c r="L27" s="350">
        <v>0</v>
      </c>
      <c r="M27" s="350">
        <v>0</v>
      </c>
      <c r="N27" s="350">
        <v>0</v>
      </c>
      <c r="O27" s="351">
        <f t="shared" si="6"/>
        <v>1149</v>
      </c>
      <c r="P27" s="350">
        <f>12265-10932-82-20-82</f>
        <v>1149</v>
      </c>
      <c r="Q27" s="350">
        <v>0</v>
      </c>
      <c r="R27" s="350">
        <v>0</v>
      </c>
      <c r="S27" s="350">
        <v>0</v>
      </c>
      <c r="T27" s="351">
        <f t="shared" si="7"/>
        <v>0</v>
      </c>
      <c r="U27" s="350">
        <f>12265-12265+18810-8428-6805-3577</f>
        <v>0</v>
      </c>
      <c r="V27" s="350">
        <v>0</v>
      </c>
      <c r="W27" s="350">
        <v>0</v>
      </c>
      <c r="X27" s="350">
        <v>0</v>
      </c>
      <c r="Y27" s="351">
        <f t="shared" si="8"/>
        <v>0</v>
      </c>
      <c r="Z27" s="350">
        <v>0</v>
      </c>
      <c r="AA27" s="350">
        <v>0</v>
      </c>
      <c r="AB27" s="350">
        <v>0</v>
      </c>
      <c r="AC27" s="350">
        <v>0</v>
      </c>
      <c r="AD27" s="351">
        <f t="shared" si="9"/>
        <v>15067</v>
      </c>
      <c r="AE27" s="46"/>
      <c r="AF27" s="46"/>
      <c r="AG27" s="46"/>
      <c r="AH27" s="46"/>
    </row>
    <row r="28" spans="1:34" ht="109.5" customHeight="1" outlineLevel="1" x14ac:dyDescent="0.2">
      <c r="A28" s="347" t="s">
        <v>461</v>
      </c>
      <c r="B28" s="335" t="s">
        <v>228</v>
      </c>
      <c r="C28" s="348" t="s">
        <v>51</v>
      </c>
      <c r="D28" s="282" t="s">
        <v>568</v>
      </c>
      <c r="E28" s="351">
        <v>0</v>
      </c>
      <c r="F28" s="350">
        <v>0</v>
      </c>
      <c r="G28" s="350">
        <v>0</v>
      </c>
      <c r="H28" s="350">
        <v>0</v>
      </c>
      <c r="I28" s="350">
        <v>0</v>
      </c>
      <c r="J28" s="351">
        <f>K28+L28</f>
        <v>65</v>
      </c>
      <c r="K28" s="350">
        <v>65</v>
      </c>
      <c r="L28" s="350">
        <v>0</v>
      </c>
      <c r="M28" s="350">
        <v>0</v>
      </c>
      <c r="N28" s="350">
        <v>0</v>
      </c>
      <c r="O28" s="351">
        <f t="shared" si="6"/>
        <v>1041</v>
      </c>
      <c r="P28" s="350">
        <f>1076-35</f>
        <v>1041</v>
      </c>
      <c r="Q28" s="350">
        <v>0</v>
      </c>
      <c r="R28" s="350">
        <v>0</v>
      </c>
      <c r="S28" s="350">
        <v>0</v>
      </c>
      <c r="T28" s="351">
        <f t="shared" si="7"/>
        <v>0</v>
      </c>
      <c r="U28" s="350">
        <f>1752-1752</f>
        <v>0</v>
      </c>
      <c r="V28" s="350">
        <v>0</v>
      </c>
      <c r="W28" s="350">
        <v>0</v>
      </c>
      <c r="X28" s="350">
        <v>0</v>
      </c>
      <c r="Y28" s="351">
        <f t="shared" si="8"/>
        <v>0</v>
      </c>
      <c r="Z28" s="350">
        <f>2170-2170</f>
        <v>0</v>
      </c>
      <c r="AA28" s="350">
        <v>0</v>
      </c>
      <c r="AB28" s="350">
        <v>0</v>
      </c>
      <c r="AC28" s="350">
        <v>0</v>
      </c>
      <c r="AD28" s="351">
        <f t="shared" si="9"/>
        <v>1106</v>
      </c>
      <c r="AE28" s="46"/>
      <c r="AF28" s="46"/>
      <c r="AG28" s="46"/>
      <c r="AH28" s="46"/>
    </row>
    <row r="29" spans="1:34" ht="82.9" customHeight="1" outlineLevel="1" x14ac:dyDescent="0.2">
      <c r="A29" s="347" t="s">
        <v>462</v>
      </c>
      <c r="B29" s="335" t="s">
        <v>210</v>
      </c>
      <c r="C29" s="348" t="s">
        <v>51</v>
      </c>
      <c r="D29" s="282" t="s">
        <v>516</v>
      </c>
      <c r="E29" s="351">
        <f>F29+G29+H29+I29</f>
        <v>3478</v>
      </c>
      <c r="F29" s="350">
        <v>3478</v>
      </c>
      <c r="G29" s="350">
        <v>0</v>
      </c>
      <c r="H29" s="350">
        <v>0</v>
      </c>
      <c r="I29" s="350">
        <v>0</v>
      </c>
      <c r="J29" s="351">
        <f>K29+L29+M29+N29</f>
        <v>797</v>
      </c>
      <c r="K29" s="350">
        <f>4667-3870</f>
        <v>797</v>
      </c>
      <c r="L29" s="350">
        <v>0</v>
      </c>
      <c r="M29" s="350">
        <v>0</v>
      </c>
      <c r="N29" s="350">
        <v>0</v>
      </c>
      <c r="O29" s="351">
        <f t="shared" si="6"/>
        <v>2723</v>
      </c>
      <c r="P29" s="350">
        <f>57-57+2619+104</f>
        <v>2723</v>
      </c>
      <c r="Q29" s="350">
        <v>0</v>
      </c>
      <c r="R29" s="350">
        <v>0</v>
      </c>
      <c r="S29" s="350">
        <v>0</v>
      </c>
      <c r="T29" s="351">
        <f t="shared" si="7"/>
        <v>0</v>
      </c>
      <c r="U29" s="350">
        <v>0</v>
      </c>
      <c r="V29" s="350">
        <v>0</v>
      </c>
      <c r="W29" s="350">
        <v>0</v>
      </c>
      <c r="X29" s="350">
        <v>0</v>
      </c>
      <c r="Y29" s="351">
        <f t="shared" si="8"/>
        <v>0</v>
      </c>
      <c r="Z29" s="350">
        <v>0</v>
      </c>
      <c r="AA29" s="350">
        <v>0</v>
      </c>
      <c r="AB29" s="350">
        <v>0</v>
      </c>
      <c r="AC29" s="350">
        <v>0</v>
      </c>
      <c r="AD29" s="351">
        <f t="shared" si="9"/>
        <v>6998</v>
      </c>
      <c r="AE29" s="46"/>
      <c r="AF29" s="46"/>
      <c r="AG29" s="46"/>
      <c r="AH29" s="46"/>
    </row>
    <row r="30" spans="1:34" ht="94.9" customHeight="1" outlineLevel="1" x14ac:dyDescent="0.2">
      <c r="A30" s="347" t="s">
        <v>463</v>
      </c>
      <c r="B30" s="335" t="s">
        <v>225</v>
      </c>
      <c r="C30" s="348" t="s">
        <v>629</v>
      </c>
      <c r="D30" s="335" t="s">
        <v>48</v>
      </c>
      <c r="E30" s="351">
        <f>F30</f>
        <v>1700</v>
      </c>
      <c r="F30" s="350">
        <v>1700</v>
      </c>
      <c r="G30" s="350">
        <v>0</v>
      </c>
      <c r="H30" s="350">
        <v>0</v>
      </c>
      <c r="I30" s="350">
        <v>0</v>
      </c>
      <c r="J30" s="351">
        <f>K30</f>
        <v>2742</v>
      </c>
      <c r="K30" s="350">
        <f>2000+147+411+184</f>
        <v>2742</v>
      </c>
      <c r="L30" s="350">
        <v>0</v>
      </c>
      <c r="M30" s="350">
        <v>0</v>
      </c>
      <c r="N30" s="350">
        <v>0</v>
      </c>
      <c r="O30" s="351">
        <f t="shared" si="6"/>
        <v>2996</v>
      </c>
      <c r="P30" s="350">
        <f>2000+996</f>
        <v>2996</v>
      </c>
      <c r="Q30" s="350">
        <v>0</v>
      </c>
      <c r="R30" s="350">
        <v>0</v>
      </c>
      <c r="S30" s="350">
        <v>0</v>
      </c>
      <c r="T30" s="351">
        <f t="shared" si="7"/>
        <v>5529</v>
      </c>
      <c r="U30" s="350">
        <f>2000+3529+1838-1838</f>
        <v>5529</v>
      </c>
      <c r="V30" s="350">
        <v>0</v>
      </c>
      <c r="W30" s="350">
        <v>0</v>
      </c>
      <c r="X30" s="350">
        <v>0</v>
      </c>
      <c r="Y30" s="351">
        <f t="shared" si="8"/>
        <v>0</v>
      </c>
      <c r="Z30" s="350">
        <f>4500+1029+2742-8271</f>
        <v>0</v>
      </c>
      <c r="AA30" s="350">
        <v>0</v>
      </c>
      <c r="AB30" s="350">
        <v>0</v>
      </c>
      <c r="AC30" s="350">
        <v>0</v>
      </c>
      <c r="AD30" s="351">
        <f t="shared" si="9"/>
        <v>12967</v>
      </c>
      <c r="AE30" s="46"/>
      <c r="AF30" s="46"/>
      <c r="AG30" s="46"/>
      <c r="AH30" s="46"/>
    </row>
    <row r="31" spans="1:34" ht="100.9" customHeight="1" outlineLevel="1" x14ac:dyDescent="0.2">
      <c r="A31" s="347" t="s">
        <v>464</v>
      </c>
      <c r="B31" s="335" t="s">
        <v>1411</v>
      </c>
      <c r="C31" s="348" t="s">
        <v>629</v>
      </c>
      <c r="D31" s="335">
        <v>2024</v>
      </c>
      <c r="E31" s="351">
        <f>SUM(F31:I31)</f>
        <v>0</v>
      </c>
      <c r="F31" s="350">
        <v>0</v>
      </c>
      <c r="G31" s="350">
        <v>0</v>
      </c>
      <c r="H31" s="350">
        <v>0</v>
      </c>
      <c r="I31" s="350">
        <v>0</v>
      </c>
      <c r="J31" s="351">
        <f>SUM(K31:N31)</f>
        <v>0</v>
      </c>
      <c r="K31" s="350">
        <v>0</v>
      </c>
      <c r="L31" s="350">
        <v>0</v>
      </c>
      <c r="M31" s="350">
        <v>0</v>
      </c>
      <c r="N31" s="350">
        <v>0</v>
      </c>
      <c r="O31" s="351">
        <f t="shared" si="6"/>
        <v>0</v>
      </c>
      <c r="P31" s="350">
        <v>0</v>
      </c>
      <c r="Q31" s="350">
        <v>0</v>
      </c>
      <c r="R31" s="350">
        <v>0</v>
      </c>
      <c r="S31" s="350">
        <v>0</v>
      </c>
      <c r="T31" s="351">
        <f t="shared" si="7"/>
        <v>6896</v>
      </c>
      <c r="U31" s="350">
        <f>7370-474</f>
        <v>6896</v>
      </c>
      <c r="V31" s="350">
        <v>0</v>
      </c>
      <c r="W31" s="350">
        <v>0</v>
      </c>
      <c r="X31" s="350">
        <v>0</v>
      </c>
      <c r="Y31" s="351">
        <f t="shared" si="8"/>
        <v>0</v>
      </c>
      <c r="Z31" s="350">
        <f>893-893</f>
        <v>0</v>
      </c>
      <c r="AA31" s="350">
        <v>0</v>
      </c>
      <c r="AB31" s="350">
        <v>0</v>
      </c>
      <c r="AC31" s="350">
        <v>0</v>
      </c>
      <c r="AD31" s="351">
        <f t="shared" si="9"/>
        <v>6896</v>
      </c>
      <c r="AE31" s="46"/>
      <c r="AF31" s="46"/>
      <c r="AG31" s="46"/>
      <c r="AH31" s="46"/>
    </row>
    <row r="32" spans="1:34" ht="112.9" customHeight="1" outlineLevel="1" x14ac:dyDescent="0.2">
      <c r="A32" s="347" t="s">
        <v>465</v>
      </c>
      <c r="B32" s="335" t="s">
        <v>54</v>
      </c>
      <c r="C32" s="348" t="s">
        <v>629</v>
      </c>
      <c r="D32" s="284" t="s">
        <v>48</v>
      </c>
      <c r="E32" s="351">
        <f>SUM(F32:I32)</f>
        <v>3594</v>
      </c>
      <c r="F32" s="350">
        <v>3594</v>
      </c>
      <c r="G32" s="350">
        <v>0</v>
      </c>
      <c r="H32" s="350">
        <v>0</v>
      </c>
      <c r="I32" s="350">
        <v>0</v>
      </c>
      <c r="J32" s="351">
        <f>SUM(K32:N32)</f>
        <v>3788</v>
      </c>
      <c r="K32" s="350">
        <f>4176-388</f>
        <v>3788</v>
      </c>
      <c r="L32" s="350">
        <v>0</v>
      </c>
      <c r="M32" s="350">
        <v>0</v>
      </c>
      <c r="N32" s="350">
        <v>0</v>
      </c>
      <c r="O32" s="351">
        <f t="shared" si="6"/>
        <v>5988</v>
      </c>
      <c r="P32" s="350">
        <f>4575-399+1812</f>
        <v>5988</v>
      </c>
      <c r="Q32" s="350">
        <v>0</v>
      </c>
      <c r="R32" s="350">
        <v>0</v>
      </c>
      <c r="S32" s="350">
        <v>0</v>
      </c>
      <c r="T32" s="351">
        <f t="shared" si="7"/>
        <v>4666</v>
      </c>
      <c r="U32" s="350">
        <f>4575-233-4342+5347-1608-95-536-617+2175</f>
        <v>4666</v>
      </c>
      <c r="V32" s="350">
        <v>0</v>
      </c>
      <c r="W32" s="350">
        <v>0</v>
      </c>
      <c r="X32" s="350">
        <v>0</v>
      </c>
      <c r="Y32" s="351">
        <f t="shared" si="8"/>
        <v>5509</v>
      </c>
      <c r="Z32" s="350">
        <f>4176+166-1768+2935</f>
        <v>5509</v>
      </c>
      <c r="AA32" s="350">
        <v>0</v>
      </c>
      <c r="AB32" s="350">
        <v>0</v>
      </c>
      <c r="AC32" s="350">
        <v>0</v>
      </c>
      <c r="AD32" s="351">
        <f t="shared" si="9"/>
        <v>23545</v>
      </c>
      <c r="AE32" s="46"/>
      <c r="AF32" s="46"/>
      <c r="AG32" s="46"/>
      <c r="AH32" s="46"/>
    </row>
    <row r="33" spans="1:34" ht="117.75" customHeight="1" outlineLevel="1" x14ac:dyDescent="0.2">
      <c r="A33" s="347" t="s">
        <v>466</v>
      </c>
      <c r="B33" s="335" t="s">
        <v>438</v>
      </c>
      <c r="C33" s="348" t="s">
        <v>51</v>
      </c>
      <c r="D33" s="335" t="s">
        <v>517</v>
      </c>
      <c r="E33" s="351">
        <f>SUM(F33:I33)</f>
        <v>0</v>
      </c>
      <c r="F33" s="350">
        <v>0</v>
      </c>
      <c r="G33" s="350">
        <v>0</v>
      </c>
      <c r="H33" s="350">
        <v>0</v>
      </c>
      <c r="I33" s="350">
        <v>0</v>
      </c>
      <c r="J33" s="351">
        <f>SUM(K33:N33)</f>
        <v>716</v>
      </c>
      <c r="K33" s="350">
        <f>1557-841</f>
        <v>716</v>
      </c>
      <c r="L33" s="350">
        <v>0</v>
      </c>
      <c r="M33" s="350">
        <v>0</v>
      </c>
      <c r="N33" s="350">
        <v>0</v>
      </c>
      <c r="O33" s="351">
        <f t="shared" si="6"/>
        <v>1049</v>
      </c>
      <c r="P33" s="350">
        <f>117+684-117-486+518+687+161+23+130-668</f>
        <v>1049</v>
      </c>
      <c r="Q33" s="350">
        <v>0</v>
      </c>
      <c r="R33" s="350">
        <v>0</v>
      </c>
      <c r="S33" s="350">
        <v>0</v>
      </c>
      <c r="T33" s="351">
        <f t="shared" si="7"/>
        <v>5020</v>
      </c>
      <c r="U33" s="350">
        <f>716-113+4656-408+221-52</f>
        <v>5020</v>
      </c>
      <c r="V33" s="350">
        <v>0</v>
      </c>
      <c r="W33" s="350">
        <v>0</v>
      </c>
      <c r="X33" s="350">
        <v>0</v>
      </c>
      <c r="Y33" s="351">
        <f t="shared" si="8"/>
        <v>0</v>
      </c>
      <c r="Z33" s="350">
        <v>0</v>
      </c>
      <c r="AA33" s="350">
        <v>0</v>
      </c>
      <c r="AB33" s="350">
        <v>0</v>
      </c>
      <c r="AC33" s="350">
        <v>0</v>
      </c>
      <c r="AD33" s="351">
        <f t="shared" si="9"/>
        <v>6785</v>
      </c>
      <c r="AE33" s="46"/>
      <c r="AF33" s="46"/>
      <c r="AG33" s="46"/>
      <c r="AH33" s="46"/>
    </row>
    <row r="34" spans="1:34" ht="225" customHeight="1" outlineLevel="1" x14ac:dyDescent="0.2">
      <c r="A34" s="347" t="s">
        <v>467</v>
      </c>
      <c r="B34" s="335" t="s">
        <v>633</v>
      </c>
      <c r="C34" s="348" t="s">
        <v>650</v>
      </c>
      <c r="D34" s="335" t="s">
        <v>517</v>
      </c>
      <c r="E34" s="351">
        <f>F34+G34+H34+I34</f>
        <v>0</v>
      </c>
      <c r="F34" s="350">
        <v>0</v>
      </c>
      <c r="G34" s="350">
        <v>0</v>
      </c>
      <c r="H34" s="350">
        <v>0</v>
      </c>
      <c r="I34" s="350">
        <v>0</v>
      </c>
      <c r="J34" s="351">
        <f>K34+L34+M34+N34</f>
        <v>314</v>
      </c>
      <c r="K34" s="350">
        <v>314</v>
      </c>
      <c r="L34" s="350">
        <v>0</v>
      </c>
      <c r="M34" s="350">
        <v>0</v>
      </c>
      <c r="N34" s="350">
        <v>0</v>
      </c>
      <c r="O34" s="351">
        <f t="shared" si="6"/>
        <v>314</v>
      </c>
      <c r="P34" s="350">
        <v>314</v>
      </c>
      <c r="Q34" s="350">
        <v>0</v>
      </c>
      <c r="R34" s="350">
        <v>0</v>
      </c>
      <c r="S34" s="350">
        <v>0</v>
      </c>
      <c r="T34" s="351">
        <f>SUM(U34:X34)</f>
        <v>3317</v>
      </c>
      <c r="U34" s="350">
        <f>458+2386+1183-458-126-126</f>
        <v>3317</v>
      </c>
      <c r="V34" s="350">
        <v>0</v>
      </c>
      <c r="W34" s="350">
        <v>0</v>
      </c>
      <c r="X34" s="350">
        <v>0</v>
      </c>
      <c r="Y34" s="351">
        <f>SUM(Z34:AC34)</f>
        <v>0</v>
      </c>
      <c r="Z34" s="350">
        <v>0</v>
      </c>
      <c r="AA34" s="350">
        <v>0</v>
      </c>
      <c r="AB34" s="350">
        <v>0</v>
      </c>
      <c r="AC34" s="350">
        <v>0</v>
      </c>
      <c r="AD34" s="351">
        <f t="shared" si="9"/>
        <v>3945</v>
      </c>
      <c r="AE34" s="46"/>
      <c r="AF34" s="46"/>
      <c r="AG34" s="46"/>
      <c r="AH34" s="46"/>
    </row>
    <row r="35" spans="1:34" ht="112.9" customHeight="1" outlineLevel="1" x14ac:dyDescent="0.2">
      <c r="A35" s="347" t="s">
        <v>468</v>
      </c>
      <c r="B35" s="335" t="s">
        <v>409</v>
      </c>
      <c r="C35" s="348" t="s">
        <v>51</v>
      </c>
      <c r="D35" s="335" t="s">
        <v>652</v>
      </c>
      <c r="E35" s="351">
        <f>SUM(F35:I35)</f>
        <v>0</v>
      </c>
      <c r="F35" s="350">
        <v>0</v>
      </c>
      <c r="G35" s="350">
        <v>0</v>
      </c>
      <c r="H35" s="350">
        <v>0</v>
      </c>
      <c r="I35" s="350">
        <v>0</v>
      </c>
      <c r="J35" s="351">
        <f>K35+L35+M35+N35</f>
        <v>2279</v>
      </c>
      <c r="K35" s="350">
        <v>2279</v>
      </c>
      <c r="L35" s="350">
        <v>0</v>
      </c>
      <c r="M35" s="350">
        <v>0</v>
      </c>
      <c r="N35" s="350">
        <v>0</v>
      </c>
      <c r="O35" s="351">
        <f>SUM(P35:S35)</f>
        <v>0</v>
      </c>
      <c r="P35" s="350">
        <v>0</v>
      </c>
      <c r="Q35" s="350">
        <v>0</v>
      </c>
      <c r="R35" s="350">
        <v>0</v>
      </c>
      <c r="S35" s="350">
        <v>0</v>
      </c>
      <c r="T35" s="351">
        <f>SUM(U35:X35)</f>
        <v>245</v>
      </c>
      <c r="U35" s="350">
        <f>456-209-2</f>
        <v>245</v>
      </c>
      <c r="V35" s="350">
        <v>0</v>
      </c>
      <c r="W35" s="350">
        <v>0</v>
      </c>
      <c r="X35" s="350">
        <v>0</v>
      </c>
      <c r="Y35" s="351">
        <f>SUM(Z35:AC35)</f>
        <v>0</v>
      </c>
      <c r="Z35" s="350">
        <v>0</v>
      </c>
      <c r="AA35" s="350">
        <v>0</v>
      </c>
      <c r="AB35" s="350">
        <v>0</v>
      </c>
      <c r="AC35" s="350">
        <v>0</v>
      </c>
      <c r="AD35" s="351">
        <f t="shared" si="9"/>
        <v>2524</v>
      </c>
      <c r="AE35" s="46"/>
      <c r="AF35" s="46"/>
      <c r="AG35" s="46"/>
      <c r="AH35" s="46"/>
    </row>
    <row r="36" spans="1:34" ht="112.9" customHeight="1" outlineLevel="1" x14ac:dyDescent="0.2">
      <c r="A36" s="347" t="s">
        <v>469</v>
      </c>
      <c r="B36" s="335" t="s">
        <v>413</v>
      </c>
      <c r="C36" s="348" t="s">
        <v>51</v>
      </c>
      <c r="D36" s="335" t="s">
        <v>143</v>
      </c>
      <c r="E36" s="351">
        <f>SUM(F36:I36)</f>
        <v>0</v>
      </c>
      <c r="F36" s="350">
        <v>0</v>
      </c>
      <c r="G36" s="350">
        <v>0</v>
      </c>
      <c r="H36" s="350">
        <v>0</v>
      </c>
      <c r="I36" s="350">
        <v>0</v>
      </c>
      <c r="J36" s="351">
        <f>K36+L36+M36+N36</f>
        <v>6496</v>
      </c>
      <c r="K36" s="350">
        <v>6496</v>
      </c>
      <c r="L36" s="350">
        <v>0</v>
      </c>
      <c r="M36" s="350">
        <v>0</v>
      </c>
      <c r="N36" s="350">
        <v>0</v>
      </c>
      <c r="O36" s="351">
        <f>SUM(P36:S36)</f>
        <v>4570</v>
      </c>
      <c r="P36" s="350">
        <f>3914+214+442</f>
        <v>4570</v>
      </c>
      <c r="Q36" s="350">
        <v>0</v>
      </c>
      <c r="R36" s="350">
        <v>0</v>
      </c>
      <c r="S36" s="350">
        <v>0</v>
      </c>
      <c r="T36" s="351">
        <f>SUM(U36:X36)</f>
        <v>3164</v>
      </c>
      <c r="U36" s="350">
        <f>1403+1255+539-227+227-33</f>
        <v>3164</v>
      </c>
      <c r="V36" s="350">
        <v>0</v>
      </c>
      <c r="W36" s="350">
        <v>0</v>
      </c>
      <c r="X36" s="350">
        <v>0</v>
      </c>
      <c r="Y36" s="351">
        <f>SUM(Z36:AC36)</f>
        <v>1812</v>
      </c>
      <c r="Z36" s="350">
        <v>1812</v>
      </c>
      <c r="AA36" s="350">
        <v>0</v>
      </c>
      <c r="AB36" s="350">
        <v>0</v>
      </c>
      <c r="AC36" s="350">
        <v>0</v>
      </c>
      <c r="AD36" s="351">
        <f>E36+J36+O36+T36+Y36</f>
        <v>16042</v>
      </c>
      <c r="AE36" s="46"/>
      <c r="AF36" s="46"/>
      <c r="AG36" s="46"/>
      <c r="AH36" s="46"/>
    </row>
    <row r="37" spans="1:34" ht="46.9" customHeight="1" outlineLevel="1" x14ac:dyDescent="0.2">
      <c r="A37" s="280" t="s">
        <v>16</v>
      </c>
      <c r="B37" s="462" t="s">
        <v>447</v>
      </c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6"/>
      <c r="AE37" s="46"/>
      <c r="AF37" s="46"/>
      <c r="AG37" s="46"/>
      <c r="AH37" s="46"/>
    </row>
    <row r="38" spans="1:34" ht="94.9" customHeight="1" outlineLevel="1" x14ac:dyDescent="0.2">
      <c r="A38" s="354" t="s">
        <v>133</v>
      </c>
      <c r="B38" s="353" t="s">
        <v>52</v>
      </c>
      <c r="C38" s="352" t="s">
        <v>629</v>
      </c>
      <c r="D38" s="284" t="s">
        <v>48</v>
      </c>
      <c r="E38" s="290">
        <f>F38+G38+H38+I38</f>
        <v>27036</v>
      </c>
      <c r="F38" s="350">
        <v>27036</v>
      </c>
      <c r="G38" s="350">
        <v>0</v>
      </c>
      <c r="H38" s="350">
        <v>0</v>
      </c>
      <c r="I38" s="350">
        <v>0</v>
      </c>
      <c r="J38" s="351">
        <f>K38+L38+M38+N38</f>
        <v>35037</v>
      </c>
      <c r="K38" s="350">
        <f>34053+19+526+786-411-184+388-1-139</f>
        <v>35037</v>
      </c>
      <c r="L38" s="350">
        <v>0</v>
      </c>
      <c r="M38" s="350">
        <v>0</v>
      </c>
      <c r="N38" s="350">
        <v>0</v>
      </c>
      <c r="O38" s="351">
        <f>SUM(P38:S38)</f>
        <v>44468</v>
      </c>
      <c r="P38" s="350">
        <f>32839+12411+642-2-121+130-1431</f>
        <v>44468</v>
      </c>
      <c r="Q38" s="350">
        <v>0</v>
      </c>
      <c r="R38" s="350">
        <v>0</v>
      </c>
      <c r="S38" s="350">
        <v>0</v>
      </c>
      <c r="T38" s="351">
        <f>SUM(U38:X38)</f>
        <v>71296</v>
      </c>
      <c r="U38" s="350">
        <f>32839+12529+4342+22211+3858+17024-16499-607-170+379+462-5212-571+711</f>
        <v>71296</v>
      </c>
      <c r="V38" s="350">
        <v>0</v>
      </c>
      <c r="W38" s="350">
        <v>0</v>
      </c>
      <c r="X38" s="350">
        <v>0</v>
      </c>
      <c r="Y38" s="351">
        <f>SUM(Z38:AC38)</f>
        <v>67023</v>
      </c>
      <c r="Z38" s="350">
        <f>26539+300+18529+1768+18371+1516</f>
        <v>67023</v>
      </c>
      <c r="AA38" s="350">
        <v>0</v>
      </c>
      <c r="AB38" s="350">
        <v>0</v>
      </c>
      <c r="AC38" s="350">
        <v>0</v>
      </c>
      <c r="AD38" s="351">
        <f>E38+J38+O38+T38+Y38</f>
        <v>244860</v>
      </c>
      <c r="AE38" s="46"/>
      <c r="AF38" s="46"/>
      <c r="AG38" s="46"/>
      <c r="AH38" s="46"/>
    </row>
    <row r="39" spans="1:34" ht="94.9" customHeight="1" outlineLevel="1" x14ac:dyDescent="0.2">
      <c r="A39" s="291" t="s">
        <v>1378</v>
      </c>
      <c r="B39" s="462" t="s">
        <v>1392</v>
      </c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6"/>
      <c r="AE39" s="46"/>
      <c r="AF39" s="46"/>
      <c r="AG39" s="46"/>
      <c r="AH39" s="46"/>
    </row>
    <row r="40" spans="1:34" ht="140.25" customHeight="1" outlineLevel="1" x14ac:dyDescent="0.2">
      <c r="A40" s="336" t="s">
        <v>1379</v>
      </c>
      <c r="B40" s="335" t="s">
        <v>1387</v>
      </c>
      <c r="C40" s="348" t="s">
        <v>1385</v>
      </c>
      <c r="D40" s="292" t="s">
        <v>574</v>
      </c>
      <c r="E40" s="350" t="s">
        <v>103</v>
      </c>
      <c r="F40" s="350" t="s">
        <v>103</v>
      </c>
      <c r="G40" s="350" t="s">
        <v>103</v>
      </c>
      <c r="H40" s="350" t="s">
        <v>103</v>
      </c>
      <c r="I40" s="350" t="s">
        <v>103</v>
      </c>
      <c r="J40" s="350" t="s">
        <v>103</v>
      </c>
      <c r="K40" s="350" t="s">
        <v>103</v>
      </c>
      <c r="L40" s="350" t="s">
        <v>103</v>
      </c>
      <c r="M40" s="350" t="s">
        <v>103</v>
      </c>
      <c r="N40" s="350" t="s">
        <v>103</v>
      </c>
      <c r="O40" s="350" t="s">
        <v>103</v>
      </c>
      <c r="P40" s="350" t="s">
        <v>103</v>
      </c>
      <c r="Q40" s="350" t="s">
        <v>103</v>
      </c>
      <c r="R40" s="350" t="s">
        <v>103</v>
      </c>
      <c r="S40" s="350" t="s">
        <v>103</v>
      </c>
      <c r="T40" s="351">
        <v>0</v>
      </c>
      <c r="U40" s="350">
        <v>0</v>
      </c>
      <c r="V40" s="350">
        <v>0</v>
      </c>
      <c r="W40" s="350">
        <v>0</v>
      </c>
      <c r="X40" s="350">
        <v>0</v>
      </c>
      <c r="Y40" s="351">
        <v>0</v>
      </c>
      <c r="Z40" s="350">
        <v>0</v>
      </c>
      <c r="AA40" s="350">
        <v>0</v>
      </c>
      <c r="AB40" s="350">
        <v>0</v>
      </c>
      <c r="AC40" s="350">
        <v>0</v>
      </c>
      <c r="AD40" s="351">
        <v>0</v>
      </c>
      <c r="AE40" s="46"/>
      <c r="AF40" s="46"/>
      <c r="AG40" s="46"/>
      <c r="AH40" s="46"/>
    </row>
    <row r="41" spans="1:34" ht="262.5" customHeight="1" outlineLevel="1" x14ac:dyDescent="0.2">
      <c r="A41" s="336" t="s">
        <v>1380</v>
      </c>
      <c r="B41" s="335" t="s">
        <v>1418</v>
      </c>
      <c r="C41" s="348" t="s">
        <v>1385</v>
      </c>
      <c r="D41" s="292" t="s">
        <v>574</v>
      </c>
      <c r="E41" s="350" t="s">
        <v>103</v>
      </c>
      <c r="F41" s="350" t="s">
        <v>103</v>
      </c>
      <c r="G41" s="350" t="s">
        <v>103</v>
      </c>
      <c r="H41" s="350" t="s">
        <v>103</v>
      </c>
      <c r="I41" s="350" t="s">
        <v>103</v>
      </c>
      <c r="J41" s="350" t="s">
        <v>103</v>
      </c>
      <c r="K41" s="350" t="s">
        <v>103</v>
      </c>
      <c r="L41" s="350" t="s">
        <v>103</v>
      </c>
      <c r="M41" s="350" t="s">
        <v>103</v>
      </c>
      <c r="N41" s="350" t="s">
        <v>103</v>
      </c>
      <c r="O41" s="350" t="s">
        <v>103</v>
      </c>
      <c r="P41" s="350" t="s">
        <v>103</v>
      </c>
      <c r="Q41" s="350" t="s">
        <v>103</v>
      </c>
      <c r="R41" s="350" t="s">
        <v>103</v>
      </c>
      <c r="S41" s="350" t="s">
        <v>103</v>
      </c>
      <c r="T41" s="351">
        <v>0</v>
      </c>
      <c r="U41" s="350">
        <v>0</v>
      </c>
      <c r="V41" s="350">
        <v>0</v>
      </c>
      <c r="W41" s="350">
        <v>0</v>
      </c>
      <c r="X41" s="350">
        <v>0</v>
      </c>
      <c r="Y41" s="351">
        <v>0</v>
      </c>
      <c r="Z41" s="350">
        <v>0</v>
      </c>
      <c r="AA41" s="350">
        <v>0</v>
      </c>
      <c r="AB41" s="350">
        <v>0</v>
      </c>
      <c r="AC41" s="350">
        <v>0</v>
      </c>
      <c r="AD41" s="351">
        <v>0</v>
      </c>
      <c r="AE41" s="46"/>
      <c r="AF41" s="46"/>
      <c r="AG41" s="46"/>
      <c r="AH41" s="46"/>
    </row>
    <row r="42" spans="1:34" ht="135" customHeight="1" outlineLevel="1" x14ac:dyDescent="0.2">
      <c r="A42" s="336" t="s">
        <v>1381</v>
      </c>
      <c r="B42" s="335" t="s">
        <v>1386</v>
      </c>
      <c r="C42" s="348" t="s">
        <v>1385</v>
      </c>
      <c r="D42" s="292" t="s">
        <v>574</v>
      </c>
      <c r="E42" s="350" t="s">
        <v>103</v>
      </c>
      <c r="F42" s="350" t="s">
        <v>103</v>
      </c>
      <c r="G42" s="350" t="s">
        <v>103</v>
      </c>
      <c r="H42" s="350" t="s">
        <v>103</v>
      </c>
      <c r="I42" s="350" t="s">
        <v>103</v>
      </c>
      <c r="J42" s="350" t="s">
        <v>103</v>
      </c>
      <c r="K42" s="350" t="s">
        <v>103</v>
      </c>
      <c r="L42" s="350" t="s">
        <v>103</v>
      </c>
      <c r="M42" s="350" t="s">
        <v>103</v>
      </c>
      <c r="N42" s="350" t="s">
        <v>103</v>
      </c>
      <c r="O42" s="350" t="s">
        <v>103</v>
      </c>
      <c r="P42" s="350" t="s">
        <v>103</v>
      </c>
      <c r="Q42" s="350" t="s">
        <v>103</v>
      </c>
      <c r="R42" s="350" t="s">
        <v>103</v>
      </c>
      <c r="S42" s="350" t="s">
        <v>103</v>
      </c>
      <c r="T42" s="351">
        <v>0</v>
      </c>
      <c r="U42" s="350">
        <v>0</v>
      </c>
      <c r="V42" s="350">
        <v>0</v>
      </c>
      <c r="W42" s="350">
        <v>0</v>
      </c>
      <c r="X42" s="350">
        <v>0</v>
      </c>
      <c r="Y42" s="351">
        <v>0</v>
      </c>
      <c r="Z42" s="350">
        <v>0</v>
      </c>
      <c r="AA42" s="350">
        <v>0</v>
      </c>
      <c r="AB42" s="350">
        <v>0</v>
      </c>
      <c r="AC42" s="350">
        <v>0</v>
      </c>
      <c r="AD42" s="351">
        <v>0</v>
      </c>
      <c r="AE42" s="46"/>
      <c r="AF42" s="46"/>
      <c r="AG42" s="46"/>
      <c r="AH42" s="46"/>
    </row>
    <row r="43" spans="1:34" ht="120" customHeight="1" outlineLevel="1" x14ac:dyDescent="0.2">
      <c r="A43" s="336" t="s">
        <v>1382</v>
      </c>
      <c r="B43" s="335" t="s">
        <v>1391</v>
      </c>
      <c r="C43" s="348" t="s">
        <v>1385</v>
      </c>
      <c r="D43" s="292" t="s">
        <v>574</v>
      </c>
      <c r="E43" s="350" t="s">
        <v>103</v>
      </c>
      <c r="F43" s="350" t="s">
        <v>103</v>
      </c>
      <c r="G43" s="350" t="s">
        <v>103</v>
      </c>
      <c r="H43" s="350" t="s">
        <v>103</v>
      </c>
      <c r="I43" s="350" t="s">
        <v>103</v>
      </c>
      <c r="J43" s="350" t="s">
        <v>103</v>
      </c>
      <c r="K43" s="350" t="s">
        <v>103</v>
      </c>
      <c r="L43" s="350" t="s">
        <v>103</v>
      </c>
      <c r="M43" s="350" t="s">
        <v>103</v>
      </c>
      <c r="N43" s="350" t="s">
        <v>103</v>
      </c>
      <c r="O43" s="350" t="s">
        <v>103</v>
      </c>
      <c r="P43" s="350" t="s">
        <v>103</v>
      </c>
      <c r="Q43" s="350" t="s">
        <v>103</v>
      </c>
      <c r="R43" s="350" t="s">
        <v>103</v>
      </c>
      <c r="S43" s="350" t="s">
        <v>103</v>
      </c>
      <c r="T43" s="351">
        <v>0</v>
      </c>
      <c r="U43" s="350">
        <v>0</v>
      </c>
      <c r="V43" s="350">
        <v>0</v>
      </c>
      <c r="W43" s="350">
        <v>0</v>
      </c>
      <c r="X43" s="350">
        <v>0</v>
      </c>
      <c r="Y43" s="351">
        <v>0</v>
      </c>
      <c r="Z43" s="350">
        <v>0</v>
      </c>
      <c r="AA43" s="350">
        <v>0</v>
      </c>
      <c r="AB43" s="350">
        <v>0</v>
      </c>
      <c r="AC43" s="350">
        <v>0</v>
      </c>
      <c r="AD43" s="351">
        <v>0</v>
      </c>
      <c r="AE43" s="46"/>
      <c r="AF43" s="46"/>
      <c r="AG43" s="46"/>
      <c r="AH43" s="46"/>
    </row>
    <row r="44" spans="1:34" ht="94.9" customHeight="1" outlineLevel="1" x14ac:dyDescent="0.2">
      <c r="A44" s="336" t="s">
        <v>1383</v>
      </c>
      <c r="B44" s="348" t="s">
        <v>1396</v>
      </c>
      <c r="C44" s="348" t="s">
        <v>1385</v>
      </c>
      <c r="D44" s="292" t="s">
        <v>574</v>
      </c>
      <c r="E44" s="350" t="s">
        <v>103</v>
      </c>
      <c r="F44" s="350" t="s">
        <v>103</v>
      </c>
      <c r="G44" s="350" t="s">
        <v>103</v>
      </c>
      <c r="H44" s="350" t="s">
        <v>103</v>
      </c>
      <c r="I44" s="350" t="s">
        <v>103</v>
      </c>
      <c r="J44" s="350" t="s">
        <v>103</v>
      </c>
      <c r="K44" s="350" t="s">
        <v>103</v>
      </c>
      <c r="L44" s="350" t="s">
        <v>103</v>
      </c>
      <c r="M44" s="350" t="s">
        <v>103</v>
      </c>
      <c r="N44" s="350" t="s">
        <v>103</v>
      </c>
      <c r="O44" s="350" t="s">
        <v>103</v>
      </c>
      <c r="P44" s="350" t="s">
        <v>103</v>
      </c>
      <c r="Q44" s="350" t="s">
        <v>103</v>
      </c>
      <c r="R44" s="350" t="s">
        <v>103</v>
      </c>
      <c r="S44" s="350" t="s">
        <v>103</v>
      </c>
      <c r="T44" s="351">
        <v>0</v>
      </c>
      <c r="U44" s="350">
        <v>0</v>
      </c>
      <c r="V44" s="350">
        <v>0</v>
      </c>
      <c r="W44" s="350">
        <v>0</v>
      </c>
      <c r="X44" s="350">
        <v>0</v>
      </c>
      <c r="Y44" s="351">
        <v>0</v>
      </c>
      <c r="Z44" s="350">
        <v>0</v>
      </c>
      <c r="AA44" s="350">
        <v>0</v>
      </c>
      <c r="AB44" s="350">
        <v>0</v>
      </c>
      <c r="AC44" s="350">
        <v>0</v>
      </c>
      <c r="AD44" s="351">
        <v>0</v>
      </c>
      <c r="AE44" s="46"/>
      <c r="AF44" s="46"/>
      <c r="AG44" s="46"/>
      <c r="AH44" s="46"/>
    </row>
    <row r="45" spans="1:34" ht="94.9" customHeight="1" outlineLevel="1" x14ac:dyDescent="0.2">
      <c r="A45" s="336" t="s">
        <v>1384</v>
      </c>
      <c r="B45" s="348" t="s">
        <v>1398</v>
      </c>
      <c r="C45" s="348" t="s">
        <v>1385</v>
      </c>
      <c r="D45" s="292" t="s">
        <v>574</v>
      </c>
      <c r="E45" s="350" t="s">
        <v>103</v>
      </c>
      <c r="F45" s="350" t="s">
        <v>103</v>
      </c>
      <c r="G45" s="350" t="s">
        <v>103</v>
      </c>
      <c r="H45" s="350" t="s">
        <v>103</v>
      </c>
      <c r="I45" s="350" t="s">
        <v>103</v>
      </c>
      <c r="J45" s="350" t="s">
        <v>103</v>
      </c>
      <c r="K45" s="350" t="s">
        <v>103</v>
      </c>
      <c r="L45" s="350" t="s">
        <v>103</v>
      </c>
      <c r="M45" s="350" t="s">
        <v>103</v>
      </c>
      <c r="N45" s="350" t="s">
        <v>103</v>
      </c>
      <c r="O45" s="350" t="s">
        <v>103</v>
      </c>
      <c r="P45" s="350" t="s">
        <v>103</v>
      </c>
      <c r="Q45" s="350" t="s">
        <v>103</v>
      </c>
      <c r="R45" s="350" t="s">
        <v>103</v>
      </c>
      <c r="S45" s="350" t="s">
        <v>103</v>
      </c>
      <c r="T45" s="351">
        <v>0</v>
      </c>
      <c r="U45" s="350">
        <v>0</v>
      </c>
      <c r="V45" s="350">
        <v>0</v>
      </c>
      <c r="W45" s="350">
        <v>0</v>
      </c>
      <c r="X45" s="350">
        <v>0</v>
      </c>
      <c r="Y45" s="351">
        <v>0</v>
      </c>
      <c r="Z45" s="350">
        <v>0</v>
      </c>
      <c r="AA45" s="350">
        <v>0</v>
      </c>
      <c r="AB45" s="350">
        <v>0</v>
      </c>
      <c r="AC45" s="350">
        <v>0</v>
      </c>
      <c r="AD45" s="351">
        <v>0</v>
      </c>
      <c r="AE45" s="46"/>
      <c r="AF45" s="46"/>
      <c r="AG45" s="46"/>
      <c r="AH45" s="46"/>
    </row>
    <row r="46" spans="1:34" ht="125.25" customHeight="1" outlineLevel="1" x14ac:dyDescent="0.2">
      <c r="A46" s="336" t="s">
        <v>1400</v>
      </c>
      <c r="B46" s="348" t="s">
        <v>1404</v>
      </c>
      <c r="C46" s="352" t="s">
        <v>1419</v>
      </c>
      <c r="D46" s="292" t="s">
        <v>574</v>
      </c>
      <c r="E46" s="350" t="s">
        <v>103</v>
      </c>
      <c r="F46" s="350" t="s">
        <v>103</v>
      </c>
      <c r="G46" s="350" t="s">
        <v>103</v>
      </c>
      <c r="H46" s="350" t="s">
        <v>103</v>
      </c>
      <c r="I46" s="350" t="s">
        <v>103</v>
      </c>
      <c r="J46" s="350" t="s">
        <v>103</v>
      </c>
      <c r="K46" s="350" t="s">
        <v>103</v>
      </c>
      <c r="L46" s="350" t="s">
        <v>103</v>
      </c>
      <c r="M46" s="350" t="s">
        <v>103</v>
      </c>
      <c r="N46" s="350" t="s">
        <v>103</v>
      </c>
      <c r="O46" s="350" t="s">
        <v>103</v>
      </c>
      <c r="P46" s="350" t="s">
        <v>103</v>
      </c>
      <c r="Q46" s="350" t="s">
        <v>103</v>
      </c>
      <c r="R46" s="350" t="s">
        <v>103</v>
      </c>
      <c r="S46" s="350" t="s">
        <v>103</v>
      </c>
      <c r="T46" s="351">
        <v>0</v>
      </c>
      <c r="U46" s="350">
        <v>0</v>
      </c>
      <c r="V46" s="350">
        <v>0</v>
      </c>
      <c r="W46" s="350">
        <v>0</v>
      </c>
      <c r="X46" s="350">
        <v>0</v>
      </c>
      <c r="Y46" s="351">
        <v>0</v>
      </c>
      <c r="Z46" s="350">
        <v>0</v>
      </c>
      <c r="AA46" s="350">
        <v>0</v>
      </c>
      <c r="AB46" s="350">
        <v>0</v>
      </c>
      <c r="AC46" s="350">
        <v>0</v>
      </c>
      <c r="AD46" s="351">
        <v>0</v>
      </c>
      <c r="AE46" s="46"/>
      <c r="AF46" s="46"/>
      <c r="AG46" s="46"/>
      <c r="AH46" s="46"/>
    </row>
    <row r="47" spans="1:34" ht="94.9" customHeight="1" outlineLevel="1" x14ac:dyDescent="0.2">
      <c r="A47" s="336" t="s">
        <v>1401</v>
      </c>
      <c r="B47" s="348" t="s">
        <v>1415</v>
      </c>
      <c r="C47" s="348" t="s">
        <v>1402</v>
      </c>
      <c r="D47" s="292" t="s">
        <v>574</v>
      </c>
      <c r="E47" s="350" t="s">
        <v>103</v>
      </c>
      <c r="F47" s="350" t="s">
        <v>103</v>
      </c>
      <c r="G47" s="350" t="s">
        <v>103</v>
      </c>
      <c r="H47" s="350" t="s">
        <v>103</v>
      </c>
      <c r="I47" s="350" t="s">
        <v>103</v>
      </c>
      <c r="J47" s="350" t="s">
        <v>103</v>
      </c>
      <c r="K47" s="350" t="s">
        <v>103</v>
      </c>
      <c r="L47" s="350" t="s">
        <v>103</v>
      </c>
      <c r="M47" s="350" t="s">
        <v>103</v>
      </c>
      <c r="N47" s="350" t="s">
        <v>103</v>
      </c>
      <c r="O47" s="350" t="s">
        <v>103</v>
      </c>
      <c r="P47" s="350" t="s">
        <v>103</v>
      </c>
      <c r="Q47" s="350" t="s">
        <v>103</v>
      </c>
      <c r="R47" s="350" t="s">
        <v>103</v>
      </c>
      <c r="S47" s="350" t="s">
        <v>103</v>
      </c>
      <c r="T47" s="351">
        <v>0</v>
      </c>
      <c r="U47" s="350">
        <v>0</v>
      </c>
      <c r="V47" s="350">
        <v>0</v>
      </c>
      <c r="W47" s="350">
        <v>0</v>
      </c>
      <c r="X47" s="350">
        <v>0</v>
      </c>
      <c r="Y47" s="351">
        <v>0</v>
      </c>
      <c r="Z47" s="350">
        <v>0</v>
      </c>
      <c r="AA47" s="350">
        <v>0</v>
      </c>
      <c r="AB47" s="350">
        <v>0</v>
      </c>
      <c r="AC47" s="350">
        <v>0</v>
      </c>
      <c r="AD47" s="351">
        <v>0</v>
      </c>
      <c r="AE47" s="46"/>
      <c r="AF47" s="46"/>
      <c r="AG47" s="46"/>
      <c r="AH47" s="46"/>
    </row>
    <row r="48" spans="1:34" ht="50.25" customHeight="1" outlineLevel="1" x14ac:dyDescent="0.2">
      <c r="A48" s="489" t="s">
        <v>579</v>
      </c>
      <c r="B48" s="490"/>
      <c r="C48" s="491"/>
      <c r="D48" s="284"/>
      <c r="E48" s="290">
        <f>F48+G48+H48+I48</f>
        <v>173012</v>
      </c>
      <c r="F48" s="350">
        <f>SUM(F13:F38)</f>
        <v>173012</v>
      </c>
      <c r="G48" s="350">
        <f>SUM(G13:G38)</f>
        <v>0</v>
      </c>
      <c r="H48" s="350">
        <f>SUM(H13:H38)</f>
        <v>0</v>
      </c>
      <c r="I48" s="350">
        <f>SUM(I13:I38)</f>
        <v>0</v>
      </c>
      <c r="J48" s="351">
        <f>K48+L48+M48+N48</f>
        <v>103854</v>
      </c>
      <c r="K48" s="350">
        <f>SUM(K13:K38)</f>
        <v>103854</v>
      </c>
      <c r="L48" s="350">
        <f>SUM(L13:L38)</f>
        <v>0</v>
      </c>
      <c r="M48" s="350">
        <f>SUM(M13:M38)</f>
        <v>0</v>
      </c>
      <c r="N48" s="350">
        <f>SUM(N13:N38)</f>
        <v>0</v>
      </c>
      <c r="O48" s="351">
        <f>O50-O49</f>
        <v>126062</v>
      </c>
      <c r="P48" s="350">
        <f>P50-P49</f>
        <v>126062</v>
      </c>
      <c r="Q48" s="350">
        <f t="shared" ref="Q48:S48" si="10">Q50-Q49</f>
        <v>0</v>
      </c>
      <c r="R48" s="350">
        <f t="shared" si="10"/>
        <v>0</v>
      </c>
      <c r="S48" s="350">
        <f t="shared" si="10"/>
        <v>0</v>
      </c>
      <c r="T48" s="351">
        <f t="shared" ref="T48:T49" si="11">SUM(U48:X48)</f>
        <v>208932</v>
      </c>
      <c r="U48" s="350">
        <f>SUM(U13:U38)</f>
        <v>208932</v>
      </c>
      <c r="V48" s="350">
        <v>0</v>
      </c>
      <c r="W48" s="350">
        <v>0</v>
      </c>
      <c r="X48" s="350">
        <v>0</v>
      </c>
      <c r="Y48" s="351">
        <f>SUM(Z48:AC48)</f>
        <v>154699</v>
      </c>
      <c r="Z48" s="350">
        <f>SUM(Z13:Z38)</f>
        <v>154699</v>
      </c>
      <c r="AA48" s="350">
        <v>0</v>
      </c>
      <c r="AB48" s="350">
        <v>0</v>
      </c>
      <c r="AC48" s="350">
        <v>0</v>
      </c>
      <c r="AD48" s="351">
        <f>E48+J48+O48+T48+Y48</f>
        <v>766559</v>
      </c>
      <c r="AE48" s="293">
        <f t="shared" ref="AE48:AE49" si="12">F48+K48+P48+U48+Z48</f>
        <v>766559</v>
      </c>
      <c r="AF48" s="293">
        <f t="shared" ref="AF48:AF49" si="13">G48+L48+Q48+V48+AA48</f>
        <v>0</v>
      </c>
      <c r="AG48" s="293">
        <f t="shared" ref="AG48:AG49" si="14">H48+M48+R48+W48+AB48</f>
        <v>0</v>
      </c>
      <c r="AH48" s="293">
        <f t="shared" ref="AH48:AH49" si="15">I48+N48+S48+X48+AC48</f>
        <v>0</v>
      </c>
    </row>
    <row r="49" spans="1:34" ht="39.75" customHeight="1" outlineLevel="1" x14ac:dyDescent="0.2">
      <c r="A49" s="413" t="s">
        <v>383</v>
      </c>
      <c r="B49" s="414"/>
      <c r="C49" s="492"/>
      <c r="D49" s="284"/>
      <c r="E49" s="294">
        <f>F49+G49+H49+I49</f>
        <v>0</v>
      </c>
      <c r="F49" s="350">
        <v>0</v>
      </c>
      <c r="G49" s="350">
        <v>0</v>
      </c>
      <c r="H49" s="350">
        <v>0</v>
      </c>
      <c r="I49" s="350">
        <v>0</v>
      </c>
      <c r="J49" s="351">
        <f>K49+L49+M49+N49</f>
        <v>0</v>
      </c>
      <c r="K49" s="350">
        <v>0</v>
      </c>
      <c r="L49" s="350">
        <v>0</v>
      </c>
      <c r="M49" s="350">
        <v>0</v>
      </c>
      <c r="N49" s="350">
        <v>0</v>
      </c>
      <c r="O49" s="351">
        <f t="shared" ref="O49" si="16">SUM(P49:S49)</f>
        <v>3417</v>
      </c>
      <c r="P49" s="350">
        <f>P18</f>
        <v>3417</v>
      </c>
      <c r="Q49" s="350">
        <v>0</v>
      </c>
      <c r="R49" s="350">
        <v>0</v>
      </c>
      <c r="S49" s="350">
        <v>0</v>
      </c>
      <c r="T49" s="351">
        <f t="shared" si="11"/>
        <v>0</v>
      </c>
      <c r="U49" s="350">
        <v>0</v>
      </c>
      <c r="V49" s="350">
        <v>0</v>
      </c>
      <c r="W49" s="350">
        <v>0</v>
      </c>
      <c r="X49" s="350">
        <v>0</v>
      </c>
      <c r="Y49" s="351">
        <f>SUM(Z49:AC49)</f>
        <v>0</v>
      </c>
      <c r="Z49" s="350">
        <v>0</v>
      </c>
      <c r="AA49" s="350">
        <v>0</v>
      </c>
      <c r="AB49" s="350">
        <v>0</v>
      </c>
      <c r="AC49" s="350">
        <v>0</v>
      </c>
      <c r="AD49" s="351">
        <f t="shared" ref="AD49" si="17">E49+J49+O49+T49+Y49</f>
        <v>3417</v>
      </c>
      <c r="AE49" s="293">
        <f t="shared" si="12"/>
        <v>3417</v>
      </c>
      <c r="AF49" s="293">
        <f t="shared" si="13"/>
        <v>0</v>
      </c>
      <c r="AG49" s="293">
        <f t="shared" si="14"/>
        <v>0</v>
      </c>
      <c r="AH49" s="293">
        <f t="shared" si="15"/>
        <v>0</v>
      </c>
    </row>
    <row r="50" spans="1:34" ht="61.5" customHeight="1" outlineLevel="1" x14ac:dyDescent="0.2">
      <c r="A50" s="452" t="s">
        <v>580</v>
      </c>
      <c r="B50" s="452"/>
      <c r="C50" s="452"/>
      <c r="D50" s="295"/>
      <c r="E50" s="351">
        <f t="shared" ref="E50:AD50" si="18">SUM(E13:E38)</f>
        <v>173012</v>
      </c>
      <c r="F50" s="351">
        <f t="shared" si="18"/>
        <v>173012</v>
      </c>
      <c r="G50" s="351">
        <f t="shared" si="18"/>
        <v>0</v>
      </c>
      <c r="H50" s="351">
        <f t="shared" si="18"/>
        <v>0</v>
      </c>
      <c r="I50" s="351">
        <f t="shared" si="18"/>
        <v>0</v>
      </c>
      <c r="J50" s="351">
        <f t="shared" si="18"/>
        <v>103854</v>
      </c>
      <c r="K50" s="351">
        <f t="shared" si="18"/>
        <v>103854</v>
      </c>
      <c r="L50" s="351">
        <f t="shared" si="18"/>
        <v>0</v>
      </c>
      <c r="M50" s="351">
        <f t="shared" si="18"/>
        <v>0</v>
      </c>
      <c r="N50" s="351">
        <f t="shared" si="18"/>
        <v>0</v>
      </c>
      <c r="O50" s="351">
        <f t="shared" si="18"/>
        <v>129479</v>
      </c>
      <c r="P50" s="351">
        <f t="shared" si="18"/>
        <v>129479</v>
      </c>
      <c r="Q50" s="351">
        <f t="shared" si="18"/>
        <v>0</v>
      </c>
      <c r="R50" s="351">
        <f t="shared" si="18"/>
        <v>0</v>
      </c>
      <c r="S50" s="351">
        <f t="shared" si="18"/>
        <v>0</v>
      </c>
      <c r="T50" s="351">
        <f t="shared" si="18"/>
        <v>208932</v>
      </c>
      <c r="U50" s="351">
        <f t="shared" si="18"/>
        <v>208932</v>
      </c>
      <c r="V50" s="351">
        <f t="shared" si="18"/>
        <v>0</v>
      </c>
      <c r="W50" s="351">
        <f t="shared" si="18"/>
        <v>0</v>
      </c>
      <c r="X50" s="351">
        <f t="shared" si="18"/>
        <v>0</v>
      </c>
      <c r="Y50" s="351">
        <f t="shared" si="18"/>
        <v>154699</v>
      </c>
      <c r="Z50" s="351">
        <f t="shared" si="18"/>
        <v>154699</v>
      </c>
      <c r="AA50" s="351">
        <f t="shared" si="18"/>
        <v>0</v>
      </c>
      <c r="AB50" s="351">
        <f t="shared" si="18"/>
        <v>0</v>
      </c>
      <c r="AC50" s="351">
        <f t="shared" si="18"/>
        <v>0</v>
      </c>
      <c r="AD50" s="351">
        <f t="shared" si="18"/>
        <v>769976</v>
      </c>
      <c r="AE50" s="293">
        <f>F50+K50+P50+U50+Z50</f>
        <v>769976</v>
      </c>
      <c r="AF50" s="293">
        <f>G50+L50+Q50+V50+AA50</f>
        <v>0</v>
      </c>
      <c r="AG50" s="293">
        <f>H50+M50+R50+W50+AB50</f>
        <v>0</v>
      </c>
      <c r="AH50" s="293">
        <f>I50+N50+S50+X50+AC50</f>
        <v>0</v>
      </c>
    </row>
    <row r="51" spans="1:34" s="8" customFormat="1" ht="55.15" customHeight="1" x14ac:dyDescent="0.2">
      <c r="A51" s="330" t="s">
        <v>450</v>
      </c>
      <c r="B51" s="464" t="s">
        <v>1118</v>
      </c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7"/>
      <c r="AE51" s="46"/>
      <c r="AF51" s="46"/>
      <c r="AG51" s="46"/>
      <c r="AH51" s="46"/>
    </row>
    <row r="52" spans="1:34" ht="42" customHeight="1" x14ac:dyDescent="0.2">
      <c r="A52" s="483" t="s">
        <v>199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6"/>
      <c r="AF52" s="46"/>
      <c r="AG52" s="46"/>
      <c r="AH52" s="46"/>
    </row>
    <row r="53" spans="1:34" s="28" customFormat="1" ht="43.15" customHeight="1" outlineLevel="1" x14ac:dyDescent="0.2">
      <c r="A53" s="488" t="s">
        <v>1106</v>
      </c>
      <c r="B53" s="488"/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488"/>
      <c r="AC53" s="488"/>
      <c r="AD53" s="488"/>
      <c r="AE53" s="46"/>
      <c r="AF53" s="46"/>
      <c r="AG53" s="46"/>
      <c r="AH53" s="46"/>
    </row>
    <row r="54" spans="1:34" s="28" customFormat="1" ht="54" customHeight="1" outlineLevel="1" x14ac:dyDescent="0.2">
      <c r="A54" s="330" t="s">
        <v>2</v>
      </c>
      <c r="B54" s="464" t="s">
        <v>1107</v>
      </c>
      <c r="C54" s="465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7"/>
      <c r="AE54" s="46"/>
      <c r="AF54" s="46"/>
      <c r="AG54" s="46"/>
      <c r="AH54" s="46"/>
    </row>
    <row r="55" spans="1:34" ht="290.25" customHeight="1" outlineLevel="1" x14ac:dyDescent="0.2">
      <c r="A55" s="347" t="s">
        <v>9</v>
      </c>
      <c r="B55" s="335" t="s">
        <v>631</v>
      </c>
      <c r="C55" s="348" t="s">
        <v>360</v>
      </c>
      <c r="D55" s="335" t="s">
        <v>48</v>
      </c>
      <c r="E55" s="351">
        <f t="shared" ref="E55:E64" si="19">F55+G55+H55+I55</f>
        <v>321465</v>
      </c>
      <c r="F55" s="296">
        <f>ROUND('2.переченьМРАД'!$I$33,0)</f>
        <v>12402</v>
      </c>
      <c r="G55" s="296">
        <f>ROUND('2.переченьМРАД'!$H$33,0)</f>
        <v>182270</v>
      </c>
      <c r="H55" s="296">
        <f>ROUND('2.переченьМРАД'!G33,0)</f>
        <v>126793</v>
      </c>
      <c r="I55" s="297">
        <v>0</v>
      </c>
      <c r="J55" s="351">
        <f>K55+L55+M55+N55</f>
        <v>8332</v>
      </c>
      <c r="K55" s="296">
        <f>'2.переченьМРАД'!$N$33</f>
        <v>8332</v>
      </c>
      <c r="L55" s="296">
        <f>'2.переченьМРАД'!$M$33</f>
        <v>0</v>
      </c>
      <c r="M55" s="296">
        <f>'2.переченьМРАД'!$L$33</f>
        <v>0</v>
      </c>
      <c r="N55" s="297">
        <v>0</v>
      </c>
      <c r="O55" s="351">
        <f>SUM(P55:S55)</f>
        <v>67626</v>
      </c>
      <c r="P55" s="296">
        <f>'2.переченьМРАД'!$S$33</f>
        <v>3465</v>
      </c>
      <c r="Q55" s="296">
        <f>'2.переченьМРАД'!$R$33</f>
        <v>64161</v>
      </c>
      <c r="R55" s="296">
        <v>0</v>
      </c>
      <c r="S55" s="297">
        <v>0</v>
      </c>
      <c r="T55" s="351">
        <f t="shared" ref="T55:T69" si="20">SUM(U55:X55)</f>
        <v>43044</v>
      </c>
      <c r="U55" s="350">
        <f>ROUND('2.переченьМРАД'!$X$33,0)</f>
        <v>2252</v>
      </c>
      <c r="V55" s="350">
        <f>ROUND('2.переченьМРАД'!$W$33,0)</f>
        <v>40792</v>
      </c>
      <c r="W55" s="350">
        <v>0</v>
      </c>
      <c r="X55" s="350">
        <v>0</v>
      </c>
      <c r="Y55" s="351">
        <f t="shared" ref="Y55:Y67" si="21">SUM(Z55:AC55)</f>
        <v>0</v>
      </c>
      <c r="Z55" s="350">
        <f>'2.переченьМРАД'!$AC$33</f>
        <v>0</v>
      </c>
      <c r="AA55" s="350">
        <f>'2.переченьМРАД'!$AB$33</f>
        <v>0</v>
      </c>
      <c r="AB55" s="350">
        <v>0</v>
      </c>
      <c r="AC55" s="350">
        <v>0</v>
      </c>
      <c r="AD55" s="351">
        <f>E55+J55+O55+T55+Y55</f>
        <v>440467</v>
      </c>
      <c r="AE55" s="46"/>
      <c r="AF55" s="46"/>
      <c r="AG55" s="46"/>
      <c r="AH55" s="46"/>
    </row>
    <row r="56" spans="1:34" ht="178.5" customHeight="1" outlineLevel="1" x14ac:dyDescent="0.2">
      <c r="A56" s="347" t="s">
        <v>41</v>
      </c>
      <c r="B56" s="335" t="s">
        <v>621</v>
      </c>
      <c r="C56" s="348" t="s">
        <v>360</v>
      </c>
      <c r="D56" s="335" t="s">
        <v>653</v>
      </c>
      <c r="E56" s="351">
        <f t="shared" si="19"/>
        <v>66560</v>
      </c>
      <c r="F56" s="296">
        <f>'2.переченьМРАД'!$I$43</f>
        <v>4500</v>
      </c>
      <c r="G56" s="296">
        <f>'2.переченьМРАД'!$H$43</f>
        <v>62060</v>
      </c>
      <c r="H56" s="296">
        <f>'2.переченьМРАД'!G34</f>
        <v>0</v>
      </c>
      <c r="I56" s="297">
        <v>0</v>
      </c>
      <c r="J56" s="351">
        <f>K56+L56+M56+N56</f>
        <v>2196</v>
      </c>
      <c r="K56" s="296">
        <f>'2.переченьМРАД'!$N$43</f>
        <v>2196</v>
      </c>
      <c r="L56" s="296">
        <f>'2.переченьМРАД'!$M$43</f>
        <v>0</v>
      </c>
      <c r="M56" s="296">
        <v>0</v>
      </c>
      <c r="N56" s="297">
        <v>0</v>
      </c>
      <c r="O56" s="351">
        <f t="shared" ref="O56:O69" si="22">SUM(P56:S56)</f>
        <v>336779</v>
      </c>
      <c r="P56" s="296">
        <f>'2.переченьМРАД'!$S$43</f>
        <v>28827</v>
      </c>
      <c r="Q56" s="296">
        <f>'2.переченьМРАД'!$R$43</f>
        <v>307952</v>
      </c>
      <c r="R56" s="296">
        <v>0</v>
      </c>
      <c r="S56" s="297">
        <v>0</v>
      </c>
      <c r="T56" s="351">
        <f t="shared" si="20"/>
        <v>1157</v>
      </c>
      <c r="U56" s="350">
        <f>ROUND('2.переченьМРАД'!$X$43,0)</f>
        <v>1157</v>
      </c>
      <c r="V56" s="350">
        <f>ROUND('2.переченьМРАД'!$W$43,0)</f>
        <v>0</v>
      </c>
      <c r="W56" s="350">
        <v>0</v>
      </c>
      <c r="X56" s="350">
        <v>0</v>
      </c>
      <c r="Y56" s="351">
        <f t="shared" si="21"/>
        <v>0</v>
      </c>
      <c r="Z56" s="350">
        <f>'2.переченьМРАД'!$AC$43</f>
        <v>0</v>
      </c>
      <c r="AA56" s="350">
        <f>'2.переченьМРАД'!$AB$43</f>
        <v>0</v>
      </c>
      <c r="AB56" s="350">
        <v>0</v>
      </c>
      <c r="AC56" s="350">
        <v>0</v>
      </c>
      <c r="AD56" s="351">
        <f t="shared" ref="AD56:AD66" si="23">E56+J56+O56+T56+Y56</f>
        <v>406692</v>
      </c>
      <c r="AE56" s="46"/>
      <c r="AF56" s="46"/>
      <c r="AG56" s="46"/>
      <c r="AH56" s="46"/>
    </row>
    <row r="57" spans="1:34" ht="120" customHeight="1" outlineLevel="1" x14ac:dyDescent="0.2">
      <c r="A57" s="471" t="s">
        <v>132</v>
      </c>
      <c r="B57" s="468" t="s">
        <v>398</v>
      </c>
      <c r="C57" s="472" t="s">
        <v>360</v>
      </c>
      <c r="D57" s="335" t="s">
        <v>48</v>
      </c>
      <c r="E57" s="351">
        <f t="shared" si="19"/>
        <v>44356</v>
      </c>
      <c r="F57" s="296">
        <f>'2.переченьМРАД'!$I$75</f>
        <v>28021</v>
      </c>
      <c r="G57" s="296">
        <f>'2.переченьМРАД'!$H$75</f>
        <v>16335</v>
      </c>
      <c r="H57" s="296">
        <f>'2.переченьМРАД'!G35</f>
        <v>0</v>
      </c>
      <c r="I57" s="297">
        <v>0</v>
      </c>
      <c r="J57" s="351">
        <f>K57+L57+M57+N57</f>
        <v>16962</v>
      </c>
      <c r="K57" s="296">
        <f>'2.переченьМРАД'!$N$75</f>
        <v>16962</v>
      </c>
      <c r="L57" s="296">
        <f>'2.переченьМРАД'!$M$75</f>
        <v>0</v>
      </c>
      <c r="M57" s="296">
        <v>0</v>
      </c>
      <c r="N57" s="297">
        <v>0</v>
      </c>
      <c r="O57" s="351">
        <f t="shared" si="22"/>
        <v>15511</v>
      </c>
      <c r="P57" s="296">
        <f>'2.переченьМРАД'!$S$75</f>
        <v>15511</v>
      </c>
      <c r="Q57" s="296">
        <f>'2.переченьМРАД'!$R$75</f>
        <v>0</v>
      </c>
      <c r="R57" s="296">
        <v>0</v>
      </c>
      <c r="S57" s="297">
        <v>0</v>
      </c>
      <c r="T57" s="351">
        <f t="shared" si="20"/>
        <v>36893</v>
      </c>
      <c r="U57" s="350">
        <f>'2.переченьМРАД'!$X$75</f>
        <v>36893</v>
      </c>
      <c r="V57" s="350">
        <f>'2.переченьМРАД'!$W$75</f>
        <v>0</v>
      </c>
      <c r="W57" s="350">
        <v>0</v>
      </c>
      <c r="X57" s="350">
        <v>0</v>
      </c>
      <c r="Y57" s="351">
        <f t="shared" si="21"/>
        <v>62682</v>
      </c>
      <c r="Z57" s="350">
        <f>'2.переченьМРАД'!$AC$75</f>
        <v>62682</v>
      </c>
      <c r="AA57" s="350">
        <f>'2.переченьМРАД'!$AB$75</f>
        <v>0</v>
      </c>
      <c r="AB57" s="350">
        <v>0</v>
      </c>
      <c r="AC57" s="350">
        <v>0</v>
      </c>
      <c r="AD57" s="351">
        <f>E57+J57+O57+T57+Y57</f>
        <v>176404</v>
      </c>
      <c r="AE57" s="46"/>
      <c r="AF57" s="46"/>
      <c r="AG57" s="46"/>
      <c r="AH57" s="46"/>
    </row>
    <row r="58" spans="1:34" ht="132.75" customHeight="1" outlineLevel="1" x14ac:dyDescent="0.2">
      <c r="A58" s="471"/>
      <c r="B58" s="469"/>
      <c r="C58" s="473"/>
      <c r="D58" s="335" t="s">
        <v>533</v>
      </c>
      <c r="E58" s="351">
        <f t="shared" si="19"/>
        <v>988</v>
      </c>
      <c r="F58" s="296">
        <v>988</v>
      </c>
      <c r="G58" s="296">
        <v>0</v>
      </c>
      <c r="H58" s="296">
        <v>0</v>
      </c>
      <c r="I58" s="297">
        <v>0</v>
      </c>
      <c r="J58" s="351">
        <f>K58+L58+M58+N58</f>
        <v>1584</v>
      </c>
      <c r="K58" s="296">
        <v>1584</v>
      </c>
      <c r="L58" s="296">
        <v>0</v>
      </c>
      <c r="M58" s="296">
        <v>0</v>
      </c>
      <c r="N58" s="297">
        <v>0</v>
      </c>
      <c r="O58" s="351">
        <f t="shared" si="22"/>
        <v>0</v>
      </c>
      <c r="P58" s="296">
        <v>0</v>
      </c>
      <c r="Q58" s="296">
        <f>'2.переченьМРАД'!$R$75</f>
        <v>0</v>
      </c>
      <c r="R58" s="296">
        <v>0</v>
      </c>
      <c r="S58" s="297">
        <v>0</v>
      </c>
      <c r="T58" s="351">
        <f t="shared" si="20"/>
        <v>0</v>
      </c>
      <c r="U58" s="350">
        <v>0</v>
      </c>
      <c r="V58" s="350">
        <f>'2.переченьМРАД'!$W$75</f>
        <v>0</v>
      </c>
      <c r="W58" s="350">
        <v>0</v>
      </c>
      <c r="X58" s="350">
        <v>0</v>
      </c>
      <c r="Y58" s="351">
        <f t="shared" si="21"/>
        <v>0</v>
      </c>
      <c r="Z58" s="350">
        <v>0</v>
      </c>
      <c r="AA58" s="350">
        <f>'2.переченьМРАД'!$AB$75</f>
        <v>0</v>
      </c>
      <c r="AB58" s="350">
        <v>0</v>
      </c>
      <c r="AC58" s="350">
        <v>0</v>
      </c>
      <c r="AD58" s="351">
        <f>E58+J58+O58+T58+Y58</f>
        <v>2572</v>
      </c>
      <c r="AE58" s="46"/>
      <c r="AF58" s="46"/>
      <c r="AG58" s="46"/>
      <c r="AH58" s="46"/>
    </row>
    <row r="59" spans="1:34" ht="175.5" customHeight="1" outlineLevel="1" x14ac:dyDescent="0.2">
      <c r="A59" s="471" t="s">
        <v>451</v>
      </c>
      <c r="B59" s="468" t="s">
        <v>622</v>
      </c>
      <c r="C59" s="479" t="s">
        <v>49</v>
      </c>
      <c r="D59" s="335" t="s">
        <v>48</v>
      </c>
      <c r="E59" s="351">
        <f>F59+G59+H59+I59</f>
        <v>64125</v>
      </c>
      <c r="F59" s="296">
        <f>SUM('2.переченьМРАД'!$I$102,0)</f>
        <v>4013</v>
      </c>
      <c r="G59" s="296">
        <f>SUM('2.переченьМРАД'!$H$102,0)</f>
        <v>60112</v>
      </c>
      <c r="H59" s="296">
        <v>0</v>
      </c>
      <c r="I59" s="297">
        <v>0</v>
      </c>
      <c r="J59" s="351">
        <f t="shared" ref="J59:J66" si="24">K59+L59+M59+N59</f>
        <v>241974</v>
      </c>
      <c r="K59" s="296">
        <f>ROUND('2.переченьМРАД'!$N$102,0)</f>
        <v>27315</v>
      </c>
      <c r="L59" s="296">
        <f>'2.переченьМРАД'!$M$102</f>
        <v>214659</v>
      </c>
      <c r="M59" s="296">
        <v>0</v>
      </c>
      <c r="N59" s="297">
        <v>0</v>
      </c>
      <c r="O59" s="351">
        <f t="shared" si="22"/>
        <v>190226</v>
      </c>
      <c r="P59" s="296">
        <f>'2.переченьМРАД'!$S$102</f>
        <v>15347</v>
      </c>
      <c r="Q59" s="296">
        <f>'2.переченьМРАД'!$R$102</f>
        <v>174879</v>
      </c>
      <c r="R59" s="296">
        <v>0</v>
      </c>
      <c r="S59" s="297">
        <v>0</v>
      </c>
      <c r="T59" s="351">
        <f>SUM(U59:X59)</f>
        <v>109804</v>
      </c>
      <c r="U59" s="350">
        <f>ROUND('2.переченьМРАД'!$X$102,0)</f>
        <v>6804</v>
      </c>
      <c r="V59" s="350">
        <f>'2.переченьМРАД'!$W$102</f>
        <v>103000</v>
      </c>
      <c r="W59" s="350">
        <v>0</v>
      </c>
      <c r="X59" s="350">
        <v>0</v>
      </c>
      <c r="Y59" s="351">
        <f t="shared" si="21"/>
        <v>0</v>
      </c>
      <c r="Z59" s="350">
        <f>'2.переченьМРАД'!$AC$102</f>
        <v>0</v>
      </c>
      <c r="AA59" s="350">
        <f>ROUND('2.переченьМРАД'!$AB$102,0)</f>
        <v>0</v>
      </c>
      <c r="AB59" s="350">
        <v>0</v>
      </c>
      <c r="AC59" s="350">
        <v>0</v>
      </c>
      <c r="AD59" s="351">
        <f>E59+J59+O59+T59+Y59</f>
        <v>606129</v>
      </c>
      <c r="AE59" s="46"/>
      <c r="AF59" s="46"/>
      <c r="AG59" s="46"/>
      <c r="AH59" s="46"/>
    </row>
    <row r="60" spans="1:34" ht="152.25" customHeight="1" outlineLevel="1" x14ac:dyDescent="0.2">
      <c r="A60" s="471"/>
      <c r="B60" s="469"/>
      <c r="C60" s="479"/>
      <c r="D60" s="335" t="s">
        <v>1373</v>
      </c>
      <c r="E60" s="351">
        <v>0</v>
      </c>
      <c r="F60" s="296">
        <v>0</v>
      </c>
      <c r="G60" s="296">
        <v>0</v>
      </c>
      <c r="H60" s="296">
        <v>0</v>
      </c>
      <c r="I60" s="297">
        <v>0</v>
      </c>
      <c r="J60" s="351">
        <v>0</v>
      </c>
      <c r="K60" s="296">
        <v>0</v>
      </c>
      <c r="L60" s="296">
        <v>0</v>
      </c>
      <c r="M60" s="296">
        <v>0</v>
      </c>
      <c r="N60" s="297">
        <v>0</v>
      </c>
      <c r="O60" s="351">
        <v>0</v>
      </c>
      <c r="P60" s="296">
        <v>0</v>
      </c>
      <c r="Q60" s="296">
        <v>0</v>
      </c>
      <c r="R60" s="296">
        <v>0</v>
      </c>
      <c r="S60" s="297">
        <v>0</v>
      </c>
      <c r="T60" s="351">
        <f>SUM(U60:X60)</f>
        <v>0</v>
      </c>
      <c r="U60" s="350">
        <f>10002-10002</f>
        <v>0</v>
      </c>
      <c r="V60" s="350">
        <v>0</v>
      </c>
      <c r="W60" s="350">
        <v>0</v>
      </c>
      <c r="X60" s="350">
        <v>0</v>
      </c>
      <c r="Y60" s="351">
        <f t="shared" si="21"/>
        <v>0</v>
      </c>
      <c r="Z60" s="350">
        <v>0</v>
      </c>
      <c r="AA60" s="350">
        <v>0</v>
      </c>
      <c r="AB60" s="350">
        <v>0</v>
      </c>
      <c r="AC60" s="350">
        <v>0</v>
      </c>
      <c r="AD60" s="351">
        <f>E60+J60+O60+T60+Y60</f>
        <v>0</v>
      </c>
      <c r="AE60" s="46"/>
      <c r="AF60" s="46"/>
      <c r="AG60" s="46"/>
      <c r="AH60" s="46"/>
    </row>
    <row r="61" spans="1:34" ht="117.75" customHeight="1" outlineLevel="1" x14ac:dyDescent="0.2">
      <c r="A61" s="471"/>
      <c r="B61" s="335" t="s">
        <v>363</v>
      </c>
      <c r="C61" s="479"/>
      <c r="D61" s="335" t="s">
        <v>574</v>
      </c>
      <c r="E61" s="351">
        <f t="shared" si="19"/>
        <v>0</v>
      </c>
      <c r="F61" s="296">
        <f>SUM('2.переченьМРАД'!I99:I101)</f>
        <v>0</v>
      </c>
      <c r="G61" s="296">
        <f>SUM('2.переченьМРАД'!H99:H101)</f>
        <v>0</v>
      </c>
      <c r="H61" s="296">
        <f>'2.переченьМРАД'!G102</f>
        <v>0</v>
      </c>
      <c r="I61" s="297">
        <v>0</v>
      </c>
      <c r="J61" s="351">
        <f t="shared" si="24"/>
        <v>0</v>
      </c>
      <c r="K61" s="296">
        <f>SUM('2.переченьМРАД'!N99:N101)</f>
        <v>0</v>
      </c>
      <c r="L61" s="296">
        <f>SUM('2.переченьМРАД'!M99:M101)</f>
        <v>0</v>
      </c>
      <c r="M61" s="296">
        <f>'2.переченьМРАД'!L102</f>
        <v>0</v>
      </c>
      <c r="N61" s="297">
        <v>0</v>
      </c>
      <c r="O61" s="351">
        <f t="shared" si="22"/>
        <v>0</v>
      </c>
      <c r="P61" s="296">
        <f>SUM('2.переченьМРАД'!S99:S101)</f>
        <v>0</v>
      </c>
      <c r="Q61" s="296">
        <f>SUM('2.переченьМРАД'!R99:R101)</f>
        <v>0</v>
      </c>
      <c r="R61" s="296">
        <f>'[1]3.переченьМРАД'!Q96</f>
        <v>0</v>
      </c>
      <c r="S61" s="297">
        <v>0</v>
      </c>
      <c r="T61" s="351">
        <f t="shared" si="20"/>
        <v>0</v>
      </c>
      <c r="U61" s="350">
        <f>SUM('2.переченьМРАД'!X99:X101)</f>
        <v>0</v>
      </c>
      <c r="V61" s="350">
        <f>SUM('2.переченьМРАД'!W99:W101)</f>
        <v>0</v>
      </c>
      <c r="W61" s="350">
        <f>'[1]3.переченьМРАД'!V96</f>
        <v>0</v>
      </c>
      <c r="X61" s="350">
        <v>0</v>
      </c>
      <c r="Y61" s="351">
        <f>SUM(Z61:AC61)</f>
        <v>0</v>
      </c>
      <c r="Z61" s="350">
        <f>SUM('2.переченьМРАД'!AC99:AC101)</f>
        <v>0</v>
      </c>
      <c r="AA61" s="350">
        <f>SUM('2.переченьМРАД'!AB99:AB101)</f>
        <v>0</v>
      </c>
      <c r="AB61" s="350">
        <f>'[1]3.переченьМРАД'!AA96</f>
        <v>0</v>
      </c>
      <c r="AC61" s="350">
        <v>0</v>
      </c>
      <c r="AD61" s="351">
        <f t="shared" si="23"/>
        <v>0</v>
      </c>
      <c r="AE61" s="46"/>
      <c r="AF61" s="46"/>
      <c r="AG61" s="46"/>
      <c r="AH61" s="46"/>
    </row>
    <row r="62" spans="1:34" ht="191.25" customHeight="1" outlineLevel="1" x14ac:dyDescent="0.2">
      <c r="A62" s="471" t="s">
        <v>452</v>
      </c>
      <c r="B62" s="335" t="s">
        <v>623</v>
      </c>
      <c r="C62" s="479" t="s">
        <v>49</v>
      </c>
      <c r="D62" s="335" t="s">
        <v>48</v>
      </c>
      <c r="E62" s="351">
        <f>F62+G62+H62+I62</f>
        <v>787419</v>
      </c>
      <c r="F62" s="296">
        <f>ROUND('2.переченьМРАД'!$I$244,0)</f>
        <v>42088</v>
      </c>
      <c r="G62" s="296">
        <f>ROUND('2.переченьМРАД'!$H$244,0)</f>
        <v>745331</v>
      </c>
      <c r="H62" s="296">
        <v>0</v>
      </c>
      <c r="I62" s="297">
        <v>0</v>
      </c>
      <c r="J62" s="351">
        <f>K62+L62+M62+N62</f>
        <v>934352</v>
      </c>
      <c r="K62" s="296">
        <f>ROUND('2.переченьМРАД'!$N$244,0)</f>
        <v>58150</v>
      </c>
      <c r="L62" s="296">
        <f>ROUND('2.переченьМРАД'!$M$244,0)</f>
        <v>876202</v>
      </c>
      <c r="M62" s="296">
        <v>0</v>
      </c>
      <c r="N62" s="297">
        <v>0</v>
      </c>
      <c r="O62" s="351">
        <f t="shared" si="22"/>
        <v>1216402</v>
      </c>
      <c r="P62" s="296">
        <f>ROUND('2.переченьМРАД'!$S$244,0)</f>
        <v>184281</v>
      </c>
      <c r="Q62" s="296">
        <f>ROUND('2.переченьМРАД'!$R$244,0)</f>
        <v>1032121</v>
      </c>
      <c r="R62" s="296">
        <v>0</v>
      </c>
      <c r="S62" s="297">
        <v>0</v>
      </c>
      <c r="T62" s="351">
        <f t="shared" si="20"/>
        <v>1427662</v>
      </c>
      <c r="U62" s="350">
        <f>ROUND('2.переченьМРАД'!$X$244,0)</f>
        <v>148062</v>
      </c>
      <c r="V62" s="350">
        <f>ROUND('2.переченьМРАД'!$W$244,0)</f>
        <v>1279600</v>
      </c>
      <c r="W62" s="350">
        <v>0</v>
      </c>
      <c r="X62" s="350">
        <v>0</v>
      </c>
      <c r="Y62" s="351">
        <f t="shared" si="21"/>
        <v>25672</v>
      </c>
      <c r="Z62" s="350">
        <f>ROUND('2.переченьМРАД'!$AC$244,0)</f>
        <v>25672</v>
      </c>
      <c r="AA62" s="350">
        <f>ROUND('2.переченьМРАД'!$AB$244,0)</f>
        <v>0</v>
      </c>
      <c r="AB62" s="350">
        <v>0</v>
      </c>
      <c r="AC62" s="350">
        <v>0</v>
      </c>
      <c r="AD62" s="351">
        <f>E62+J62+O62+T62+Y62</f>
        <v>4391507</v>
      </c>
      <c r="AE62" s="46"/>
      <c r="AF62" s="46"/>
      <c r="AG62" s="46"/>
      <c r="AH62" s="46"/>
    </row>
    <row r="63" spans="1:34" ht="123.75" customHeight="1" outlineLevel="1" x14ac:dyDescent="0.2">
      <c r="A63" s="471"/>
      <c r="B63" s="335" t="s">
        <v>363</v>
      </c>
      <c r="C63" s="479"/>
      <c r="D63" s="335" t="s">
        <v>48</v>
      </c>
      <c r="E63" s="351">
        <f t="shared" si="19"/>
        <v>682680</v>
      </c>
      <c r="F63" s="296">
        <f>SUM('2.переченьМРАД'!I196:I243)</f>
        <v>32769</v>
      </c>
      <c r="G63" s="296">
        <f>SUM('2.переченьМРАД'!H196:H243)</f>
        <v>649911</v>
      </c>
      <c r="H63" s="296">
        <f>SUM('[1]3.переченьМРАД'!G215:G227)</f>
        <v>0</v>
      </c>
      <c r="I63" s="297">
        <v>0</v>
      </c>
      <c r="J63" s="351">
        <f t="shared" si="24"/>
        <v>930249</v>
      </c>
      <c r="K63" s="296">
        <f>SUM('2.переченьМРАД'!N196:N243)</f>
        <v>54047</v>
      </c>
      <c r="L63" s="296">
        <f>SUM('2.переченьМРАД'!M196:M243)</f>
        <v>876202</v>
      </c>
      <c r="M63" s="296">
        <f>SUM('[1]3.переченьМРАД'!L215:L227)</f>
        <v>0</v>
      </c>
      <c r="N63" s="297">
        <v>0</v>
      </c>
      <c r="O63" s="351">
        <f t="shared" si="22"/>
        <v>743100</v>
      </c>
      <c r="P63" s="296">
        <f>SUM('2.переченьМРАД'!S196:S243)</f>
        <v>43100</v>
      </c>
      <c r="Q63" s="296">
        <f>SUM('2.переченьМРАД'!R196:R243)</f>
        <v>700000</v>
      </c>
      <c r="R63" s="296">
        <f>SUM('[1]3.переченьМРАД'!Q215:Q227)</f>
        <v>0</v>
      </c>
      <c r="S63" s="297">
        <v>0</v>
      </c>
      <c r="T63" s="351">
        <f t="shared" si="20"/>
        <v>721650</v>
      </c>
      <c r="U63" s="350">
        <f>SUM('2.переченьМРАД'!X196:X243)</f>
        <v>21650</v>
      </c>
      <c r="V63" s="350">
        <f>SUM('2.переченьМРАД'!W196:W243)</f>
        <v>700000</v>
      </c>
      <c r="W63" s="350">
        <f>SUM('2.переченьМРАД'!V196:V243)</f>
        <v>0</v>
      </c>
      <c r="X63" s="350">
        <v>0</v>
      </c>
      <c r="Y63" s="351">
        <f t="shared" si="21"/>
        <v>21650</v>
      </c>
      <c r="Z63" s="350">
        <f>SUM('2.переченьМРАД'!AC196:AC243)</f>
        <v>21650</v>
      </c>
      <c r="AA63" s="350">
        <f>SUM('2.переченьМРАД'!AB196:AB243)</f>
        <v>0</v>
      </c>
      <c r="AB63" s="350">
        <f>SUM('[1]3.переченьМРАД'!AA215:AA227)</f>
        <v>0</v>
      </c>
      <c r="AC63" s="350">
        <v>0</v>
      </c>
      <c r="AD63" s="351">
        <f t="shared" si="23"/>
        <v>3099329</v>
      </c>
      <c r="AE63" s="46"/>
      <c r="AF63" s="46"/>
      <c r="AG63" s="46"/>
      <c r="AH63" s="46"/>
    </row>
    <row r="64" spans="1:34" ht="156.75" customHeight="1" outlineLevel="1" x14ac:dyDescent="0.2">
      <c r="A64" s="347" t="s">
        <v>453</v>
      </c>
      <c r="B64" s="335" t="s">
        <v>163</v>
      </c>
      <c r="C64" s="348" t="s">
        <v>55</v>
      </c>
      <c r="D64" s="335" t="s">
        <v>48</v>
      </c>
      <c r="E64" s="351">
        <f t="shared" si="19"/>
        <v>142702</v>
      </c>
      <c r="F64" s="296">
        <f>'2.переченьМРАД'!$I$248</f>
        <v>7702</v>
      </c>
      <c r="G64" s="296">
        <f>'2.переченьМРАД'!$H$248</f>
        <v>135000</v>
      </c>
      <c r="H64" s="296">
        <f>'2.переченьМРАД'!G36</f>
        <v>0</v>
      </c>
      <c r="I64" s="297">
        <v>0</v>
      </c>
      <c r="J64" s="351">
        <f t="shared" si="24"/>
        <v>132502</v>
      </c>
      <c r="K64" s="296">
        <f>'2.переченьМРАД'!$N$248</f>
        <v>132502</v>
      </c>
      <c r="L64" s="296">
        <f>'2.переченьМРАД'!$M$248</f>
        <v>0</v>
      </c>
      <c r="M64" s="296">
        <v>0</v>
      </c>
      <c r="N64" s="297">
        <v>0</v>
      </c>
      <c r="O64" s="351">
        <f t="shared" si="22"/>
        <v>40137</v>
      </c>
      <c r="P64" s="296">
        <f>'2.переченьМРАД'!$S$248</f>
        <v>40137</v>
      </c>
      <c r="Q64" s="296">
        <f>'2.переченьМРАД'!$R$248</f>
        <v>0</v>
      </c>
      <c r="R64" s="296">
        <v>0</v>
      </c>
      <c r="S64" s="297">
        <v>0</v>
      </c>
      <c r="T64" s="351">
        <f t="shared" si="20"/>
        <v>111178</v>
      </c>
      <c r="U64" s="350">
        <f>ROUND('2.переченьМРАД'!$X$248,0)</f>
        <v>111178</v>
      </c>
      <c r="V64" s="350">
        <f>ROUND('2.переченьМРАД'!$W$248,0)</f>
        <v>0</v>
      </c>
      <c r="W64" s="350">
        <v>0</v>
      </c>
      <c r="X64" s="350">
        <v>0</v>
      </c>
      <c r="Y64" s="351">
        <f t="shared" si="21"/>
        <v>0</v>
      </c>
      <c r="Z64" s="350">
        <f>ROUND('2.переченьМРАД'!$AC$248,0)</f>
        <v>0</v>
      </c>
      <c r="AA64" s="350">
        <f>ROUND('2.переченьМРАД'!$AB$248,0)</f>
        <v>0</v>
      </c>
      <c r="AB64" s="350">
        <v>0</v>
      </c>
      <c r="AC64" s="350">
        <v>0</v>
      </c>
      <c r="AD64" s="351">
        <f t="shared" si="23"/>
        <v>426519</v>
      </c>
      <c r="AE64" s="46"/>
      <c r="AF64" s="46"/>
      <c r="AG64" s="46"/>
      <c r="AH64" s="46"/>
    </row>
    <row r="65" spans="1:34" s="8" customFormat="1" ht="310.5" customHeight="1" outlineLevel="1" x14ac:dyDescent="0.2">
      <c r="A65" s="347" t="s">
        <v>454</v>
      </c>
      <c r="B65" s="335" t="s">
        <v>166</v>
      </c>
      <c r="C65" s="348" t="s">
        <v>55</v>
      </c>
      <c r="D65" s="335" t="s">
        <v>48</v>
      </c>
      <c r="E65" s="351">
        <f>F65+G65+H65+I65</f>
        <v>2746</v>
      </c>
      <c r="F65" s="296">
        <v>2746</v>
      </c>
      <c r="G65" s="296">
        <f>'2.переченьМРАД'!$H$271</f>
        <v>0</v>
      </c>
      <c r="H65" s="296">
        <f>'2.переченьМРАД'!G271</f>
        <v>0</v>
      </c>
      <c r="I65" s="297">
        <v>0</v>
      </c>
      <c r="J65" s="351">
        <f t="shared" si="24"/>
        <v>1380</v>
      </c>
      <c r="K65" s="296">
        <f>'2.переченьМРАД'!N271</f>
        <v>1380</v>
      </c>
      <c r="L65" s="296">
        <f>'[2]2.переченьМРАД'!$M$510</f>
        <v>0</v>
      </c>
      <c r="M65" s="296">
        <v>0</v>
      </c>
      <c r="N65" s="297">
        <v>0</v>
      </c>
      <c r="O65" s="351">
        <f t="shared" si="22"/>
        <v>1686</v>
      </c>
      <c r="P65" s="296">
        <f>'2.переченьМРАД'!S271</f>
        <v>1686</v>
      </c>
      <c r="Q65" s="296">
        <f>'[2]2.переченьМРАД'!$R$510</f>
        <v>0</v>
      </c>
      <c r="R65" s="296">
        <v>0</v>
      </c>
      <c r="S65" s="297">
        <v>0</v>
      </c>
      <c r="T65" s="351">
        <f t="shared" si="20"/>
        <v>1539</v>
      </c>
      <c r="U65" s="350">
        <f>'2.переченьМРАД'!X271</f>
        <v>1539</v>
      </c>
      <c r="V65" s="350">
        <f>'2.переченьМРАД'!$W$271</f>
        <v>0</v>
      </c>
      <c r="W65" s="350">
        <v>0</v>
      </c>
      <c r="X65" s="350">
        <v>0</v>
      </c>
      <c r="Y65" s="351">
        <f t="shared" si="21"/>
        <v>0</v>
      </c>
      <c r="Z65" s="350">
        <f>ROUND('2.переченьМРАД'!$AC$271,0)</f>
        <v>0</v>
      </c>
      <c r="AA65" s="350">
        <f>'2.переченьМРАД'!$AB$271</f>
        <v>0</v>
      </c>
      <c r="AB65" s="350">
        <v>0</v>
      </c>
      <c r="AC65" s="350">
        <v>0</v>
      </c>
      <c r="AD65" s="351">
        <f>E65+J65+O65+T65+Y65</f>
        <v>7351</v>
      </c>
      <c r="AE65" s="298"/>
      <c r="AF65" s="298"/>
      <c r="AG65" s="298"/>
      <c r="AH65" s="299"/>
    </row>
    <row r="66" spans="1:34" s="8" customFormat="1" ht="162" customHeight="1" outlineLevel="1" x14ac:dyDescent="0.2">
      <c r="A66" s="335" t="s">
        <v>455</v>
      </c>
      <c r="B66" s="335" t="s">
        <v>624</v>
      </c>
      <c r="C66" s="348" t="s">
        <v>55</v>
      </c>
      <c r="D66" s="335" t="s">
        <v>651</v>
      </c>
      <c r="E66" s="351">
        <f>F66+G66+H66+I66</f>
        <v>155462</v>
      </c>
      <c r="F66" s="296">
        <f>'2.переченьМРАД'!I273</f>
        <v>7462</v>
      </c>
      <c r="G66" s="296">
        <f>'2.переченьМРАД'!H273</f>
        <v>148000</v>
      </c>
      <c r="H66" s="296">
        <f>'2.переченьМРАД'!G273</f>
        <v>0</v>
      </c>
      <c r="I66" s="297">
        <v>0</v>
      </c>
      <c r="J66" s="351">
        <f t="shared" si="24"/>
        <v>212314</v>
      </c>
      <c r="K66" s="296">
        <f>'2.переченьМРАД'!N274</f>
        <v>12314</v>
      </c>
      <c r="L66" s="296">
        <f>'2.переченьМРАД'!M274</f>
        <v>200000</v>
      </c>
      <c r="M66" s="296">
        <f>'2.переченьМРАД'!L273</f>
        <v>0</v>
      </c>
      <c r="N66" s="297">
        <v>0</v>
      </c>
      <c r="O66" s="351">
        <f t="shared" si="22"/>
        <v>212314</v>
      </c>
      <c r="P66" s="296">
        <f>'2.переченьМРАД'!S273</f>
        <v>12314</v>
      </c>
      <c r="Q66" s="296">
        <f>'2.переченьМРАД'!R273</f>
        <v>200000</v>
      </c>
      <c r="R66" s="296">
        <f>'2.переченьМРАД'!Q273</f>
        <v>0</v>
      </c>
      <c r="S66" s="297">
        <v>0</v>
      </c>
      <c r="T66" s="351">
        <f t="shared" si="20"/>
        <v>66392</v>
      </c>
      <c r="U66" s="350">
        <f>'2.переченьМРАД'!X273</f>
        <v>1992</v>
      </c>
      <c r="V66" s="350">
        <f>'2.переченьМРАД'!W273</f>
        <v>64400</v>
      </c>
      <c r="W66" s="350">
        <f>'2.переченьМРАД'!V273</f>
        <v>0</v>
      </c>
      <c r="X66" s="350">
        <v>0</v>
      </c>
      <c r="Y66" s="351">
        <f t="shared" si="21"/>
        <v>0</v>
      </c>
      <c r="Z66" s="350">
        <f>'2.переченьМРАД'!AC273</f>
        <v>0</v>
      </c>
      <c r="AA66" s="350">
        <f>'2.переченьМРАД'!AB273</f>
        <v>0</v>
      </c>
      <c r="AB66" s="350">
        <f>'2.переченьМРАД'!AA273</f>
        <v>0</v>
      </c>
      <c r="AC66" s="350">
        <v>0</v>
      </c>
      <c r="AD66" s="351">
        <f t="shared" si="23"/>
        <v>646482</v>
      </c>
      <c r="AE66" s="298"/>
      <c r="AF66" s="298"/>
      <c r="AG66" s="298"/>
      <c r="AH66" s="299"/>
    </row>
    <row r="67" spans="1:34" s="29" customFormat="1" ht="51" customHeight="1" outlineLevel="1" x14ac:dyDescent="0.25">
      <c r="A67" s="452" t="s">
        <v>382</v>
      </c>
      <c r="B67" s="452"/>
      <c r="C67" s="452"/>
      <c r="D67" s="343"/>
      <c r="E67" s="351">
        <f>F67+G67+H67+I67</f>
        <v>1584835</v>
      </c>
      <c r="F67" s="300">
        <f>F69-F68</f>
        <v>108934</v>
      </c>
      <c r="G67" s="300">
        <f>G69-G68</f>
        <v>1349108</v>
      </c>
      <c r="H67" s="300">
        <f>H69-H68</f>
        <v>126793</v>
      </c>
      <c r="I67" s="300">
        <f>I69-I58</f>
        <v>0</v>
      </c>
      <c r="J67" s="351">
        <f>K67+L67+M67+N67</f>
        <v>1550012</v>
      </c>
      <c r="K67" s="300">
        <f>K69-K68</f>
        <v>259151</v>
      </c>
      <c r="L67" s="300">
        <f>L69-L68</f>
        <v>1290861</v>
      </c>
      <c r="M67" s="300">
        <f>M69-M68</f>
        <v>0</v>
      </c>
      <c r="N67" s="300">
        <f>N69-N68</f>
        <v>0</v>
      </c>
      <c r="O67" s="300">
        <f t="shared" si="22"/>
        <v>2080681</v>
      </c>
      <c r="P67" s="300">
        <f>P69-P68</f>
        <v>301568</v>
      </c>
      <c r="Q67" s="300">
        <f>Q69-Q68</f>
        <v>1779113</v>
      </c>
      <c r="R67" s="300">
        <f>R69-R68</f>
        <v>0</v>
      </c>
      <c r="S67" s="300">
        <f>S69-S68</f>
        <v>0</v>
      </c>
      <c r="T67" s="351">
        <f>SUM(U67:X67)</f>
        <v>1797669</v>
      </c>
      <c r="U67" s="351">
        <f>U69-U68</f>
        <v>309877</v>
      </c>
      <c r="V67" s="351">
        <f>V69-V68</f>
        <v>1487792</v>
      </c>
      <c r="W67" s="351">
        <f>W69-W68</f>
        <v>0</v>
      </c>
      <c r="X67" s="351">
        <f>X69-X68</f>
        <v>0</v>
      </c>
      <c r="Y67" s="351">
        <f t="shared" si="21"/>
        <v>88354</v>
      </c>
      <c r="Z67" s="351">
        <f>Z69-Z68</f>
        <v>88354</v>
      </c>
      <c r="AA67" s="351">
        <f>AA69-AA68</f>
        <v>0</v>
      </c>
      <c r="AB67" s="351">
        <f>AB69-AB68</f>
        <v>0</v>
      </c>
      <c r="AC67" s="351">
        <f>AC69-AC68</f>
        <v>0</v>
      </c>
      <c r="AD67" s="351">
        <f>E67+J67+O67+T67+Y67</f>
        <v>7101551</v>
      </c>
      <c r="AE67" s="293">
        <f t="shared" ref="AE67:AE68" si="25">F67+K67+P67+U67+Z67</f>
        <v>1067884</v>
      </c>
      <c r="AF67" s="293">
        <f t="shared" ref="AF67:AF68" si="26">G67+L67+Q67+V67+AA67</f>
        <v>5906874</v>
      </c>
      <c r="AG67" s="293">
        <f t="shared" ref="AG67:AG68" si="27">H67+M67+R67+W67+AB67</f>
        <v>126793</v>
      </c>
      <c r="AH67" s="293">
        <f t="shared" ref="AH67:AH68" si="28">I67+N67+S67+X67+AC67</f>
        <v>0</v>
      </c>
    </row>
    <row r="68" spans="1:34" s="29" customFormat="1" ht="40.5" customHeight="1" outlineLevel="1" x14ac:dyDescent="0.25">
      <c r="A68" s="452" t="s">
        <v>383</v>
      </c>
      <c r="B68" s="452"/>
      <c r="C68" s="452"/>
      <c r="D68" s="343"/>
      <c r="E68" s="351">
        <f>F68+G68+H68+I68</f>
        <v>988</v>
      </c>
      <c r="F68" s="300">
        <f>F58</f>
        <v>988</v>
      </c>
      <c r="G68" s="300">
        <f>G58</f>
        <v>0</v>
      </c>
      <c r="H68" s="300">
        <f>H58</f>
        <v>0</v>
      </c>
      <c r="I68" s="300">
        <f>I58</f>
        <v>0</v>
      </c>
      <c r="J68" s="351">
        <f>K68+L68+M68+N68</f>
        <v>1584</v>
      </c>
      <c r="K68" s="300">
        <f>K58</f>
        <v>1584</v>
      </c>
      <c r="L68" s="300">
        <f>L58</f>
        <v>0</v>
      </c>
      <c r="M68" s="300">
        <f>M58</f>
        <v>0</v>
      </c>
      <c r="N68" s="301">
        <f>N58</f>
        <v>0</v>
      </c>
      <c r="O68" s="351">
        <f t="shared" si="22"/>
        <v>0</v>
      </c>
      <c r="P68" s="300">
        <f>P58</f>
        <v>0</v>
      </c>
      <c r="Q68" s="300">
        <f>Q58</f>
        <v>0</v>
      </c>
      <c r="R68" s="300">
        <f>R58</f>
        <v>0</v>
      </c>
      <c r="S68" s="301">
        <f>S58</f>
        <v>0</v>
      </c>
      <c r="T68" s="351">
        <f t="shared" si="20"/>
        <v>0</v>
      </c>
      <c r="U68" s="351">
        <f>U58+U60</f>
        <v>0</v>
      </c>
      <c r="V68" s="351">
        <f>V58</f>
        <v>0</v>
      </c>
      <c r="W68" s="351">
        <f>W58</f>
        <v>0</v>
      </c>
      <c r="X68" s="351">
        <f>X58</f>
        <v>0</v>
      </c>
      <c r="Y68" s="351">
        <f>Z68+AA68+AB68+AC68</f>
        <v>0</v>
      </c>
      <c r="Z68" s="351">
        <f>Z58</f>
        <v>0</v>
      </c>
      <c r="AA68" s="351">
        <f>AA58</f>
        <v>0</v>
      </c>
      <c r="AB68" s="351">
        <f>AB58</f>
        <v>0</v>
      </c>
      <c r="AC68" s="351">
        <f>AC58</f>
        <v>0</v>
      </c>
      <c r="AD68" s="351">
        <f>E68+J68+O68+T68+Y68</f>
        <v>2572</v>
      </c>
      <c r="AE68" s="293">
        <f t="shared" si="25"/>
        <v>2572</v>
      </c>
      <c r="AF68" s="293">
        <f t="shared" si="26"/>
        <v>0</v>
      </c>
      <c r="AG68" s="293">
        <f t="shared" si="27"/>
        <v>0</v>
      </c>
      <c r="AH68" s="293">
        <f t="shared" si="28"/>
        <v>0</v>
      </c>
    </row>
    <row r="69" spans="1:34" ht="42" customHeight="1" x14ac:dyDescent="0.2">
      <c r="A69" s="452" t="s">
        <v>381</v>
      </c>
      <c r="B69" s="452"/>
      <c r="C69" s="452"/>
      <c r="D69" s="321"/>
      <c r="E69" s="351">
        <f t="shared" ref="E69:N69" si="29">SUM(E55:E66)-E63-E61</f>
        <v>1585823</v>
      </c>
      <c r="F69" s="351">
        <f t="shared" si="29"/>
        <v>109922</v>
      </c>
      <c r="G69" s="351">
        <f t="shared" si="29"/>
        <v>1349108</v>
      </c>
      <c r="H69" s="351">
        <f t="shared" si="29"/>
        <v>126793</v>
      </c>
      <c r="I69" s="351">
        <f t="shared" si="29"/>
        <v>0</v>
      </c>
      <c r="J69" s="351">
        <f t="shared" si="29"/>
        <v>1551596</v>
      </c>
      <c r="K69" s="351">
        <f t="shared" si="29"/>
        <v>260735</v>
      </c>
      <c r="L69" s="351">
        <f t="shared" si="29"/>
        <v>1290861</v>
      </c>
      <c r="M69" s="351">
        <f t="shared" si="29"/>
        <v>0</v>
      </c>
      <c r="N69" s="351">
        <f t="shared" si="29"/>
        <v>0</v>
      </c>
      <c r="O69" s="351">
        <f t="shared" si="22"/>
        <v>2080681</v>
      </c>
      <c r="P69" s="351">
        <f>SUM(P55:P66)-P63-P61</f>
        <v>301568</v>
      </c>
      <c r="Q69" s="351">
        <f>SUM(Q55:Q66)-Q63-Q61</f>
        <v>1779113</v>
      </c>
      <c r="R69" s="351">
        <f>SUM(R55:R66)-R63-R61</f>
        <v>0</v>
      </c>
      <c r="S69" s="351">
        <f>SUM(S55:S66)-S63-S61</f>
        <v>0</v>
      </c>
      <c r="T69" s="351">
        <f t="shared" si="20"/>
        <v>1797669</v>
      </c>
      <c r="U69" s="351">
        <f>SUM(U55:U66)-U63-U61</f>
        <v>309877</v>
      </c>
      <c r="V69" s="351">
        <f t="shared" ref="V69:AC69" si="30">SUM(V55:V66)-V63-V61</f>
        <v>1487792</v>
      </c>
      <c r="W69" s="351">
        <f t="shared" si="30"/>
        <v>0</v>
      </c>
      <c r="X69" s="351">
        <f t="shared" si="30"/>
        <v>0</v>
      </c>
      <c r="Y69" s="351">
        <f t="shared" si="30"/>
        <v>88354</v>
      </c>
      <c r="Z69" s="351">
        <f t="shared" si="30"/>
        <v>88354</v>
      </c>
      <c r="AA69" s="351">
        <f t="shared" si="30"/>
        <v>0</v>
      </c>
      <c r="AB69" s="351">
        <f t="shared" si="30"/>
        <v>0</v>
      </c>
      <c r="AC69" s="351">
        <f t="shared" si="30"/>
        <v>0</v>
      </c>
      <c r="AD69" s="351">
        <f>SUM(AD55:AD66)-AD63-AD61</f>
        <v>7104123</v>
      </c>
      <c r="AE69" s="293">
        <f>F69+K69+P69+U69+Z69</f>
        <v>1070456</v>
      </c>
      <c r="AF69" s="293">
        <f>G69+L69+Q69+V69+AA69</f>
        <v>5906874</v>
      </c>
      <c r="AG69" s="293">
        <f>H69+M69+R69+W69+AB69</f>
        <v>126793</v>
      </c>
      <c r="AH69" s="293">
        <f>I69+N69+S69+X69+AC69</f>
        <v>0</v>
      </c>
    </row>
    <row r="70" spans="1:34" ht="42" customHeight="1" x14ac:dyDescent="0.2">
      <c r="A70" s="330" t="s">
        <v>470</v>
      </c>
      <c r="B70" s="464" t="s">
        <v>1119</v>
      </c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302"/>
      <c r="AF70" s="302"/>
      <c r="AG70" s="302"/>
      <c r="AH70" s="302"/>
    </row>
    <row r="71" spans="1:34" ht="37.9" customHeight="1" x14ac:dyDescent="0.2">
      <c r="A71" s="483" t="s">
        <v>420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6"/>
      <c r="AF71" s="46"/>
      <c r="AG71" s="46"/>
      <c r="AH71" s="46"/>
    </row>
    <row r="72" spans="1:34" ht="36" customHeight="1" x14ac:dyDescent="0.2">
      <c r="A72" s="470" t="s">
        <v>1117</v>
      </c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6"/>
      <c r="AF72" s="46"/>
      <c r="AG72" s="46"/>
      <c r="AH72" s="46"/>
    </row>
    <row r="73" spans="1:34" ht="36.6" customHeight="1" outlineLevel="1" x14ac:dyDescent="0.2">
      <c r="A73" s="303" t="s">
        <v>43</v>
      </c>
      <c r="B73" s="462" t="s">
        <v>471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304"/>
      <c r="AF73" s="304"/>
      <c r="AG73" s="304"/>
      <c r="AH73" s="304"/>
    </row>
    <row r="74" spans="1:34" ht="207.75" customHeight="1" outlineLevel="1" x14ac:dyDescent="0.2">
      <c r="A74" s="347" t="s">
        <v>442</v>
      </c>
      <c r="B74" s="321" t="s">
        <v>439</v>
      </c>
      <c r="C74" s="348" t="s">
        <v>53</v>
      </c>
      <c r="D74" s="335" t="s">
        <v>48</v>
      </c>
      <c r="E74" s="351">
        <f>F74+G74+H74+I74</f>
        <v>242392</v>
      </c>
      <c r="F74" s="350">
        <f>390702-125000-25030+1720</f>
        <v>242392</v>
      </c>
      <c r="G74" s="350">
        <v>0</v>
      </c>
      <c r="H74" s="350">
        <v>0</v>
      </c>
      <c r="I74" s="350">
        <v>0</v>
      </c>
      <c r="J74" s="351">
        <f>K74+L74+M74+N74</f>
        <v>221307</v>
      </c>
      <c r="K74" s="350">
        <v>221307</v>
      </c>
      <c r="L74" s="350">
        <v>0</v>
      </c>
      <c r="M74" s="350">
        <v>0</v>
      </c>
      <c r="N74" s="350">
        <v>0</v>
      </c>
      <c r="O74" s="351">
        <f t="shared" ref="O74:O80" si="31">SUM(P74:S74)</f>
        <v>227644</v>
      </c>
      <c r="P74" s="350">
        <f>424611+1857+3174-212314+10316</f>
        <v>227644</v>
      </c>
      <c r="Q74" s="350">
        <v>0</v>
      </c>
      <c r="R74" s="350">
        <v>0</v>
      </c>
      <c r="S74" s="350">
        <v>0</v>
      </c>
      <c r="T74" s="351">
        <f>SUM(U74:X74)</f>
        <v>403216</v>
      </c>
      <c r="U74" s="350">
        <f>426468+20169+22080+910-6186-200000-66392+262+206220-315</f>
        <v>403216</v>
      </c>
      <c r="V74" s="350">
        <v>0</v>
      </c>
      <c r="W74" s="350">
        <v>0</v>
      </c>
      <c r="X74" s="350">
        <v>0</v>
      </c>
      <c r="Y74" s="351">
        <f>SUM(Z74:AC74)</f>
        <v>498050</v>
      </c>
      <c r="Z74" s="350">
        <f>422583+24054+51413</f>
        <v>498050</v>
      </c>
      <c r="AA74" s="350">
        <v>0</v>
      </c>
      <c r="AB74" s="350">
        <v>0</v>
      </c>
      <c r="AC74" s="350">
        <v>0</v>
      </c>
      <c r="AD74" s="351">
        <f t="shared" ref="AD74:AH75" si="32">E74+J74+O74+T74+Y74</f>
        <v>1592609</v>
      </c>
      <c r="AE74" s="293">
        <f t="shared" si="32"/>
        <v>1592609</v>
      </c>
      <c r="AF74" s="293">
        <f t="shared" si="32"/>
        <v>0</v>
      </c>
      <c r="AG74" s="293">
        <f t="shared" si="32"/>
        <v>0</v>
      </c>
      <c r="AH74" s="293">
        <f t="shared" si="32"/>
        <v>0</v>
      </c>
    </row>
    <row r="75" spans="1:34" ht="95.25" customHeight="1" outlineLevel="1" x14ac:dyDescent="0.2">
      <c r="A75" s="347" t="s">
        <v>472</v>
      </c>
      <c r="B75" s="321" t="s">
        <v>125</v>
      </c>
      <c r="C75" s="348" t="s">
        <v>53</v>
      </c>
      <c r="D75" s="335" t="s">
        <v>48</v>
      </c>
      <c r="E75" s="351">
        <v>846</v>
      </c>
      <c r="F75" s="350">
        <v>846</v>
      </c>
      <c r="G75" s="350">
        <v>0</v>
      </c>
      <c r="H75" s="350">
        <v>0</v>
      </c>
      <c r="I75" s="350">
        <v>0</v>
      </c>
      <c r="J75" s="351">
        <f>K75+L75+M75+N75</f>
        <v>846</v>
      </c>
      <c r="K75" s="350">
        <v>846</v>
      </c>
      <c r="L75" s="350">
        <v>0</v>
      </c>
      <c r="M75" s="350">
        <v>0</v>
      </c>
      <c r="N75" s="350">
        <v>0</v>
      </c>
      <c r="O75" s="351">
        <f t="shared" si="31"/>
        <v>868</v>
      </c>
      <c r="P75" s="350">
        <f>846+22</f>
        <v>868</v>
      </c>
      <c r="Q75" s="350">
        <v>0</v>
      </c>
      <c r="R75" s="350">
        <v>0</v>
      </c>
      <c r="S75" s="350">
        <v>0</v>
      </c>
      <c r="T75" s="351">
        <f>SUM(U75:X75)</f>
        <v>964</v>
      </c>
      <c r="U75" s="350">
        <f>846+118</f>
        <v>964</v>
      </c>
      <c r="V75" s="350">
        <v>0</v>
      </c>
      <c r="W75" s="350">
        <v>0</v>
      </c>
      <c r="X75" s="350">
        <v>0</v>
      </c>
      <c r="Y75" s="351">
        <f>SUM(Z75:AC75)</f>
        <v>968</v>
      </c>
      <c r="Z75" s="350">
        <f>846+122</f>
        <v>968</v>
      </c>
      <c r="AA75" s="350">
        <v>0</v>
      </c>
      <c r="AB75" s="350">
        <v>0</v>
      </c>
      <c r="AC75" s="350">
        <v>0</v>
      </c>
      <c r="AD75" s="351">
        <f t="shared" si="32"/>
        <v>4492</v>
      </c>
      <c r="AE75" s="293">
        <f t="shared" si="32"/>
        <v>4492</v>
      </c>
      <c r="AF75" s="293">
        <f t="shared" si="32"/>
        <v>0</v>
      </c>
      <c r="AG75" s="293">
        <f t="shared" si="32"/>
        <v>0</v>
      </c>
      <c r="AH75" s="293">
        <f t="shared" si="32"/>
        <v>0</v>
      </c>
    </row>
    <row r="76" spans="1:34" ht="36.6" customHeight="1" outlineLevel="1" x14ac:dyDescent="0.2">
      <c r="A76" s="303" t="s">
        <v>44</v>
      </c>
      <c r="B76" s="462" t="s">
        <v>485</v>
      </c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6"/>
      <c r="AE76" s="305"/>
      <c r="AF76" s="63"/>
      <c r="AG76" s="63"/>
      <c r="AH76" s="63"/>
    </row>
    <row r="77" spans="1:34" ht="106.5" customHeight="1" outlineLevel="1" x14ac:dyDescent="0.2">
      <c r="A77" s="347" t="s">
        <v>443</v>
      </c>
      <c r="B77" s="321" t="s">
        <v>78</v>
      </c>
      <c r="C77" s="348" t="s">
        <v>53</v>
      </c>
      <c r="D77" s="335" t="s">
        <v>48</v>
      </c>
      <c r="E77" s="351">
        <f>F77+G77+H77+I77</f>
        <v>29931</v>
      </c>
      <c r="F77" s="350">
        <f>30000-69</f>
        <v>29931</v>
      </c>
      <c r="G77" s="350">
        <v>0</v>
      </c>
      <c r="H77" s="350">
        <v>0</v>
      </c>
      <c r="I77" s="350">
        <v>0</v>
      </c>
      <c r="J77" s="351">
        <f>K77+L77+M77+N77</f>
        <v>30000</v>
      </c>
      <c r="K77" s="350">
        <v>30000</v>
      </c>
      <c r="L77" s="350">
        <v>0</v>
      </c>
      <c r="M77" s="350">
        <v>0</v>
      </c>
      <c r="N77" s="350">
        <v>0</v>
      </c>
      <c r="O77" s="351">
        <f t="shared" si="31"/>
        <v>25868</v>
      </c>
      <c r="P77" s="350">
        <f>30000-4132</f>
        <v>25868</v>
      </c>
      <c r="Q77" s="350">
        <v>0</v>
      </c>
      <c r="R77" s="350">
        <v>0</v>
      </c>
      <c r="S77" s="350">
        <v>0</v>
      </c>
      <c r="T77" s="351">
        <f>SUM(U77:X77)</f>
        <v>49918</v>
      </c>
      <c r="U77" s="350">
        <f>31200-1200+25000-1836-2062-262-34-226-662</f>
        <v>49918</v>
      </c>
      <c r="V77" s="350">
        <v>0</v>
      </c>
      <c r="W77" s="350">
        <v>0</v>
      </c>
      <c r="X77" s="350">
        <v>0</v>
      </c>
      <c r="Y77" s="351">
        <f>SUM(Z77:AC77)</f>
        <v>36000</v>
      </c>
      <c r="Z77" s="350">
        <f>31200+4800</f>
        <v>36000</v>
      </c>
      <c r="AA77" s="350">
        <v>0</v>
      </c>
      <c r="AB77" s="350">
        <v>0</v>
      </c>
      <c r="AC77" s="350">
        <v>0</v>
      </c>
      <c r="AD77" s="351">
        <f>E77+J77+O77+T77+Y77</f>
        <v>171717</v>
      </c>
      <c r="AE77" s="293">
        <f>F77+K77+P77+U77+Z77</f>
        <v>171717</v>
      </c>
      <c r="AF77" s="293">
        <f>G77+L77+Q77+V77+AA77</f>
        <v>0</v>
      </c>
      <c r="AG77" s="293">
        <f>H77+M77+R77+W77+AB77</f>
        <v>0</v>
      </c>
      <c r="AH77" s="293">
        <f>I77+N77+S77+X77+AC77</f>
        <v>0</v>
      </c>
    </row>
    <row r="78" spans="1:34" ht="119.25" customHeight="1" outlineLevel="1" x14ac:dyDescent="0.2">
      <c r="A78" s="347" t="s">
        <v>473</v>
      </c>
      <c r="B78" s="321" t="s">
        <v>531</v>
      </c>
      <c r="C78" s="348" t="s">
        <v>53</v>
      </c>
      <c r="D78" s="335" t="s">
        <v>48</v>
      </c>
      <c r="E78" s="351">
        <f>F78+G78+H78+I78</f>
        <v>8312</v>
      </c>
      <c r="F78" s="350">
        <v>8312</v>
      </c>
      <c r="G78" s="350">
        <v>0</v>
      </c>
      <c r="H78" s="350">
        <v>0</v>
      </c>
      <c r="I78" s="350">
        <v>0</v>
      </c>
      <c r="J78" s="351">
        <f>K78+L78+M78+N78</f>
        <v>8031</v>
      </c>
      <c r="K78" s="350">
        <f>831+7200</f>
        <v>8031</v>
      </c>
      <c r="L78" s="350">
        <v>0</v>
      </c>
      <c r="M78" s="350">
        <v>0</v>
      </c>
      <c r="N78" s="350">
        <v>0</v>
      </c>
      <c r="O78" s="351">
        <f t="shared" si="31"/>
        <v>1200</v>
      </c>
      <c r="P78" s="350">
        <f>1219-9-10</f>
        <v>1200</v>
      </c>
      <c r="Q78" s="350">
        <v>0</v>
      </c>
      <c r="R78" s="350">
        <v>0</v>
      </c>
      <c r="S78" s="350">
        <v>0</v>
      </c>
      <c r="T78" s="351">
        <f>SUM(U78:X78)</f>
        <v>1200</v>
      </c>
      <c r="U78" s="350">
        <v>1200</v>
      </c>
      <c r="V78" s="350">
        <v>0</v>
      </c>
      <c r="W78" s="350">
        <v>0</v>
      </c>
      <c r="X78" s="350">
        <v>0</v>
      </c>
      <c r="Y78" s="351">
        <f>SUM(Z78:AC78)</f>
        <v>2817</v>
      </c>
      <c r="Z78" s="350">
        <v>2817</v>
      </c>
      <c r="AA78" s="350">
        <v>0</v>
      </c>
      <c r="AB78" s="350">
        <v>0</v>
      </c>
      <c r="AC78" s="350">
        <v>0</v>
      </c>
      <c r="AD78" s="351">
        <f>E78+J78+O78+T78+Y78</f>
        <v>21560</v>
      </c>
      <c r="AE78" s="293"/>
      <c r="AF78" s="293"/>
      <c r="AG78" s="293"/>
      <c r="AH78" s="293"/>
    </row>
    <row r="79" spans="1:34" ht="301.5" customHeight="1" outlineLevel="1" x14ac:dyDescent="0.2">
      <c r="A79" s="347" t="s">
        <v>474</v>
      </c>
      <c r="B79" s="48" t="s">
        <v>1369</v>
      </c>
      <c r="C79" s="348" t="s">
        <v>53</v>
      </c>
      <c r="D79" s="335" t="s">
        <v>1355</v>
      </c>
      <c r="E79" s="351">
        <f>F79+G79+H79+I79</f>
        <v>111</v>
      </c>
      <c r="F79" s="350">
        <f>625-257-257</f>
        <v>111</v>
      </c>
      <c r="G79" s="350">
        <v>0</v>
      </c>
      <c r="H79" s="350">
        <v>0</v>
      </c>
      <c r="I79" s="350">
        <v>0</v>
      </c>
      <c r="J79" s="351">
        <f>K79+L79+M79+N79</f>
        <v>0</v>
      </c>
      <c r="K79" s="350">
        <v>0</v>
      </c>
      <c r="L79" s="350">
        <v>0</v>
      </c>
      <c r="M79" s="350">
        <v>0</v>
      </c>
      <c r="N79" s="350">
        <v>0</v>
      </c>
      <c r="O79" s="351">
        <f t="shared" si="31"/>
        <v>0</v>
      </c>
      <c r="P79" s="350">
        <v>0</v>
      </c>
      <c r="Q79" s="350">
        <v>0</v>
      </c>
      <c r="R79" s="350">
        <v>0</v>
      </c>
      <c r="S79" s="350">
        <v>0</v>
      </c>
      <c r="T79" s="351">
        <f>SUM(U79:X79)</f>
        <v>93</v>
      </c>
      <c r="U79" s="350">
        <f>291-198</f>
        <v>93</v>
      </c>
      <c r="V79" s="350">
        <v>0</v>
      </c>
      <c r="W79" s="350">
        <v>0</v>
      </c>
      <c r="X79" s="350">
        <v>0</v>
      </c>
      <c r="Y79" s="351">
        <f>SUM(Z79:AC79)</f>
        <v>0</v>
      </c>
      <c r="Z79" s="350">
        <v>0</v>
      </c>
      <c r="AA79" s="350">
        <v>0</v>
      </c>
      <c r="AB79" s="350">
        <v>0</v>
      </c>
      <c r="AC79" s="350">
        <v>0</v>
      </c>
      <c r="AD79" s="351">
        <f>E79+J79+O79+T79+Y79</f>
        <v>204</v>
      </c>
      <c r="AE79" s="293"/>
      <c r="AF79" s="293"/>
      <c r="AG79" s="293"/>
      <c r="AH79" s="293"/>
    </row>
    <row r="80" spans="1:34" ht="112.15" customHeight="1" outlineLevel="1" x14ac:dyDescent="0.2">
      <c r="A80" s="347" t="s">
        <v>475</v>
      </c>
      <c r="B80" s="321" t="s">
        <v>339</v>
      </c>
      <c r="C80" s="348" t="s">
        <v>53</v>
      </c>
      <c r="D80" s="335">
        <v>2021</v>
      </c>
      <c r="E80" s="351">
        <f>F80+G80+H80+I80</f>
        <v>269</v>
      </c>
      <c r="F80" s="350">
        <v>269</v>
      </c>
      <c r="G80" s="350">
        <v>0</v>
      </c>
      <c r="H80" s="350">
        <v>0</v>
      </c>
      <c r="I80" s="350">
        <v>0</v>
      </c>
      <c r="J80" s="351">
        <f>K80+L80+M80+N80</f>
        <v>0</v>
      </c>
      <c r="K80" s="350">
        <v>0</v>
      </c>
      <c r="L80" s="350">
        <v>0</v>
      </c>
      <c r="M80" s="350">
        <v>0</v>
      </c>
      <c r="N80" s="350">
        <v>0</v>
      </c>
      <c r="O80" s="351">
        <f t="shared" si="31"/>
        <v>0</v>
      </c>
      <c r="P80" s="350">
        <v>0</v>
      </c>
      <c r="Q80" s="350">
        <v>0</v>
      </c>
      <c r="R80" s="350">
        <v>0</v>
      </c>
      <c r="S80" s="350">
        <v>0</v>
      </c>
      <c r="T80" s="351">
        <f>SUM(U80:X80)</f>
        <v>0</v>
      </c>
      <c r="U80" s="350">
        <v>0</v>
      </c>
      <c r="V80" s="350">
        <v>0</v>
      </c>
      <c r="W80" s="350">
        <v>0</v>
      </c>
      <c r="X80" s="350">
        <v>0</v>
      </c>
      <c r="Y80" s="351">
        <f>SUM(Z80:AC80)</f>
        <v>0</v>
      </c>
      <c r="Z80" s="350">
        <v>0</v>
      </c>
      <c r="AA80" s="350">
        <v>0</v>
      </c>
      <c r="AB80" s="350">
        <v>0</v>
      </c>
      <c r="AC80" s="350">
        <v>0</v>
      </c>
      <c r="AD80" s="351">
        <f>E80+J80+O80+T80+Y80</f>
        <v>269</v>
      </c>
      <c r="AE80" s="293"/>
      <c r="AF80" s="293"/>
      <c r="AG80" s="293"/>
      <c r="AH80" s="293"/>
    </row>
    <row r="81" spans="1:34" ht="318.75" customHeight="1" outlineLevel="1" x14ac:dyDescent="0.2">
      <c r="A81" s="347" t="s">
        <v>567</v>
      </c>
      <c r="B81" s="306" t="s">
        <v>1368</v>
      </c>
      <c r="C81" s="348" t="s">
        <v>53</v>
      </c>
      <c r="D81" s="335" t="s">
        <v>1123</v>
      </c>
      <c r="E81" s="351">
        <f>F81+G81+H81+I81</f>
        <v>0</v>
      </c>
      <c r="F81" s="350">
        <v>0</v>
      </c>
      <c r="G81" s="350">
        <v>0</v>
      </c>
      <c r="H81" s="350">
        <v>0</v>
      </c>
      <c r="I81" s="350">
        <v>0</v>
      </c>
      <c r="J81" s="351">
        <f>K81+L81+M81+N81</f>
        <v>0</v>
      </c>
      <c r="K81" s="350">
        <v>0</v>
      </c>
      <c r="L81" s="350">
        <v>0</v>
      </c>
      <c r="M81" s="350">
        <v>0</v>
      </c>
      <c r="N81" s="350">
        <v>0</v>
      </c>
      <c r="O81" s="351">
        <f>S81+R81+Q81+P81</f>
        <v>298</v>
      </c>
      <c r="P81" s="350">
        <f>400-102</f>
        <v>298</v>
      </c>
      <c r="Q81" s="350">
        <v>0</v>
      </c>
      <c r="R81" s="350">
        <v>0</v>
      </c>
      <c r="S81" s="350">
        <v>0</v>
      </c>
      <c r="T81" s="351">
        <f>U81+V81+W81+X81</f>
        <v>397</v>
      </c>
      <c r="U81" s="350">
        <f>1529-291-841</f>
        <v>397</v>
      </c>
      <c r="V81" s="350">
        <v>0</v>
      </c>
      <c r="W81" s="350">
        <v>0</v>
      </c>
      <c r="X81" s="350">
        <v>0</v>
      </c>
      <c r="Y81" s="351">
        <f>Z81+AA81+AB81+AC81</f>
        <v>0</v>
      </c>
      <c r="Z81" s="350">
        <v>0</v>
      </c>
      <c r="AA81" s="350">
        <v>0</v>
      </c>
      <c r="AB81" s="350">
        <v>0</v>
      </c>
      <c r="AC81" s="350">
        <v>0</v>
      </c>
      <c r="AD81" s="351">
        <f>E81+J81+O81+T81+Y81</f>
        <v>695</v>
      </c>
      <c r="AE81" s="293"/>
      <c r="AF81" s="293"/>
      <c r="AG81" s="293"/>
      <c r="AH81" s="293"/>
    </row>
    <row r="82" spans="1:34" ht="39" customHeight="1" outlineLevel="1" x14ac:dyDescent="0.2">
      <c r="A82" s="478" t="s">
        <v>79</v>
      </c>
      <c r="B82" s="478"/>
      <c r="C82" s="478"/>
      <c r="D82" s="307"/>
      <c r="E82" s="351">
        <f t="shared" ref="E82:AD82" si="33">SUM(E74:E81)</f>
        <v>281861</v>
      </c>
      <c r="F82" s="351">
        <f t="shared" si="33"/>
        <v>281861</v>
      </c>
      <c r="G82" s="351">
        <f t="shared" si="33"/>
        <v>0</v>
      </c>
      <c r="H82" s="351">
        <f t="shared" si="33"/>
        <v>0</v>
      </c>
      <c r="I82" s="351">
        <f t="shared" si="33"/>
        <v>0</v>
      </c>
      <c r="J82" s="351">
        <f t="shared" si="33"/>
        <v>260184</v>
      </c>
      <c r="K82" s="351">
        <f t="shared" si="33"/>
        <v>260184</v>
      </c>
      <c r="L82" s="351">
        <f t="shared" si="33"/>
        <v>0</v>
      </c>
      <c r="M82" s="351">
        <f t="shared" si="33"/>
        <v>0</v>
      </c>
      <c r="N82" s="351">
        <f t="shared" si="33"/>
        <v>0</v>
      </c>
      <c r="O82" s="351">
        <f t="shared" si="33"/>
        <v>255878</v>
      </c>
      <c r="P82" s="351">
        <f>SUM(P74:P81)</f>
        <v>255878</v>
      </c>
      <c r="Q82" s="351">
        <f t="shared" si="33"/>
        <v>0</v>
      </c>
      <c r="R82" s="351">
        <f t="shared" si="33"/>
        <v>0</v>
      </c>
      <c r="S82" s="351">
        <f t="shared" si="33"/>
        <v>0</v>
      </c>
      <c r="T82" s="351">
        <f>SUM(T74:T81)</f>
        <v>455788</v>
      </c>
      <c r="U82" s="351">
        <f>SUM(U74:U81)</f>
        <v>455788</v>
      </c>
      <c r="V82" s="351">
        <f t="shared" si="33"/>
        <v>0</v>
      </c>
      <c r="W82" s="351">
        <f t="shared" si="33"/>
        <v>0</v>
      </c>
      <c r="X82" s="351">
        <f t="shared" si="33"/>
        <v>0</v>
      </c>
      <c r="Y82" s="351">
        <f t="shared" si="33"/>
        <v>537835</v>
      </c>
      <c r="Z82" s="351">
        <f t="shared" si="33"/>
        <v>537835</v>
      </c>
      <c r="AA82" s="351">
        <f t="shared" si="33"/>
        <v>0</v>
      </c>
      <c r="AB82" s="351">
        <f t="shared" si="33"/>
        <v>0</v>
      </c>
      <c r="AC82" s="351">
        <f t="shared" si="33"/>
        <v>0</v>
      </c>
      <c r="AD82" s="351">
        <f t="shared" si="33"/>
        <v>1791546</v>
      </c>
      <c r="AE82" s="293">
        <f>F82+K82+P82+U82+Z82</f>
        <v>1791546</v>
      </c>
      <c r="AF82" s="293">
        <f>G82+L82+Q82+V82+AA82</f>
        <v>0</v>
      </c>
      <c r="AG82" s="293">
        <f>H82+M82+R82+W82+AB82</f>
        <v>0</v>
      </c>
      <c r="AH82" s="293">
        <f>I82+N82+S82+X82+AC82</f>
        <v>0</v>
      </c>
    </row>
    <row r="83" spans="1:34" ht="39" customHeight="1" outlineLevel="1" x14ac:dyDescent="0.2">
      <c r="A83" s="330" t="s">
        <v>476</v>
      </c>
      <c r="B83" s="464" t="s">
        <v>1116</v>
      </c>
      <c r="C83" s="465"/>
      <c r="D83" s="465"/>
      <c r="E83" s="465"/>
      <c r="F83" s="465"/>
      <c r="G83" s="465"/>
      <c r="H83" s="465"/>
      <c r="I83" s="465"/>
      <c r="J83" s="465"/>
      <c r="K83" s="465"/>
      <c r="L83" s="465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7"/>
      <c r="AE83" s="54"/>
      <c r="AF83" s="54"/>
      <c r="AG83" s="54"/>
      <c r="AH83" s="54"/>
    </row>
    <row r="84" spans="1:34" s="8" customFormat="1" ht="38.450000000000003" customHeight="1" outlineLevel="1" x14ac:dyDescent="0.2">
      <c r="A84" s="483" t="s">
        <v>135</v>
      </c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6"/>
      <c r="AF84" s="46"/>
      <c r="AG84" s="46"/>
      <c r="AH84" s="46"/>
    </row>
    <row r="85" spans="1:34" ht="34.15" customHeight="1" x14ac:dyDescent="0.2">
      <c r="A85" s="470" t="s">
        <v>1115</v>
      </c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308"/>
      <c r="AF85" s="308"/>
      <c r="AG85" s="308"/>
      <c r="AH85" s="308"/>
    </row>
    <row r="86" spans="1:34" ht="42" customHeight="1" x14ac:dyDescent="0.2">
      <c r="A86" s="280" t="s">
        <v>37</v>
      </c>
      <c r="B86" s="462" t="s">
        <v>477</v>
      </c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6"/>
      <c r="AE86" s="308"/>
      <c r="AF86" s="308"/>
      <c r="AG86" s="308"/>
      <c r="AH86" s="308"/>
    </row>
    <row r="87" spans="1:34" ht="96" customHeight="1" x14ac:dyDescent="0.2">
      <c r="A87" s="347" t="s">
        <v>444</v>
      </c>
      <c r="B87" s="335" t="s">
        <v>50</v>
      </c>
      <c r="C87" s="348" t="s">
        <v>49</v>
      </c>
      <c r="D87" s="335" t="s">
        <v>48</v>
      </c>
      <c r="E87" s="351">
        <f>F87+G87+H87+I87</f>
        <v>112</v>
      </c>
      <c r="F87" s="350">
        <v>0</v>
      </c>
      <c r="G87" s="350">
        <v>0</v>
      </c>
      <c r="H87" s="350">
        <v>0</v>
      </c>
      <c r="I87" s="350">
        <v>112</v>
      </c>
      <c r="J87" s="351">
        <f>K87+L87+M87+N87</f>
        <v>112</v>
      </c>
      <c r="K87" s="350">
        <v>0</v>
      </c>
      <c r="L87" s="350">
        <v>0</v>
      </c>
      <c r="M87" s="350">
        <v>0</v>
      </c>
      <c r="N87" s="350">
        <v>112</v>
      </c>
      <c r="O87" s="351">
        <f>SUM(P87:S87)</f>
        <v>0</v>
      </c>
      <c r="P87" s="350">
        <v>0</v>
      </c>
      <c r="Q87" s="350">
        <v>0</v>
      </c>
      <c r="R87" s="350">
        <v>0</v>
      </c>
      <c r="S87" s="350">
        <f>112-112</f>
        <v>0</v>
      </c>
      <c r="T87" s="351">
        <f>SUM(U87:X87)</f>
        <v>681</v>
      </c>
      <c r="U87" s="350">
        <f>681</f>
        <v>681</v>
      </c>
      <c r="V87" s="350">
        <v>0</v>
      </c>
      <c r="W87" s="350">
        <v>0</v>
      </c>
      <c r="X87" s="350">
        <f>112-112</f>
        <v>0</v>
      </c>
      <c r="Y87" s="351">
        <f>SUM(Z87:AC87)</f>
        <v>0</v>
      </c>
      <c r="Z87" s="350">
        <v>0</v>
      </c>
      <c r="AA87" s="350">
        <v>0</v>
      </c>
      <c r="AB87" s="350">
        <v>0</v>
      </c>
      <c r="AC87" s="350">
        <f>112-112</f>
        <v>0</v>
      </c>
      <c r="AD87" s="351">
        <f>E87+J87+O87+T87+Y87</f>
        <v>905</v>
      </c>
      <c r="AE87" s="46"/>
      <c r="AF87" s="46"/>
      <c r="AG87" s="46"/>
      <c r="AH87" s="46"/>
    </row>
    <row r="88" spans="1:34" ht="96" customHeight="1" x14ac:dyDescent="0.2">
      <c r="A88" s="347" t="s">
        <v>642</v>
      </c>
      <c r="B88" s="335" t="s">
        <v>643</v>
      </c>
      <c r="C88" s="348" t="s">
        <v>49</v>
      </c>
      <c r="D88" s="335">
        <v>2025</v>
      </c>
      <c r="E88" s="351">
        <v>0</v>
      </c>
      <c r="F88" s="350">
        <v>0</v>
      </c>
      <c r="G88" s="350">
        <v>0</v>
      </c>
      <c r="H88" s="350">
        <v>0</v>
      </c>
      <c r="I88" s="350">
        <v>0</v>
      </c>
      <c r="J88" s="351">
        <v>0</v>
      </c>
      <c r="K88" s="350">
        <v>0</v>
      </c>
      <c r="L88" s="350">
        <v>0</v>
      </c>
      <c r="M88" s="350">
        <v>0</v>
      </c>
      <c r="N88" s="350">
        <v>0</v>
      </c>
      <c r="O88" s="351">
        <v>0</v>
      </c>
      <c r="P88" s="350">
        <v>0</v>
      </c>
      <c r="Q88" s="350">
        <v>0</v>
      </c>
      <c r="R88" s="350">
        <v>0</v>
      </c>
      <c r="S88" s="350">
        <v>0</v>
      </c>
      <c r="T88" s="351">
        <f>SUM(U88:X88)</f>
        <v>0</v>
      </c>
      <c r="U88" s="350">
        <f>8000-8000</f>
        <v>0</v>
      </c>
      <c r="V88" s="350">
        <v>0</v>
      </c>
      <c r="W88" s="350">
        <v>0</v>
      </c>
      <c r="X88" s="350">
        <v>0</v>
      </c>
      <c r="Y88" s="351">
        <f>SUM(Z88:AC88)</f>
        <v>0</v>
      </c>
      <c r="Z88" s="350">
        <v>0</v>
      </c>
      <c r="AA88" s="350">
        <v>0</v>
      </c>
      <c r="AB88" s="350">
        <v>0</v>
      </c>
      <c r="AC88" s="350">
        <v>0</v>
      </c>
      <c r="AD88" s="351">
        <f>E88+J88+O88+T88+Y88</f>
        <v>0</v>
      </c>
      <c r="AE88" s="46"/>
      <c r="AF88" s="46"/>
      <c r="AG88" s="46"/>
      <c r="AH88" s="46"/>
    </row>
    <row r="89" spans="1:34" ht="38.25" customHeight="1" x14ac:dyDescent="0.2">
      <c r="A89" s="330" t="s">
        <v>3</v>
      </c>
      <c r="B89" s="464" t="s">
        <v>478</v>
      </c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7"/>
      <c r="AE89" s="46"/>
      <c r="AF89" s="46"/>
      <c r="AG89" s="46"/>
      <c r="AH89" s="46"/>
    </row>
    <row r="90" spans="1:34" s="10" customFormat="1" ht="171" customHeight="1" x14ac:dyDescent="0.2">
      <c r="A90" s="347" t="s">
        <v>445</v>
      </c>
      <c r="B90" s="309" t="s">
        <v>336</v>
      </c>
      <c r="C90" s="310" t="s">
        <v>49</v>
      </c>
      <c r="D90" s="311" t="s">
        <v>48</v>
      </c>
      <c r="E90" s="312">
        <f>F90+G90+H90+I90</f>
        <v>17888</v>
      </c>
      <c r="F90" s="313">
        <v>17888</v>
      </c>
      <c r="G90" s="313">
        <v>0</v>
      </c>
      <c r="H90" s="313">
        <v>0</v>
      </c>
      <c r="I90" s="313">
        <v>0</v>
      </c>
      <c r="J90" s="312">
        <f>K90+L90+M90+N90</f>
        <v>15100</v>
      </c>
      <c r="K90" s="313">
        <f>11647+3453</f>
        <v>15100</v>
      </c>
      <c r="L90" s="313">
        <v>0</v>
      </c>
      <c r="M90" s="313">
        <v>0</v>
      </c>
      <c r="N90" s="313">
        <v>0</v>
      </c>
      <c r="O90" s="312">
        <f>SUM(P90:S90)</f>
        <v>17715</v>
      </c>
      <c r="P90" s="313">
        <f>15105+2610</f>
        <v>17715</v>
      </c>
      <c r="Q90" s="313">
        <v>0</v>
      </c>
      <c r="R90" s="313">
        <v>0</v>
      </c>
      <c r="S90" s="313">
        <v>0</v>
      </c>
      <c r="T90" s="312">
        <f>SUM(U90:X90)</f>
        <v>20138</v>
      </c>
      <c r="U90" s="313">
        <f>15105+5033</f>
        <v>20138</v>
      </c>
      <c r="V90" s="313">
        <v>0</v>
      </c>
      <c r="W90" s="313">
        <v>0</v>
      </c>
      <c r="X90" s="313">
        <v>0</v>
      </c>
      <c r="Y90" s="312">
        <f>SUM(Z90:AC90)</f>
        <v>17500</v>
      </c>
      <c r="Z90" s="313">
        <f>15105+2395</f>
        <v>17500</v>
      </c>
      <c r="AA90" s="313">
        <v>0</v>
      </c>
      <c r="AB90" s="313">
        <v>0</v>
      </c>
      <c r="AC90" s="313">
        <v>0</v>
      </c>
      <c r="AD90" s="312">
        <f>E90+J90+O90+T90+Y90</f>
        <v>88341</v>
      </c>
      <c r="AE90" s="46"/>
      <c r="AF90" s="46"/>
      <c r="AG90" s="46"/>
      <c r="AH90" s="46"/>
    </row>
    <row r="91" spans="1:34" s="10" customFormat="1" ht="399.75" customHeight="1" x14ac:dyDescent="0.2">
      <c r="A91" s="347" t="s">
        <v>479</v>
      </c>
      <c r="B91" s="309" t="s">
        <v>335</v>
      </c>
      <c r="C91" s="310" t="s">
        <v>49</v>
      </c>
      <c r="D91" s="311" t="s">
        <v>365</v>
      </c>
      <c r="E91" s="312">
        <f>F91+G91+H91+I91</f>
        <v>29008</v>
      </c>
      <c r="F91" s="313">
        <v>290</v>
      </c>
      <c r="G91" s="313">
        <v>28718</v>
      </c>
      <c r="H91" s="313">
        <v>0</v>
      </c>
      <c r="I91" s="313">
        <v>0</v>
      </c>
      <c r="J91" s="314">
        <f>K91+L91+M91+N91</f>
        <v>68767</v>
      </c>
      <c r="K91" s="315">
        <f>435+253</f>
        <v>688</v>
      </c>
      <c r="L91" s="315">
        <f>43081+24998</f>
        <v>68079</v>
      </c>
      <c r="M91" s="313">
        <v>0</v>
      </c>
      <c r="N91" s="313">
        <v>0</v>
      </c>
      <c r="O91" s="312">
        <f>SUM(P91:S91)</f>
        <v>0</v>
      </c>
      <c r="P91" s="313">
        <v>0</v>
      </c>
      <c r="Q91" s="313">
        <v>0</v>
      </c>
      <c r="R91" s="313">
        <v>0</v>
      </c>
      <c r="S91" s="313">
        <v>0</v>
      </c>
      <c r="T91" s="312">
        <f>SUM(U91:X91)</f>
        <v>0</v>
      </c>
      <c r="U91" s="313">
        <v>0</v>
      </c>
      <c r="V91" s="313">
        <v>0</v>
      </c>
      <c r="W91" s="313">
        <v>0</v>
      </c>
      <c r="X91" s="313">
        <v>0</v>
      </c>
      <c r="Y91" s="312">
        <f>SUM(Z91:AC91)</f>
        <v>0</v>
      </c>
      <c r="Z91" s="313">
        <v>0</v>
      </c>
      <c r="AA91" s="313">
        <v>0</v>
      </c>
      <c r="AB91" s="313">
        <v>0</v>
      </c>
      <c r="AC91" s="313">
        <v>0</v>
      </c>
      <c r="AD91" s="312">
        <f>E91+J91+O91+T91+Y91</f>
        <v>97775</v>
      </c>
      <c r="AE91" s="46"/>
      <c r="AF91" s="46"/>
      <c r="AG91" s="46"/>
      <c r="AH91" s="46"/>
    </row>
    <row r="92" spans="1:34" s="10" customFormat="1" ht="104.25" customHeight="1" x14ac:dyDescent="0.2">
      <c r="A92" s="347" t="s">
        <v>480</v>
      </c>
      <c r="B92" s="349" t="s">
        <v>313</v>
      </c>
      <c r="C92" s="348" t="s">
        <v>49</v>
      </c>
      <c r="D92" s="335"/>
      <c r="E92" s="351">
        <v>0</v>
      </c>
      <c r="F92" s="350">
        <v>0</v>
      </c>
      <c r="G92" s="350">
        <v>0</v>
      </c>
      <c r="H92" s="350">
        <v>0</v>
      </c>
      <c r="I92" s="350">
        <v>0</v>
      </c>
      <c r="J92" s="351">
        <v>0</v>
      </c>
      <c r="K92" s="350">
        <v>0</v>
      </c>
      <c r="L92" s="350">
        <v>0</v>
      </c>
      <c r="M92" s="350">
        <v>0</v>
      </c>
      <c r="N92" s="350">
        <v>0</v>
      </c>
      <c r="O92" s="351">
        <f>SUM(P92:S92)</f>
        <v>0</v>
      </c>
      <c r="P92" s="350">
        <v>0</v>
      </c>
      <c r="Q92" s="350">
        <v>0</v>
      </c>
      <c r="R92" s="350">
        <v>0</v>
      </c>
      <c r="S92" s="350">
        <v>0</v>
      </c>
      <c r="T92" s="351">
        <f>SUM(U92:X92)</f>
        <v>0</v>
      </c>
      <c r="U92" s="350">
        <v>0</v>
      </c>
      <c r="V92" s="350">
        <v>0</v>
      </c>
      <c r="W92" s="350">
        <v>0</v>
      </c>
      <c r="X92" s="350">
        <v>0</v>
      </c>
      <c r="Y92" s="351">
        <f>SUM(Z92:AC92)</f>
        <v>0</v>
      </c>
      <c r="Z92" s="350">
        <f>26509-100-26409</f>
        <v>0</v>
      </c>
      <c r="AA92" s="350">
        <v>0</v>
      </c>
      <c r="AB92" s="350">
        <v>0</v>
      </c>
      <c r="AC92" s="350">
        <v>0</v>
      </c>
      <c r="AD92" s="351">
        <f>E92+J92+O92+T92+Y92</f>
        <v>0</v>
      </c>
      <c r="AE92" s="46"/>
      <c r="AF92" s="46"/>
      <c r="AG92" s="46"/>
      <c r="AH92" s="46"/>
    </row>
    <row r="93" spans="1:34" s="10" customFormat="1" ht="181.5" customHeight="1" x14ac:dyDescent="0.2">
      <c r="A93" s="347" t="s">
        <v>481</v>
      </c>
      <c r="B93" s="349" t="s">
        <v>625</v>
      </c>
      <c r="C93" s="335" t="s">
        <v>49</v>
      </c>
      <c r="D93" s="335" t="s">
        <v>48</v>
      </c>
      <c r="E93" s="351">
        <f>F93+G93+H93+I93</f>
        <v>214462</v>
      </c>
      <c r="F93" s="350">
        <f>214652+100-290</f>
        <v>214462</v>
      </c>
      <c r="G93" s="350">
        <v>0</v>
      </c>
      <c r="H93" s="350">
        <v>0</v>
      </c>
      <c r="I93" s="350">
        <v>0</v>
      </c>
      <c r="J93" s="351">
        <f>K93+L93+M93+N93</f>
        <v>258636</v>
      </c>
      <c r="K93" s="350">
        <f>214752+384</f>
        <v>215136</v>
      </c>
      <c r="L93" s="350">
        <v>43500</v>
      </c>
      <c r="M93" s="350">
        <v>0</v>
      </c>
      <c r="N93" s="350">
        <v>0</v>
      </c>
      <c r="O93" s="351">
        <f>SUM(P93:S93)</f>
        <v>298863</v>
      </c>
      <c r="P93" s="350">
        <f>214752+40676+544-609</f>
        <v>255363</v>
      </c>
      <c r="Q93" s="350">
        <v>43500</v>
      </c>
      <c r="R93" s="350">
        <v>0</v>
      </c>
      <c r="S93" s="350">
        <v>0</v>
      </c>
      <c r="T93" s="351">
        <f>SUM(U93:X93)</f>
        <v>889358</v>
      </c>
      <c r="U93" s="350">
        <f>214752+50870+17934-2500+187599-25854-200</f>
        <v>442601</v>
      </c>
      <c r="V93" s="350">
        <f>43500+35747+473763-106253</f>
        <v>446757</v>
      </c>
      <c r="W93" s="350">
        <v>0</v>
      </c>
      <c r="X93" s="350">
        <v>0</v>
      </c>
      <c r="Y93" s="351">
        <f>SUM(Z93:AC93)</f>
        <v>598670</v>
      </c>
      <c r="Z93" s="350">
        <f>214652+100+50870+22298+314647-47397</f>
        <v>555170</v>
      </c>
      <c r="AA93" s="350">
        <v>43500</v>
      </c>
      <c r="AB93" s="350">
        <v>0</v>
      </c>
      <c r="AC93" s="350">
        <v>0</v>
      </c>
      <c r="AD93" s="351">
        <f>E93+J93+O93+T93+Y93</f>
        <v>2259989</v>
      </c>
      <c r="AE93" s="46"/>
      <c r="AF93" s="46"/>
      <c r="AG93" s="46"/>
      <c r="AH93" s="46"/>
    </row>
    <row r="94" spans="1:34" s="30" customFormat="1" ht="39" customHeight="1" x14ac:dyDescent="0.2">
      <c r="A94" s="330" t="s">
        <v>38</v>
      </c>
      <c r="B94" s="465" t="s">
        <v>482</v>
      </c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465"/>
      <c r="P94" s="465"/>
      <c r="Q94" s="465"/>
      <c r="R94" s="465"/>
      <c r="S94" s="465"/>
      <c r="T94" s="465"/>
      <c r="U94" s="465"/>
      <c r="V94" s="465"/>
      <c r="W94" s="465"/>
      <c r="X94" s="465"/>
      <c r="Y94" s="465"/>
      <c r="Z94" s="465"/>
      <c r="AA94" s="465"/>
      <c r="AB94" s="465"/>
      <c r="AC94" s="465"/>
      <c r="AD94" s="467"/>
      <c r="AE94" s="316"/>
      <c r="AF94" s="316"/>
      <c r="AG94" s="316"/>
      <c r="AH94" s="316"/>
    </row>
    <row r="95" spans="1:34" s="10" customFormat="1" ht="44.45" customHeight="1" x14ac:dyDescent="0.2">
      <c r="A95" s="471" t="s">
        <v>446</v>
      </c>
      <c r="B95" s="494" t="s">
        <v>626</v>
      </c>
      <c r="C95" s="479" t="s">
        <v>49</v>
      </c>
      <c r="D95" s="421" t="s">
        <v>48</v>
      </c>
      <c r="E95" s="477">
        <f>F95+G95+H95+I95</f>
        <v>76067</v>
      </c>
      <c r="F95" s="476">
        <v>761</v>
      </c>
      <c r="G95" s="476">
        <f>75306</f>
        <v>75306</v>
      </c>
      <c r="H95" s="476">
        <v>0</v>
      </c>
      <c r="I95" s="476">
        <v>0</v>
      </c>
      <c r="J95" s="477">
        <f>K95+L95+M95+N95</f>
        <v>76067</v>
      </c>
      <c r="K95" s="476">
        <v>761</v>
      </c>
      <c r="L95" s="476">
        <v>75306</v>
      </c>
      <c r="M95" s="476">
        <v>0</v>
      </c>
      <c r="N95" s="476">
        <v>0</v>
      </c>
      <c r="O95" s="477">
        <f t="shared" ref="O95:O104" si="34">SUM(P95:S95)</f>
        <v>75512</v>
      </c>
      <c r="P95" s="476">
        <f>761-5</f>
        <v>756</v>
      </c>
      <c r="Q95" s="476">
        <v>74756</v>
      </c>
      <c r="R95" s="476">
        <v>0</v>
      </c>
      <c r="S95" s="476">
        <v>0</v>
      </c>
      <c r="T95" s="477">
        <f>SUM(U95:X95)</f>
        <v>75511</v>
      </c>
      <c r="U95" s="476">
        <f>761-5-1</f>
        <v>755</v>
      </c>
      <c r="V95" s="476">
        <v>74756</v>
      </c>
      <c r="W95" s="476">
        <v>0</v>
      </c>
      <c r="X95" s="476">
        <v>0</v>
      </c>
      <c r="Y95" s="477">
        <f>SUM(Z95:AC95)</f>
        <v>62927</v>
      </c>
      <c r="Z95" s="476">
        <v>630</v>
      </c>
      <c r="AA95" s="476">
        <v>62297</v>
      </c>
      <c r="AB95" s="476">
        <v>0</v>
      </c>
      <c r="AC95" s="476">
        <v>0</v>
      </c>
      <c r="AD95" s="477">
        <f>E95+J95+O95+T95+Y95</f>
        <v>366084</v>
      </c>
      <c r="AE95" s="46"/>
      <c r="AF95" s="46"/>
      <c r="AG95" s="46"/>
      <c r="AH95" s="46"/>
    </row>
    <row r="96" spans="1:34" s="10" customFormat="1" ht="285" customHeight="1" x14ac:dyDescent="0.2">
      <c r="A96" s="471"/>
      <c r="B96" s="494"/>
      <c r="C96" s="479"/>
      <c r="D96" s="421"/>
      <c r="E96" s="477"/>
      <c r="F96" s="476"/>
      <c r="G96" s="476"/>
      <c r="H96" s="476"/>
      <c r="I96" s="476"/>
      <c r="J96" s="477"/>
      <c r="K96" s="476"/>
      <c r="L96" s="476"/>
      <c r="M96" s="476"/>
      <c r="N96" s="476"/>
      <c r="O96" s="477">
        <f t="shared" si="34"/>
        <v>0</v>
      </c>
      <c r="P96" s="476"/>
      <c r="Q96" s="476"/>
      <c r="R96" s="476"/>
      <c r="S96" s="476"/>
      <c r="T96" s="477">
        <f>SUM(U96:X96)</f>
        <v>0</v>
      </c>
      <c r="U96" s="476"/>
      <c r="V96" s="476"/>
      <c r="W96" s="476"/>
      <c r="X96" s="476"/>
      <c r="Y96" s="477">
        <f>SUM(Z96:AC96)</f>
        <v>0</v>
      </c>
      <c r="Z96" s="476"/>
      <c r="AA96" s="476"/>
      <c r="AB96" s="476"/>
      <c r="AC96" s="476"/>
      <c r="AD96" s="477"/>
      <c r="AE96" s="293">
        <f>F95+K95+P95+U95+Z95</f>
        <v>3663</v>
      </c>
      <c r="AF96" s="293">
        <f>G96+L96+Q96+V95+AA95</f>
        <v>137053</v>
      </c>
      <c r="AG96" s="293">
        <f>H96+M96+R96+W96+AB96</f>
        <v>0</v>
      </c>
      <c r="AH96" s="293">
        <f>I96+N96+S96+X96+AC96</f>
        <v>0</v>
      </c>
    </row>
    <row r="97" spans="1:34" s="10" customFormat="1" ht="150" customHeight="1" x14ac:dyDescent="0.2">
      <c r="A97" s="347" t="s">
        <v>513</v>
      </c>
      <c r="B97" s="349" t="s">
        <v>514</v>
      </c>
      <c r="C97" s="348" t="s">
        <v>49</v>
      </c>
      <c r="D97" s="335" t="s">
        <v>143</v>
      </c>
      <c r="E97" s="351">
        <f>F97+G97+H97+I97</f>
        <v>0</v>
      </c>
      <c r="F97" s="350">
        <v>0</v>
      </c>
      <c r="G97" s="350">
        <v>0</v>
      </c>
      <c r="H97" s="350">
        <v>0</v>
      </c>
      <c r="I97" s="350">
        <v>0</v>
      </c>
      <c r="J97" s="351">
        <f>K97+L97+M97+N97</f>
        <v>143197</v>
      </c>
      <c r="K97" s="350">
        <v>0</v>
      </c>
      <c r="L97" s="350">
        <v>143197</v>
      </c>
      <c r="M97" s="350">
        <v>0</v>
      </c>
      <c r="N97" s="350">
        <v>0</v>
      </c>
      <c r="O97" s="351">
        <f t="shared" si="34"/>
        <v>28398</v>
      </c>
      <c r="P97" s="350">
        <v>28398</v>
      </c>
      <c r="Q97" s="350">
        <v>0</v>
      </c>
      <c r="R97" s="350">
        <v>0</v>
      </c>
      <c r="S97" s="350">
        <v>0</v>
      </c>
      <c r="T97" s="351">
        <f>SUM(U97:X97)</f>
        <v>48682</v>
      </c>
      <c r="U97" s="350">
        <v>48682</v>
      </c>
      <c r="V97" s="350">
        <v>0</v>
      </c>
      <c r="W97" s="350">
        <v>0</v>
      </c>
      <c r="X97" s="350">
        <v>0</v>
      </c>
      <c r="Y97" s="351">
        <f>SUM(Z97:AC97)</f>
        <v>48682</v>
      </c>
      <c r="Z97" s="350">
        <v>48682</v>
      </c>
      <c r="AA97" s="350">
        <v>0</v>
      </c>
      <c r="AB97" s="350">
        <v>0</v>
      </c>
      <c r="AC97" s="350">
        <v>0</v>
      </c>
      <c r="AD97" s="351">
        <f>J97+O97+T97+Y97</f>
        <v>268959</v>
      </c>
      <c r="AE97" s="293"/>
      <c r="AF97" s="293"/>
      <c r="AG97" s="293"/>
      <c r="AH97" s="293"/>
    </row>
    <row r="98" spans="1:34" s="10" customFormat="1" ht="198" customHeight="1" x14ac:dyDescent="0.2">
      <c r="A98" s="347" t="s">
        <v>577</v>
      </c>
      <c r="B98" s="349" t="s">
        <v>610</v>
      </c>
      <c r="C98" s="348" t="s">
        <v>49</v>
      </c>
      <c r="D98" s="335">
        <v>2024</v>
      </c>
      <c r="E98" s="351">
        <f>F98+G98+H98+I98</f>
        <v>0</v>
      </c>
      <c r="F98" s="350">
        <v>0</v>
      </c>
      <c r="G98" s="350">
        <v>0</v>
      </c>
      <c r="H98" s="350">
        <v>0</v>
      </c>
      <c r="I98" s="350">
        <v>0</v>
      </c>
      <c r="J98" s="351">
        <f>K98+L98+M98+N98</f>
        <v>0</v>
      </c>
      <c r="K98" s="350">
        <v>0</v>
      </c>
      <c r="L98" s="350">
        <v>0</v>
      </c>
      <c r="M98" s="350">
        <v>0</v>
      </c>
      <c r="N98" s="350">
        <v>0</v>
      </c>
      <c r="O98" s="351">
        <f t="shared" si="34"/>
        <v>0</v>
      </c>
      <c r="P98" s="350">
        <v>0</v>
      </c>
      <c r="Q98" s="350">
        <v>0</v>
      </c>
      <c r="R98" s="350">
        <v>0</v>
      </c>
      <c r="S98" s="350">
        <v>0</v>
      </c>
      <c r="T98" s="351">
        <f>SUM(U98:X98)</f>
        <v>217638</v>
      </c>
      <c r="U98" s="350">
        <v>2176</v>
      </c>
      <c r="V98" s="350">
        <v>215462</v>
      </c>
      <c r="W98" s="350">
        <v>0</v>
      </c>
      <c r="X98" s="350">
        <v>0</v>
      </c>
      <c r="Y98" s="351">
        <f>SUM(Z98:AC98)</f>
        <v>0</v>
      </c>
      <c r="Z98" s="350">
        <v>0</v>
      </c>
      <c r="AA98" s="350">
        <v>0</v>
      </c>
      <c r="AB98" s="350">
        <v>0</v>
      </c>
      <c r="AC98" s="350">
        <v>0</v>
      </c>
      <c r="AD98" s="351">
        <f>J98+O98+T98+Y98</f>
        <v>217638</v>
      </c>
      <c r="AE98" s="293"/>
      <c r="AF98" s="293"/>
      <c r="AG98" s="293"/>
      <c r="AH98" s="293"/>
    </row>
    <row r="99" spans="1:34" s="10" customFormat="1" ht="38.25" customHeight="1" x14ac:dyDescent="0.2">
      <c r="A99" s="280" t="s">
        <v>560</v>
      </c>
      <c r="B99" s="464" t="s">
        <v>566</v>
      </c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7"/>
      <c r="AE99" s="293"/>
      <c r="AF99" s="293"/>
      <c r="AG99" s="293"/>
      <c r="AH99" s="293"/>
    </row>
    <row r="100" spans="1:34" s="10" customFormat="1" ht="333" customHeight="1" x14ac:dyDescent="0.2">
      <c r="A100" s="347" t="s">
        <v>561</v>
      </c>
      <c r="B100" s="317" t="s">
        <v>562</v>
      </c>
      <c r="C100" s="335" t="s">
        <v>49</v>
      </c>
      <c r="D100" s="335" t="s">
        <v>559</v>
      </c>
      <c r="E100" s="351">
        <f>SUM(F100:I100)</f>
        <v>0</v>
      </c>
      <c r="F100" s="350">
        <v>0</v>
      </c>
      <c r="G100" s="350">
        <v>0</v>
      </c>
      <c r="H100" s="350">
        <v>0</v>
      </c>
      <c r="I100" s="350">
        <v>0</v>
      </c>
      <c r="J100" s="351">
        <f>SUM(K100:N100)</f>
        <v>0</v>
      </c>
      <c r="K100" s="350">
        <v>0</v>
      </c>
      <c r="L100" s="350">
        <v>0</v>
      </c>
      <c r="M100" s="350">
        <v>0</v>
      </c>
      <c r="N100" s="350">
        <v>0</v>
      </c>
      <c r="O100" s="351">
        <f>SUM(P100:S100)</f>
        <v>3854</v>
      </c>
      <c r="P100" s="350">
        <v>3854</v>
      </c>
      <c r="Q100" s="350">
        <v>0</v>
      </c>
      <c r="R100" s="350">
        <v>0</v>
      </c>
      <c r="S100" s="350">
        <v>0</v>
      </c>
      <c r="T100" s="351">
        <f>SUM(U100:X100)</f>
        <v>2706</v>
      </c>
      <c r="U100" s="350">
        <f>3854-1148</f>
        <v>2706</v>
      </c>
      <c r="V100" s="350">
        <v>0</v>
      </c>
      <c r="W100" s="350">
        <v>0</v>
      </c>
      <c r="X100" s="350">
        <v>0</v>
      </c>
      <c r="Y100" s="351">
        <f>SUM(Z100:AC100)</f>
        <v>2706</v>
      </c>
      <c r="Z100" s="350">
        <f>3854-1148</f>
        <v>2706</v>
      </c>
      <c r="AA100" s="350">
        <v>0</v>
      </c>
      <c r="AB100" s="350">
        <v>0</v>
      </c>
      <c r="AC100" s="350">
        <v>0</v>
      </c>
      <c r="AD100" s="351">
        <f>E100+J100+O100+T100+Y100</f>
        <v>9266</v>
      </c>
      <c r="AE100" s="293"/>
      <c r="AF100" s="293"/>
      <c r="AG100" s="293"/>
      <c r="AH100" s="293"/>
    </row>
    <row r="101" spans="1:34" s="4" customFormat="1" ht="42" customHeight="1" x14ac:dyDescent="0.25">
      <c r="A101" s="478" t="s">
        <v>47</v>
      </c>
      <c r="B101" s="478"/>
      <c r="C101" s="478"/>
      <c r="D101" s="318"/>
      <c r="E101" s="351">
        <f>SUM(F101:I101)</f>
        <v>337537</v>
      </c>
      <c r="F101" s="351">
        <f>SUM(F87:F100)</f>
        <v>233401</v>
      </c>
      <c r="G101" s="351">
        <f>SUM(G87:G100)</f>
        <v>104024</v>
      </c>
      <c r="H101" s="351">
        <f>SUM(H87:H96)</f>
        <v>0</v>
      </c>
      <c r="I101" s="351">
        <f>SUM(I87:I97)</f>
        <v>112</v>
      </c>
      <c r="J101" s="351">
        <f>SUM(K101:N101)</f>
        <v>561879</v>
      </c>
      <c r="K101" s="351">
        <f>SUM(K87:K100)</f>
        <v>231685</v>
      </c>
      <c r="L101" s="351">
        <f>SUM(L87:L100)</f>
        <v>330082</v>
      </c>
      <c r="M101" s="351">
        <f>SUM(M87:M96)</f>
        <v>0</v>
      </c>
      <c r="N101" s="351">
        <f>SUM(N87:N96)</f>
        <v>112</v>
      </c>
      <c r="O101" s="351">
        <f>SUM(P101:S101)</f>
        <v>424342</v>
      </c>
      <c r="P101" s="351">
        <f>SUM(P87:P100)</f>
        <v>306086</v>
      </c>
      <c r="Q101" s="351">
        <f>SUM(Q87:Q100)</f>
        <v>118256</v>
      </c>
      <c r="R101" s="351">
        <f>SUM(R87:R97)</f>
        <v>0</v>
      </c>
      <c r="S101" s="351">
        <f>SUM(S87:S97)</f>
        <v>0</v>
      </c>
      <c r="T101" s="351">
        <f>SUM(U101:X101)</f>
        <v>1254714</v>
      </c>
      <c r="U101" s="351">
        <f>SUM(U87:U100)</f>
        <v>517739</v>
      </c>
      <c r="V101" s="351">
        <f>SUM(V87:V100)</f>
        <v>736975</v>
      </c>
      <c r="W101" s="351">
        <f>SUM(W87:W97)</f>
        <v>0</v>
      </c>
      <c r="X101" s="351">
        <f>SUM(X87:X97)</f>
        <v>0</v>
      </c>
      <c r="Y101" s="351">
        <f>SUM(Z101:AC101)</f>
        <v>730485</v>
      </c>
      <c r="Z101" s="351">
        <f>SUM(Z87:Z100)</f>
        <v>624688</v>
      </c>
      <c r="AA101" s="351">
        <f>SUM(AA87:AA100)</f>
        <v>105797</v>
      </c>
      <c r="AB101" s="351">
        <f>SUM(AB87:AB97)</f>
        <v>0</v>
      </c>
      <c r="AC101" s="351">
        <f>SUM(AC87:AC97)</f>
        <v>0</v>
      </c>
      <c r="AD101" s="351">
        <f>SUM(AD87:AD100)</f>
        <v>3308957</v>
      </c>
      <c r="AE101" s="293">
        <f>F101+K101+P101+U101+Z101</f>
        <v>1913599</v>
      </c>
      <c r="AF101" s="293">
        <f>G101+L101+Q101+V101+AA101</f>
        <v>1395134</v>
      </c>
      <c r="AG101" s="293">
        <f>H101+M101+R101+W101+AB101</f>
        <v>0</v>
      </c>
      <c r="AH101" s="293">
        <f>I101+N101+S101+X101+AC101</f>
        <v>224</v>
      </c>
    </row>
    <row r="102" spans="1:34" s="4" customFormat="1" ht="42" customHeight="1" x14ac:dyDescent="0.25">
      <c r="A102" s="452" t="s">
        <v>384</v>
      </c>
      <c r="B102" s="452"/>
      <c r="C102" s="452"/>
      <c r="D102" s="318"/>
      <c r="E102" s="351">
        <f>E104-E103</f>
        <v>2377245</v>
      </c>
      <c r="F102" s="351">
        <f t="shared" ref="F102:AC102" si="35">F104-F103</f>
        <v>797208</v>
      </c>
      <c r="G102" s="351">
        <f t="shared" si="35"/>
        <v>1453132</v>
      </c>
      <c r="H102" s="351">
        <f t="shared" si="35"/>
        <v>126793</v>
      </c>
      <c r="I102" s="351">
        <f t="shared" si="35"/>
        <v>112</v>
      </c>
      <c r="J102" s="351">
        <f>J104-J103</f>
        <v>2475929</v>
      </c>
      <c r="K102" s="351">
        <f>K104-K103</f>
        <v>854874</v>
      </c>
      <c r="L102" s="351">
        <f t="shared" si="35"/>
        <v>1620943</v>
      </c>
      <c r="M102" s="351">
        <f t="shared" si="35"/>
        <v>0</v>
      </c>
      <c r="N102" s="351">
        <f t="shared" si="35"/>
        <v>112</v>
      </c>
      <c r="O102" s="351">
        <f t="shared" si="34"/>
        <v>2886963</v>
      </c>
      <c r="P102" s="351">
        <f t="shared" si="35"/>
        <v>989594</v>
      </c>
      <c r="Q102" s="351">
        <f t="shared" si="35"/>
        <v>1897369</v>
      </c>
      <c r="R102" s="351">
        <f t="shared" si="35"/>
        <v>0</v>
      </c>
      <c r="S102" s="351">
        <f t="shared" si="35"/>
        <v>0</v>
      </c>
      <c r="T102" s="351">
        <f>SUM(U102:X102)</f>
        <v>3717103</v>
      </c>
      <c r="U102" s="351">
        <f t="shared" si="35"/>
        <v>1492336</v>
      </c>
      <c r="V102" s="351">
        <f t="shared" si="35"/>
        <v>2224767</v>
      </c>
      <c r="W102" s="351">
        <f t="shared" si="35"/>
        <v>0</v>
      </c>
      <c r="X102" s="351">
        <f t="shared" si="35"/>
        <v>0</v>
      </c>
      <c r="Y102" s="351">
        <f>SUM(Z102:AC102)</f>
        <v>1511373</v>
      </c>
      <c r="Z102" s="351">
        <f t="shared" si="35"/>
        <v>1405576</v>
      </c>
      <c r="AA102" s="351">
        <f>AA104-AA103</f>
        <v>105797</v>
      </c>
      <c r="AB102" s="351">
        <f t="shared" si="35"/>
        <v>0</v>
      </c>
      <c r="AC102" s="351">
        <f t="shared" si="35"/>
        <v>0</v>
      </c>
      <c r="AD102" s="351">
        <f>E102+J102+O102+T102+Y102</f>
        <v>12968613</v>
      </c>
      <c r="AE102" s="293">
        <f>AE104-AD103</f>
        <v>5539588</v>
      </c>
      <c r="AF102" s="293">
        <f>AF104</f>
        <v>7302008</v>
      </c>
      <c r="AG102" s="293">
        <f>AG104</f>
        <v>126793</v>
      </c>
      <c r="AH102" s="293">
        <f>AH104</f>
        <v>224</v>
      </c>
    </row>
    <row r="103" spans="1:34" s="4" customFormat="1" ht="35.25" customHeight="1" x14ac:dyDescent="0.25">
      <c r="A103" s="478" t="s">
        <v>383</v>
      </c>
      <c r="B103" s="478"/>
      <c r="C103" s="478"/>
      <c r="D103" s="318"/>
      <c r="E103" s="351">
        <f>F103+G103+H103+I103</f>
        <v>988</v>
      </c>
      <c r="F103" s="351">
        <f>F58</f>
        <v>988</v>
      </c>
      <c r="G103" s="351">
        <f>G58</f>
        <v>0</v>
      </c>
      <c r="H103" s="351">
        <f>H58</f>
        <v>0</v>
      </c>
      <c r="I103" s="351">
        <f>I58</f>
        <v>0</v>
      </c>
      <c r="J103" s="351">
        <f>K103+L103+M103+N103</f>
        <v>1584</v>
      </c>
      <c r="K103" s="351">
        <f>K58</f>
        <v>1584</v>
      </c>
      <c r="L103" s="351">
        <f>L58</f>
        <v>0</v>
      </c>
      <c r="M103" s="351">
        <f>M58</f>
        <v>0</v>
      </c>
      <c r="N103" s="351">
        <f>N58</f>
        <v>0</v>
      </c>
      <c r="O103" s="351">
        <f t="shared" si="34"/>
        <v>3417</v>
      </c>
      <c r="P103" s="351">
        <f>O49</f>
        <v>3417</v>
      </c>
      <c r="Q103" s="351">
        <f>Q58</f>
        <v>0</v>
      </c>
      <c r="R103" s="351">
        <f>R58</f>
        <v>0</v>
      </c>
      <c r="S103" s="351">
        <f>S58</f>
        <v>0</v>
      </c>
      <c r="T103" s="351">
        <f>SUM(U103:X103)</f>
        <v>0</v>
      </c>
      <c r="U103" s="351">
        <f>U58+U60</f>
        <v>0</v>
      </c>
      <c r="V103" s="351">
        <f>V58</f>
        <v>0</v>
      </c>
      <c r="W103" s="351">
        <f>W58</f>
        <v>0</v>
      </c>
      <c r="X103" s="351">
        <f>X58</f>
        <v>0</v>
      </c>
      <c r="Y103" s="351">
        <f>SUM(Z103:AC103)</f>
        <v>0</v>
      </c>
      <c r="Z103" s="351">
        <f>Z58</f>
        <v>0</v>
      </c>
      <c r="AA103" s="351">
        <f>AA58</f>
        <v>0</v>
      </c>
      <c r="AB103" s="351">
        <f>AB58</f>
        <v>0</v>
      </c>
      <c r="AC103" s="351">
        <f>AC58</f>
        <v>0</v>
      </c>
      <c r="AD103" s="351">
        <f>E103+J103+O103+T103+Y103</f>
        <v>5989</v>
      </c>
      <c r="AE103" s="293"/>
      <c r="AF103" s="293"/>
      <c r="AG103" s="293"/>
      <c r="AH103" s="293"/>
    </row>
    <row r="104" spans="1:34" s="31" customFormat="1" ht="42" customHeight="1" x14ac:dyDescent="0.25">
      <c r="A104" s="452" t="s">
        <v>385</v>
      </c>
      <c r="B104" s="452"/>
      <c r="C104" s="452"/>
      <c r="D104" s="307"/>
      <c r="E104" s="351">
        <f t="shared" ref="E104:N104" si="36">E50+E101+E69+E82</f>
        <v>2378233</v>
      </c>
      <c r="F104" s="351">
        <f t="shared" si="36"/>
        <v>798196</v>
      </c>
      <c r="G104" s="351">
        <f t="shared" si="36"/>
        <v>1453132</v>
      </c>
      <c r="H104" s="351">
        <f t="shared" si="36"/>
        <v>126793</v>
      </c>
      <c r="I104" s="351">
        <f t="shared" si="36"/>
        <v>112</v>
      </c>
      <c r="J104" s="351">
        <f t="shared" si="36"/>
        <v>2477513</v>
      </c>
      <c r="K104" s="351">
        <f t="shared" si="36"/>
        <v>856458</v>
      </c>
      <c r="L104" s="351">
        <f t="shared" si="36"/>
        <v>1620943</v>
      </c>
      <c r="M104" s="351">
        <f t="shared" si="36"/>
        <v>0</v>
      </c>
      <c r="N104" s="351">
        <f t="shared" si="36"/>
        <v>112</v>
      </c>
      <c r="O104" s="351">
        <f t="shared" si="34"/>
        <v>2890380</v>
      </c>
      <c r="P104" s="351">
        <f>P50+P101+P69+P82</f>
        <v>993011</v>
      </c>
      <c r="Q104" s="351">
        <f>Q50+Q101+Q69+Q82</f>
        <v>1897369</v>
      </c>
      <c r="R104" s="351">
        <f>R50+R101+R69+R82</f>
        <v>0</v>
      </c>
      <c r="S104" s="351">
        <f>S50+S101+S69+S82</f>
        <v>0</v>
      </c>
      <c r="T104" s="351">
        <f>SUM(U104:X104)</f>
        <v>3717103</v>
      </c>
      <c r="U104" s="351">
        <f>U50+U101+U69+U82</f>
        <v>1492336</v>
      </c>
      <c r="V104" s="351">
        <f>V50+V101+V69+V82</f>
        <v>2224767</v>
      </c>
      <c r="W104" s="351">
        <f>W50+W101+W69+W82</f>
        <v>0</v>
      </c>
      <c r="X104" s="351">
        <f>X50+X101+X69+X82</f>
        <v>0</v>
      </c>
      <c r="Y104" s="351">
        <f>SUM(Z104:AC104)</f>
        <v>1511373</v>
      </c>
      <c r="Z104" s="351">
        <f t="shared" ref="Z104:AH104" si="37">Z50+Z101+Z69+Z82</f>
        <v>1405576</v>
      </c>
      <c r="AA104" s="351">
        <f t="shared" si="37"/>
        <v>105797</v>
      </c>
      <c r="AB104" s="351">
        <f t="shared" si="37"/>
        <v>0</v>
      </c>
      <c r="AC104" s="351">
        <f t="shared" si="37"/>
        <v>0</v>
      </c>
      <c r="AD104" s="351">
        <f>AD50+AD101+AD69+AD82</f>
        <v>12974602</v>
      </c>
      <c r="AE104" s="293">
        <f t="shared" si="37"/>
        <v>5545577</v>
      </c>
      <c r="AF104" s="293">
        <f t="shared" si="37"/>
        <v>7302008</v>
      </c>
      <c r="AG104" s="293">
        <f t="shared" si="37"/>
        <v>126793</v>
      </c>
      <c r="AH104" s="293">
        <f t="shared" si="37"/>
        <v>224</v>
      </c>
    </row>
    <row r="105" spans="1:34" ht="42" customHeight="1" x14ac:dyDescent="0.2">
      <c r="E105" s="33"/>
      <c r="M105" s="34"/>
      <c r="N105" s="34"/>
      <c r="O105" s="35"/>
      <c r="P105" s="34"/>
      <c r="Q105" s="34"/>
    </row>
    <row r="106" spans="1:34" ht="42" customHeight="1" x14ac:dyDescent="0.2">
      <c r="C106" s="493" t="s">
        <v>330</v>
      </c>
      <c r="E106" s="36">
        <v>172475</v>
      </c>
      <c r="F106" s="40">
        <v>172475</v>
      </c>
      <c r="G106" s="40">
        <v>0</v>
      </c>
      <c r="H106" s="40">
        <v>0</v>
      </c>
      <c r="I106" s="40">
        <v>0</v>
      </c>
      <c r="J106" s="40">
        <v>98858</v>
      </c>
      <c r="K106" s="40">
        <v>98858</v>
      </c>
      <c r="L106" s="40">
        <v>0</v>
      </c>
      <c r="M106" s="40">
        <v>0</v>
      </c>
      <c r="N106" s="40">
        <v>0</v>
      </c>
      <c r="O106" s="40">
        <v>98858</v>
      </c>
      <c r="P106" s="40">
        <v>98858</v>
      </c>
      <c r="Q106" s="40">
        <v>0</v>
      </c>
      <c r="R106" s="40">
        <v>0</v>
      </c>
      <c r="S106" s="40">
        <v>0</v>
      </c>
      <c r="T106" s="40">
        <v>68359</v>
      </c>
      <c r="U106" s="40">
        <v>68359</v>
      </c>
      <c r="V106" s="40">
        <v>0</v>
      </c>
      <c r="W106" s="40">
        <v>0</v>
      </c>
      <c r="X106" s="40">
        <v>0</v>
      </c>
      <c r="Y106" s="40">
        <v>68359</v>
      </c>
      <c r="Z106" s="40">
        <v>68359</v>
      </c>
      <c r="AA106" s="40">
        <v>0</v>
      </c>
      <c r="AB106" s="40">
        <v>0</v>
      </c>
      <c r="AC106" s="40">
        <v>0</v>
      </c>
      <c r="AD106" s="40">
        <v>506909</v>
      </c>
      <c r="AE106" s="37">
        <f t="shared" ref="AE106:AE113" si="38">F106+K106+P106+U106+Z106</f>
        <v>506909</v>
      </c>
      <c r="AF106" s="37">
        <f t="shared" ref="AF106:AF113" si="39">G106+L106+Q106+V106+AA106</f>
        <v>0</v>
      </c>
      <c r="AG106" s="37">
        <f t="shared" ref="AG106:AG113" si="40">H106+M106+R106+W106+AB106</f>
        <v>0</v>
      </c>
      <c r="AH106" s="38">
        <f t="shared" ref="AH106:AH113" si="41">I106+N106+S106+X106+AC106</f>
        <v>0</v>
      </c>
    </row>
    <row r="107" spans="1:34" ht="42" customHeight="1" x14ac:dyDescent="0.2">
      <c r="C107" s="493"/>
      <c r="E107" s="40">
        <f t="shared" ref="E107:AD107" si="42">E50-E106</f>
        <v>537</v>
      </c>
      <c r="F107" s="40">
        <f t="shared" si="42"/>
        <v>537</v>
      </c>
      <c r="G107" s="40">
        <f t="shared" si="42"/>
        <v>0</v>
      </c>
      <c r="H107" s="40">
        <f t="shared" si="42"/>
        <v>0</v>
      </c>
      <c r="I107" s="40">
        <f t="shared" si="42"/>
        <v>0</v>
      </c>
      <c r="J107" s="40">
        <f t="shared" si="42"/>
        <v>4996</v>
      </c>
      <c r="K107" s="40">
        <f t="shared" si="42"/>
        <v>4996</v>
      </c>
      <c r="L107" s="40">
        <f t="shared" si="42"/>
        <v>0</v>
      </c>
      <c r="M107" s="40">
        <f t="shared" si="42"/>
        <v>0</v>
      </c>
      <c r="N107" s="40">
        <f t="shared" si="42"/>
        <v>0</v>
      </c>
      <c r="O107" s="40">
        <f t="shared" si="42"/>
        <v>30621</v>
      </c>
      <c r="P107" s="40">
        <f t="shared" si="42"/>
        <v>30621</v>
      </c>
      <c r="Q107" s="40">
        <f t="shared" si="42"/>
        <v>0</v>
      </c>
      <c r="R107" s="40">
        <f t="shared" si="42"/>
        <v>0</v>
      </c>
      <c r="S107" s="40">
        <f t="shared" si="42"/>
        <v>0</v>
      </c>
      <c r="T107" s="40">
        <f t="shared" si="42"/>
        <v>140573</v>
      </c>
      <c r="U107" s="40">
        <f t="shared" si="42"/>
        <v>140573</v>
      </c>
      <c r="V107" s="40">
        <f t="shared" si="42"/>
        <v>0</v>
      </c>
      <c r="W107" s="40">
        <f t="shared" si="42"/>
        <v>0</v>
      </c>
      <c r="X107" s="40">
        <f t="shared" si="42"/>
        <v>0</v>
      </c>
      <c r="Y107" s="40">
        <f t="shared" si="42"/>
        <v>86340</v>
      </c>
      <c r="Z107" s="40">
        <f t="shared" si="42"/>
        <v>86340</v>
      </c>
      <c r="AA107" s="40">
        <f t="shared" si="42"/>
        <v>0</v>
      </c>
      <c r="AB107" s="40">
        <f t="shared" si="42"/>
        <v>0</v>
      </c>
      <c r="AC107" s="40">
        <f t="shared" si="42"/>
        <v>0</v>
      </c>
      <c r="AD107" s="40">
        <f t="shared" si="42"/>
        <v>263067</v>
      </c>
      <c r="AE107" s="37">
        <f t="shared" si="38"/>
        <v>263067</v>
      </c>
      <c r="AF107" s="37">
        <f t="shared" si="39"/>
        <v>0</v>
      </c>
      <c r="AG107" s="37">
        <f t="shared" si="40"/>
        <v>0</v>
      </c>
      <c r="AH107" s="38">
        <f t="shared" si="41"/>
        <v>0</v>
      </c>
    </row>
    <row r="108" spans="1:34" ht="42" customHeight="1" x14ac:dyDescent="0.2">
      <c r="C108" s="493" t="s">
        <v>331</v>
      </c>
      <c r="E108" s="40">
        <v>1479778</v>
      </c>
      <c r="F108" s="40">
        <v>103538</v>
      </c>
      <c r="G108" s="40">
        <v>1249447</v>
      </c>
      <c r="H108" s="40">
        <v>126793</v>
      </c>
      <c r="I108" s="40">
        <v>0</v>
      </c>
      <c r="J108" s="40">
        <v>886241</v>
      </c>
      <c r="K108" s="40">
        <v>133580</v>
      </c>
      <c r="L108" s="40">
        <v>714418</v>
      </c>
      <c r="M108" s="40">
        <v>38243</v>
      </c>
      <c r="N108" s="40">
        <v>0</v>
      </c>
      <c r="O108" s="40">
        <v>832699</v>
      </c>
      <c r="P108" s="40">
        <v>132699</v>
      </c>
      <c r="Q108" s="40">
        <v>700000</v>
      </c>
      <c r="R108" s="40">
        <v>0</v>
      </c>
      <c r="S108" s="40">
        <v>0</v>
      </c>
      <c r="T108" s="40">
        <v>3082707</v>
      </c>
      <c r="U108" s="40">
        <v>345627</v>
      </c>
      <c r="V108" s="40">
        <v>2737080</v>
      </c>
      <c r="W108" s="40">
        <v>0</v>
      </c>
      <c r="X108" s="40">
        <v>0</v>
      </c>
      <c r="Y108" s="40">
        <v>2507975</v>
      </c>
      <c r="Z108" s="40">
        <v>188906</v>
      </c>
      <c r="AA108" s="40">
        <v>2319069</v>
      </c>
      <c r="AB108" s="40">
        <v>0</v>
      </c>
      <c r="AC108" s="40">
        <v>0</v>
      </c>
      <c r="AD108" s="40">
        <v>8789400</v>
      </c>
      <c r="AE108" s="37">
        <f t="shared" si="38"/>
        <v>904350</v>
      </c>
      <c r="AF108" s="37">
        <f t="shared" si="39"/>
        <v>7720014</v>
      </c>
      <c r="AG108" s="37">
        <f t="shared" si="40"/>
        <v>165036</v>
      </c>
      <c r="AH108" s="38">
        <f t="shared" si="41"/>
        <v>0</v>
      </c>
    </row>
    <row r="109" spans="1:34" ht="42" customHeight="1" x14ac:dyDescent="0.2">
      <c r="C109" s="493"/>
      <c r="E109" s="40">
        <f t="shared" ref="E109:AD109" si="43">E69-E108</f>
        <v>106045</v>
      </c>
      <c r="F109" s="40">
        <f t="shared" si="43"/>
        <v>6384</v>
      </c>
      <c r="G109" s="40">
        <f t="shared" si="43"/>
        <v>99661</v>
      </c>
      <c r="H109" s="40">
        <f t="shared" si="43"/>
        <v>0</v>
      </c>
      <c r="I109" s="40">
        <f t="shared" si="43"/>
        <v>0</v>
      </c>
      <c r="J109" s="40">
        <f t="shared" si="43"/>
        <v>665355</v>
      </c>
      <c r="K109" s="40">
        <f t="shared" si="43"/>
        <v>127155</v>
      </c>
      <c r="L109" s="40">
        <f t="shared" si="43"/>
        <v>576443</v>
      </c>
      <c r="M109" s="40">
        <f t="shared" si="43"/>
        <v>-38243</v>
      </c>
      <c r="N109" s="40">
        <f t="shared" si="43"/>
        <v>0</v>
      </c>
      <c r="O109" s="40">
        <f t="shared" si="43"/>
        <v>1247982</v>
      </c>
      <c r="P109" s="40">
        <f t="shared" si="43"/>
        <v>168869</v>
      </c>
      <c r="Q109" s="40">
        <f t="shared" si="43"/>
        <v>1079113</v>
      </c>
      <c r="R109" s="40">
        <f t="shared" si="43"/>
        <v>0</v>
      </c>
      <c r="S109" s="40">
        <f t="shared" si="43"/>
        <v>0</v>
      </c>
      <c r="T109" s="40">
        <f t="shared" si="43"/>
        <v>-1285038</v>
      </c>
      <c r="U109" s="40">
        <f t="shared" si="43"/>
        <v>-35750</v>
      </c>
      <c r="V109" s="40">
        <f t="shared" si="43"/>
        <v>-1249288</v>
      </c>
      <c r="W109" s="40">
        <f t="shared" si="43"/>
        <v>0</v>
      </c>
      <c r="X109" s="40">
        <f t="shared" si="43"/>
        <v>0</v>
      </c>
      <c r="Y109" s="40">
        <f t="shared" si="43"/>
        <v>-2419621</v>
      </c>
      <c r="Z109" s="40">
        <f t="shared" si="43"/>
        <v>-100552</v>
      </c>
      <c r="AA109" s="40">
        <f t="shared" si="43"/>
        <v>-2319069</v>
      </c>
      <c r="AB109" s="40">
        <f t="shared" si="43"/>
        <v>0</v>
      </c>
      <c r="AC109" s="40">
        <f t="shared" si="43"/>
        <v>0</v>
      </c>
      <c r="AD109" s="40">
        <f t="shared" si="43"/>
        <v>-1685277</v>
      </c>
      <c r="AE109" s="37">
        <f t="shared" si="38"/>
        <v>166106</v>
      </c>
      <c r="AF109" s="37">
        <f t="shared" si="39"/>
        <v>-1813140</v>
      </c>
      <c r="AG109" s="37">
        <f t="shared" si="40"/>
        <v>-38243</v>
      </c>
      <c r="AH109" s="38">
        <f t="shared" si="41"/>
        <v>0</v>
      </c>
    </row>
    <row r="110" spans="1:34" ht="42" customHeight="1" x14ac:dyDescent="0.2">
      <c r="C110" s="41" t="s">
        <v>332</v>
      </c>
      <c r="E110" s="40">
        <v>305611</v>
      </c>
      <c r="F110" s="40">
        <v>305611</v>
      </c>
      <c r="G110" s="40">
        <v>0</v>
      </c>
      <c r="H110" s="40">
        <v>0</v>
      </c>
      <c r="I110" s="40">
        <v>0</v>
      </c>
      <c r="J110" s="40">
        <v>421548</v>
      </c>
      <c r="K110" s="40">
        <v>421548</v>
      </c>
      <c r="L110" s="40">
        <v>0</v>
      </c>
      <c r="M110" s="40">
        <v>0</v>
      </c>
      <c r="N110" s="40">
        <v>0</v>
      </c>
      <c r="O110" s="40">
        <v>421548</v>
      </c>
      <c r="P110" s="40">
        <v>421548</v>
      </c>
      <c r="Q110" s="40">
        <v>0</v>
      </c>
      <c r="R110" s="40">
        <v>0</v>
      </c>
      <c r="S110" s="40">
        <v>0</v>
      </c>
      <c r="T110" s="40">
        <v>438410</v>
      </c>
      <c r="U110" s="40">
        <v>438410</v>
      </c>
      <c r="V110" s="40">
        <v>0</v>
      </c>
      <c r="W110" s="40">
        <v>0</v>
      </c>
      <c r="X110" s="40">
        <v>0</v>
      </c>
      <c r="Y110" s="40">
        <v>455946</v>
      </c>
      <c r="Z110" s="40">
        <v>455946</v>
      </c>
      <c r="AA110" s="40">
        <v>0</v>
      </c>
      <c r="AB110" s="40">
        <v>0</v>
      </c>
      <c r="AC110" s="40">
        <v>0</v>
      </c>
      <c r="AD110" s="40">
        <v>2043063</v>
      </c>
      <c r="AE110" s="37">
        <f t="shared" si="38"/>
        <v>2043063</v>
      </c>
      <c r="AF110" s="37">
        <f t="shared" si="39"/>
        <v>0</v>
      </c>
      <c r="AG110" s="37">
        <f t="shared" si="40"/>
        <v>0</v>
      </c>
      <c r="AH110" s="38">
        <f t="shared" si="41"/>
        <v>0</v>
      </c>
    </row>
    <row r="111" spans="1:34" ht="42" customHeight="1" x14ac:dyDescent="0.2">
      <c r="C111" s="41"/>
      <c r="E111" s="40">
        <f t="shared" ref="E111:AD111" si="44">E82-E110</f>
        <v>-23750</v>
      </c>
      <c r="F111" s="40">
        <f t="shared" si="44"/>
        <v>-23750</v>
      </c>
      <c r="G111" s="40">
        <f t="shared" si="44"/>
        <v>0</v>
      </c>
      <c r="H111" s="40">
        <f t="shared" si="44"/>
        <v>0</v>
      </c>
      <c r="I111" s="40">
        <f t="shared" si="44"/>
        <v>0</v>
      </c>
      <c r="J111" s="40">
        <f t="shared" si="44"/>
        <v>-161364</v>
      </c>
      <c r="K111" s="40">
        <f t="shared" si="44"/>
        <v>-161364</v>
      </c>
      <c r="L111" s="40">
        <f t="shared" si="44"/>
        <v>0</v>
      </c>
      <c r="M111" s="40">
        <f t="shared" si="44"/>
        <v>0</v>
      </c>
      <c r="N111" s="40">
        <f t="shared" si="44"/>
        <v>0</v>
      </c>
      <c r="O111" s="40">
        <f t="shared" si="44"/>
        <v>-165670</v>
      </c>
      <c r="P111" s="40">
        <f t="shared" si="44"/>
        <v>-165670</v>
      </c>
      <c r="Q111" s="40">
        <f t="shared" si="44"/>
        <v>0</v>
      </c>
      <c r="R111" s="40">
        <f t="shared" si="44"/>
        <v>0</v>
      </c>
      <c r="S111" s="40">
        <f t="shared" si="44"/>
        <v>0</v>
      </c>
      <c r="T111" s="40">
        <f t="shared" si="44"/>
        <v>17378</v>
      </c>
      <c r="U111" s="40">
        <f t="shared" si="44"/>
        <v>17378</v>
      </c>
      <c r="V111" s="40">
        <f t="shared" si="44"/>
        <v>0</v>
      </c>
      <c r="W111" s="40">
        <f t="shared" si="44"/>
        <v>0</v>
      </c>
      <c r="X111" s="40">
        <f t="shared" si="44"/>
        <v>0</v>
      </c>
      <c r="Y111" s="40">
        <f t="shared" si="44"/>
        <v>81889</v>
      </c>
      <c r="Z111" s="40">
        <f t="shared" si="44"/>
        <v>81889</v>
      </c>
      <c r="AA111" s="40">
        <f t="shared" si="44"/>
        <v>0</v>
      </c>
      <c r="AB111" s="40">
        <f t="shared" si="44"/>
        <v>0</v>
      </c>
      <c r="AC111" s="40">
        <f t="shared" si="44"/>
        <v>0</v>
      </c>
      <c r="AD111" s="40">
        <f t="shared" si="44"/>
        <v>-251517</v>
      </c>
      <c r="AE111" s="37">
        <f t="shared" si="38"/>
        <v>-251517</v>
      </c>
      <c r="AF111" s="37">
        <f t="shared" si="39"/>
        <v>0</v>
      </c>
      <c r="AG111" s="37">
        <f t="shared" si="40"/>
        <v>0</v>
      </c>
      <c r="AH111" s="38">
        <f t="shared" si="41"/>
        <v>0</v>
      </c>
    </row>
    <row r="112" spans="1:34" ht="42" customHeight="1" x14ac:dyDescent="0.2">
      <c r="C112" s="41" t="s">
        <v>333</v>
      </c>
      <c r="E112" s="40">
        <v>316674</v>
      </c>
      <c r="F112" s="40">
        <v>241256</v>
      </c>
      <c r="G112" s="40">
        <v>75306</v>
      </c>
      <c r="H112" s="40">
        <v>0</v>
      </c>
      <c r="I112" s="40">
        <v>112</v>
      </c>
      <c r="J112" s="40">
        <v>317340</v>
      </c>
      <c r="K112" s="40">
        <v>241922</v>
      </c>
      <c r="L112" s="40">
        <v>75306</v>
      </c>
      <c r="M112" s="40">
        <v>0</v>
      </c>
      <c r="N112" s="40">
        <v>112</v>
      </c>
      <c r="O112" s="40">
        <v>317340</v>
      </c>
      <c r="P112" s="40">
        <v>241922</v>
      </c>
      <c r="Q112" s="40">
        <v>75306</v>
      </c>
      <c r="R112" s="40">
        <v>0</v>
      </c>
      <c r="S112" s="40">
        <v>112</v>
      </c>
      <c r="T112" s="40">
        <v>316784</v>
      </c>
      <c r="U112" s="40">
        <v>241916</v>
      </c>
      <c r="V112" s="40">
        <v>74756</v>
      </c>
      <c r="W112" s="40">
        <v>0</v>
      </c>
      <c r="X112" s="40">
        <v>112</v>
      </c>
      <c r="Y112" s="40">
        <v>304259</v>
      </c>
      <c r="Z112" s="40">
        <v>241791</v>
      </c>
      <c r="AA112" s="40">
        <v>62356</v>
      </c>
      <c r="AB112" s="40">
        <v>0</v>
      </c>
      <c r="AC112" s="40">
        <v>112</v>
      </c>
      <c r="AD112" s="40">
        <v>1572397</v>
      </c>
      <c r="AE112" s="37">
        <f t="shared" si="38"/>
        <v>1208807</v>
      </c>
      <c r="AF112" s="37">
        <f t="shared" si="39"/>
        <v>363030</v>
      </c>
      <c r="AG112" s="37">
        <f t="shared" si="40"/>
        <v>0</v>
      </c>
      <c r="AH112" s="38">
        <f t="shared" si="41"/>
        <v>560</v>
      </c>
    </row>
    <row r="113" spans="5:34" ht="42" customHeight="1" x14ac:dyDescent="0.2">
      <c r="E113" s="40">
        <f>E101-E112</f>
        <v>20863</v>
      </c>
      <c r="F113" s="40">
        <f t="shared" ref="F113:AD113" si="45">F101-F112</f>
        <v>-7855</v>
      </c>
      <c r="G113" s="40">
        <f t="shared" si="45"/>
        <v>28718</v>
      </c>
      <c r="H113" s="40">
        <f t="shared" si="45"/>
        <v>0</v>
      </c>
      <c r="I113" s="40">
        <f t="shared" si="45"/>
        <v>0</v>
      </c>
      <c r="J113" s="40">
        <f t="shared" si="45"/>
        <v>244539</v>
      </c>
      <c r="K113" s="40">
        <f t="shared" si="45"/>
        <v>-10237</v>
      </c>
      <c r="L113" s="40">
        <f t="shared" si="45"/>
        <v>254776</v>
      </c>
      <c r="M113" s="40">
        <f t="shared" si="45"/>
        <v>0</v>
      </c>
      <c r="N113" s="40">
        <f t="shared" si="45"/>
        <v>0</v>
      </c>
      <c r="O113" s="40">
        <f t="shared" si="45"/>
        <v>107002</v>
      </c>
      <c r="P113" s="40">
        <f t="shared" si="45"/>
        <v>64164</v>
      </c>
      <c r="Q113" s="40">
        <f t="shared" si="45"/>
        <v>42950</v>
      </c>
      <c r="R113" s="40">
        <f t="shared" si="45"/>
        <v>0</v>
      </c>
      <c r="S113" s="40">
        <f t="shared" si="45"/>
        <v>-112</v>
      </c>
      <c r="T113" s="40">
        <f t="shared" si="45"/>
        <v>937930</v>
      </c>
      <c r="U113" s="40">
        <f t="shared" si="45"/>
        <v>275823</v>
      </c>
      <c r="V113" s="40">
        <f t="shared" si="45"/>
        <v>662219</v>
      </c>
      <c r="W113" s="40">
        <f t="shared" si="45"/>
        <v>0</v>
      </c>
      <c r="X113" s="40">
        <f t="shared" si="45"/>
        <v>-112</v>
      </c>
      <c r="Y113" s="40">
        <f t="shared" si="45"/>
        <v>426226</v>
      </c>
      <c r="Z113" s="40">
        <f t="shared" si="45"/>
        <v>382897</v>
      </c>
      <c r="AA113" s="40">
        <f t="shared" si="45"/>
        <v>43441</v>
      </c>
      <c r="AB113" s="40">
        <f t="shared" si="45"/>
        <v>0</v>
      </c>
      <c r="AC113" s="40">
        <f t="shared" si="45"/>
        <v>-112</v>
      </c>
      <c r="AD113" s="40">
        <f t="shared" si="45"/>
        <v>1736560</v>
      </c>
      <c r="AE113" s="37">
        <f t="shared" si="38"/>
        <v>704792</v>
      </c>
      <c r="AF113" s="37">
        <f t="shared" si="39"/>
        <v>1032104</v>
      </c>
      <c r="AG113" s="37">
        <f t="shared" si="40"/>
        <v>0</v>
      </c>
      <c r="AH113" s="38">
        <f t="shared" si="41"/>
        <v>-336</v>
      </c>
    </row>
    <row r="114" spans="5:34" ht="42" customHeight="1" x14ac:dyDescent="0.2">
      <c r="E114" s="37">
        <v>2274538</v>
      </c>
      <c r="F114" s="37">
        <v>822880</v>
      </c>
      <c r="G114" s="37">
        <v>1324753</v>
      </c>
      <c r="H114" s="37">
        <v>126793</v>
      </c>
      <c r="I114" s="37">
        <v>112</v>
      </c>
      <c r="J114" s="37">
        <v>1723987</v>
      </c>
      <c r="K114" s="37">
        <v>895908</v>
      </c>
      <c r="L114" s="37">
        <v>789724</v>
      </c>
      <c r="M114" s="37">
        <v>38243</v>
      </c>
      <c r="N114" s="37">
        <v>112</v>
      </c>
      <c r="O114" s="37">
        <v>1670445</v>
      </c>
      <c r="P114" s="37">
        <v>895027</v>
      </c>
      <c r="Q114" s="37">
        <v>775306</v>
      </c>
      <c r="R114" s="37">
        <v>0</v>
      </c>
      <c r="S114" s="37">
        <v>112</v>
      </c>
      <c r="T114" s="37">
        <v>3906260</v>
      </c>
      <c r="U114" s="37">
        <v>1094312</v>
      </c>
      <c r="V114" s="37">
        <v>2811836</v>
      </c>
      <c r="W114" s="37">
        <v>0</v>
      </c>
      <c r="X114" s="37">
        <v>112</v>
      </c>
      <c r="Y114" s="37">
        <v>3336539</v>
      </c>
      <c r="Z114" s="37">
        <v>955002</v>
      </c>
      <c r="AA114" s="37">
        <v>2381425</v>
      </c>
      <c r="AB114" s="37">
        <v>0</v>
      </c>
      <c r="AC114" s="37">
        <v>112</v>
      </c>
      <c r="AD114" s="37">
        <v>12911769</v>
      </c>
      <c r="AE114" s="37">
        <f>F114+K114+P114+U114+Z114</f>
        <v>4663129</v>
      </c>
      <c r="AF114" s="37">
        <f>G114+L114+Q114+V114+AA114</f>
        <v>8083044</v>
      </c>
      <c r="AG114" s="37">
        <f>H114+M114+R114+W114+AB114</f>
        <v>165036</v>
      </c>
      <c r="AH114" s="38">
        <f>I114+N114+S114+X114+AC114</f>
        <v>560</v>
      </c>
    </row>
    <row r="115" spans="5:34" ht="42" customHeight="1" x14ac:dyDescent="0.2">
      <c r="E115" s="37">
        <f>E104-E114</f>
        <v>103695</v>
      </c>
      <c r="F115" s="37">
        <f t="shared" ref="F115:AD115" si="46">F104-F114</f>
        <v>-24684</v>
      </c>
      <c r="G115" s="37">
        <f t="shared" si="46"/>
        <v>128379</v>
      </c>
      <c r="H115" s="37">
        <f t="shared" si="46"/>
        <v>0</v>
      </c>
      <c r="I115" s="37">
        <f t="shared" si="46"/>
        <v>0</v>
      </c>
      <c r="J115" s="37">
        <f t="shared" si="46"/>
        <v>753526</v>
      </c>
      <c r="K115" s="37">
        <f t="shared" si="46"/>
        <v>-39450</v>
      </c>
      <c r="L115" s="37">
        <f t="shared" si="46"/>
        <v>831219</v>
      </c>
      <c r="M115" s="37">
        <f t="shared" si="46"/>
        <v>-38243</v>
      </c>
      <c r="N115" s="37">
        <f t="shared" si="46"/>
        <v>0</v>
      </c>
      <c r="O115" s="37">
        <f t="shared" si="46"/>
        <v>1219935</v>
      </c>
      <c r="P115" s="37">
        <f t="shared" si="46"/>
        <v>97984</v>
      </c>
      <c r="Q115" s="37">
        <f t="shared" si="46"/>
        <v>1122063</v>
      </c>
      <c r="R115" s="37">
        <f t="shared" si="46"/>
        <v>0</v>
      </c>
      <c r="S115" s="37">
        <f t="shared" si="46"/>
        <v>-112</v>
      </c>
      <c r="T115" s="37">
        <f t="shared" si="46"/>
        <v>-189157</v>
      </c>
      <c r="U115" s="37">
        <f t="shared" si="46"/>
        <v>398024</v>
      </c>
      <c r="V115" s="37">
        <f t="shared" si="46"/>
        <v>-587069</v>
      </c>
      <c r="W115" s="37">
        <f t="shared" si="46"/>
        <v>0</v>
      </c>
      <c r="X115" s="37">
        <f t="shared" si="46"/>
        <v>-112</v>
      </c>
      <c r="Y115" s="37">
        <f t="shared" si="46"/>
        <v>-1825166</v>
      </c>
      <c r="Z115" s="37">
        <f t="shared" si="46"/>
        <v>450574</v>
      </c>
      <c r="AA115" s="37">
        <f t="shared" si="46"/>
        <v>-2275628</v>
      </c>
      <c r="AB115" s="37">
        <f t="shared" si="46"/>
        <v>0</v>
      </c>
      <c r="AC115" s="37">
        <f t="shared" si="46"/>
        <v>-112</v>
      </c>
      <c r="AD115" s="37">
        <f t="shared" si="46"/>
        <v>62833</v>
      </c>
      <c r="AE115" s="37">
        <f>AE104-AE114</f>
        <v>882448</v>
      </c>
      <c r="AF115" s="37">
        <f>AF104-AF114</f>
        <v>-781036</v>
      </c>
      <c r="AG115" s="37">
        <f>AG104-AG114</f>
        <v>-38243</v>
      </c>
      <c r="AH115" s="37">
        <f>AH104-AH114</f>
        <v>-336</v>
      </c>
    </row>
  </sheetData>
  <mergeCells count="92">
    <mergeCell ref="C108:C109"/>
    <mergeCell ref="A95:A96"/>
    <mergeCell ref="A104:C104"/>
    <mergeCell ref="A102:C102"/>
    <mergeCell ref="A103:C103"/>
    <mergeCell ref="C95:C96"/>
    <mergeCell ref="B95:B96"/>
    <mergeCell ref="C106:C107"/>
    <mergeCell ref="A101:C101"/>
    <mergeCell ref="B99:AD99"/>
    <mergeCell ref="N95:N96"/>
    <mergeCell ref="O95:O96"/>
    <mergeCell ref="U95:U96"/>
    <mergeCell ref="V95:V96"/>
    <mergeCell ref="Y95:Y96"/>
    <mergeCell ref="X95:X96"/>
    <mergeCell ref="E5:I5"/>
    <mergeCell ref="J5:N5"/>
    <mergeCell ref="T5:X5"/>
    <mergeCell ref="A50:C50"/>
    <mergeCell ref="A69:C69"/>
    <mergeCell ref="A52:AD52"/>
    <mergeCell ref="A53:AD53"/>
    <mergeCell ref="B9:AD9"/>
    <mergeCell ref="C17:C18"/>
    <mergeCell ref="A48:C48"/>
    <mergeCell ref="A49:C49"/>
    <mergeCell ref="B59:B60"/>
    <mergeCell ref="B39:AD39"/>
    <mergeCell ref="AA2:AD2"/>
    <mergeCell ref="P95:P96"/>
    <mergeCell ref="Q95:Q96"/>
    <mergeCell ref="R95:R96"/>
    <mergeCell ref="S95:S96"/>
    <mergeCell ref="O5:S5"/>
    <mergeCell ref="Y5:AC5"/>
    <mergeCell ref="AA95:AA96"/>
    <mergeCell ref="Z95:Z96"/>
    <mergeCell ref="A8:AD8"/>
    <mergeCell ref="A85:AD85"/>
    <mergeCell ref="A84:AD84"/>
    <mergeCell ref="A10:AD10"/>
    <mergeCell ref="A11:AD11"/>
    <mergeCell ref="J95:J96"/>
    <mergeCell ref="K95:K96"/>
    <mergeCell ref="AA1:AD1"/>
    <mergeCell ref="AC95:AC96"/>
    <mergeCell ref="AD95:AD96"/>
    <mergeCell ref="AB95:AB96"/>
    <mergeCell ref="A59:A61"/>
    <mergeCell ref="C59:C61"/>
    <mergeCell ref="A62:A63"/>
    <mergeCell ref="C62:C63"/>
    <mergeCell ref="A4:A6"/>
    <mergeCell ref="B4:B6"/>
    <mergeCell ref="C4:C6"/>
    <mergeCell ref="D4:D6"/>
    <mergeCell ref="E4:AC4"/>
    <mergeCell ref="AD4:AD6"/>
    <mergeCell ref="A71:AD71"/>
    <mergeCell ref="B3:AD3"/>
    <mergeCell ref="W95:W96"/>
    <mergeCell ref="T95:T96"/>
    <mergeCell ref="A82:C82"/>
    <mergeCell ref="B83:AD83"/>
    <mergeCell ref="B86:AD86"/>
    <mergeCell ref="B89:AD89"/>
    <mergeCell ref="B94:AD94"/>
    <mergeCell ref="E95:E96"/>
    <mergeCell ref="F95:F96"/>
    <mergeCell ref="M95:M96"/>
    <mergeCell ref="I95:I96"/>
    <mergeCell ref="G95:G96"/>
    <mergeCell ref="H95:H96"/>
    <mergeCell ref="D95:D96"/>
    <mergeCell ref="L95:L96"/>
    <mergeCell ref="B73:AD73"/>
    <mergeCell ref="B70:AD70"/>
    <mergeCell ref="B76:AD76"/>
    <mergeCell ref="B12:AD12"/>
    <mergeCell ref="B54:AD54"/>
    <mergeCell ref="B51:AD51"/>
    <mergeCell ref="B24:AD24"/>
    <mergeCell ref="B37:AD37"/>
    <mergeCell ref="B57:B58"/>
    <mergeCell ref="A72:AD72"/>
    <mergeCell ref="A57:A58"/>
    <mergeCell ref="C57:C58"/>
    <mergeCell ref="A68:C68"/>
    <mergeCell ref="A67:C67"/>
    <mergeCell ref="A17:A18"/>
    <mergeCell ref="B17:B1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rstPageNumber="38" fitToHeight="0" orientation="landscape" useFirstPageNumber="1" r:id="rId1"/>
  <headerFooter alignWithMargins="0">
    <oddHeader>&amp;C&amp;P</oddHeader>
  </headerFooter>
  <rowBreaks count="8" manualBreakCount="8">
    <brk id="19" max="29" man="1"/>
    <brk id="28" max="29" man="1"/>
    <brk id="39" max="29" man="1"/>
    <brk id="49" max="29" man="1"/>
    <brk id="59" max="29" man="1"/>
    <brk id="65" max="29" man="1"/>
    <brk id="78" max="29" man="1"/>
    <brk id="89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8"/>
  <sheetViews>
    <sheetView view="pageBreakPreview" topLeftCell="A135" zoomScaleNormal="100" zoomScaleSheetLayoutView="100" workbookViewId="0">
      <selection activeCell="I140" sqref="I140"/>
    </sheetView>
  </sheetViews>
  <sheetFormatPr defaultColWidth="9.140625" defaultRowHeight="12.75" x14ac:dyDescent="0.2"/>
  <cols>
    <col min="1" max="1" width="6.140625" style="46" customWidth="1"/>
    <col min="2" max="2" width="34.140625" style="46" customWidth="1"/>
    <col min="3" max="3" width="58.28515625" style="46" customWidth="1"/>
    <col min="4" max="4" width="8.85546875" style="46"/>
    <col min="5" max="5" width="9.140625" style="46" customWidth="1"/>
    <col min="6" max="6" width="11.28515625" style="46" customWidth="1"/>
    <col min="7" max="7" width="11.5703125" style="46" customWidth="1"/>
    <col min="8" max="8" width="14" style="46" customWidth="1"/>
    <col min="9" max="9" width="13.85546875" style="46" customWidth="1"/>
    <col min="10" max="10" width="13.42578125" style="46" customWidth="1"/>
    <col min="11" max="16" width="9.140625" style="46"/>
    <col min="17" max="17" width="14.140625" style="46" customWidth="1"/>
    <col min="18" max="16384" width="9.140625" style="46"/>
  </cols>
  <sheetData>
    <row r="1" spans="1:14" ht="58.5" customHeight="1" x14ac:dyDescent="0.2">
      <c r="G1" s="527" t="s">
        <v>1433</v>
      </c>
      <c r="H1" s="527"/>
      <c r="I1" s="527"/>
      <c r="J1" s="527"/>
    </row>
    <row r="2" spans="1:14" ht="85.5" customHeight="1" x14ac:dyDescent="0.2">
      <c r="G2" s="534" t="s">
        <v>441</v>
      </c>
      <c r="H2" s="534"/>
      <c r="I2" s="534"/>
      <c r="J2" s="534"/>
    </row>
    <row r="3" spans="1:14" ht="21.75" customHeight="1" x14ac:dyDescent="0.2">
      <c r="A3" s="65"/>
      <c r="B3" s="71"/>
      <c r="C3" s="72"/>
      <c r="D3" s="73"/>
      <c r="E3" s="74"/>
      <c r="F3" s="74"/>
      <c r="G3" s="74"/>
      <c r="H3" s="74"/>
      <c r="I3" s="74"/>
      <c r="J3" s="74"/>
    </row>
    <row r="4" spans="1:14" ht="31.5" customHeight="1" x14ac:dyDescent="0.2">
      <c r="A4" s="371" t="s">
        <v>673</v>
      </c>
      <c r="B4" s="533"/>
      <c r="C4" s="533"/>
      <c r="D4" s="533"/>
      <c r="E4" s="533"/>
      <c r="F4" s="371"/>
      <c r="G4" s="371"/>
      <c r="H4" s="371"/>
      <c r="I4" s="371"/>
      <c r="J4" s="371"/>
    </row>
    <row r="5" spans="1:14" ht="18.75" customHeight="1" x14ac:dyDescent="0.2">
      <c r="A5" s="420" t="s">
        <v>74</v>
      </c>
      <c r="B5" s="528" t="s">
        <v>97</v>
      </c>
      <c r="C5" s="479" t="s">
        <v>98</v>
      </c>
      <c r="D5" s="479" t="s">
        <v>99</v>
      </c>
      <c r="E5" s="531" t="s">
        <v>100</v>
      </c>
      <c r="F5" s="479" t="s">
        <v>101</v>
      </c>
      <c r="G5" s="479"/>
      <c r="H5" s="530"/>
      <c r="I5" s="530"/>
      <c r="J5" s="530"/>
    </row>
    <row r="6" spans="1:14" ht="7.5" customHeight="1" x14ac:dyDescent="0.2">
      <c r="A6" s="420"/>
      <c r="B6" s="529"/>
      <c r="C6" s="479"/>
      <c r="D6" s="530"/>
      <c r="E6" s="532"/>
      <c r="F6" s="530"/>
      <c r="G6" s="530"/>
      <c r="H6" s="530"/>
      <c r="I6" s="530"/>
      <c r="J6" s="530"/>
    </row>
    <row r="7" spans="1:14" ht="9" customHeight="1" x14ac:dyDescent="0.2">
      <c r="A7" s="420"/>
      <c r="B7" s="529"/>
      <c r="C7" s="479"/>
      <c r="D7" s="530"/>
      <c r="E7" s="532"/>
      <c r="F7" s="420">
        <v>2021</v>
      </c>
      <c r="G7" s="420">
        <v>2022</v>
      </c>
      <c r="H7" s="420">
        <v>2023</v>
      </c>
      <c r="I7" s="420">
        <v>2024</v>
      </c>
      <c r="J7" s="420">
        <v>2025</v>
      </c>
    </row>
    <row r="8" spans="1:14" ht="12" customHeight="1" x14ac:dyDescent="0.2">
      <c r="A8" s="420"/>
      <c r="B8" s="529"/>
      <c r="C8" s="479"/>
      <c r="D8" s="530"/>
      <c r="E8" s="532"/>
      <c r="F8" s="420"/>
      <c r="G8" s="420"/>
      <c r="H8" s="420"/>
      <c r="I8" s="420"/>
      <c r="J8" s="420"/>
    </row>
    <row r="9" spans="1:14" x14ac:dyDescent="0.2">
      <c r="A9" s="334">
        <v>1</v>
      </c>
      <c r="B9" s="334">
        <v>2</v>
      </c>
      <c r="C9" s="334">
        <v>3</v>
      </c>
      <c r="D9" s="334">
        <v>4</v>
      </c>
      <c r="E9" s="334">
        <v>5</v>
      </c>
      <c r="F9" s="334">
        <v>6</v>
      </c>
      <c r="G9" s="334">
        <v>7</v>
      </c>
      <c r="H9" s="334">
        <v>8</v>
      </c>
      <c r="I9" s="334">
        <v>9</v>
      </c>
      <c r="J9" s="334">
        <v>10</v>
      </c>
    </row>
    <row r="10" spans="1:14" ht="25.5" customHeight="1" x14ac:dyDescent="0.2">
      <c r="A10" s="535" t="s">
        <v>1113</v>
      </c>
      <c r="B10" s="535"/>
      <c r="C10" s="535"/>
      <c r="D10" s="535"/>
      <c r="E10" s="535"/>
      <c r="F10" s="535"/>
      <c r="G10" s="535"/>
      <c r="H10" s="535"/>
      <c r="I10" s="535"/>
      <c r="J10" s="535"/>
    </row>
    <row r="11" spans="1:14" ht="27.75" customHeight="1" x14ac:dyDescent="0.2">
      <c r="A11" s="75" t="s">
        <v>449</v>
      </c>
      <c r="B11" s="512" t="s">
        <v>1114</v>
      </c>
      <c r="C11" s="499"/>
      <c r="D11" s="499"/>
      <c r="E11" s="499"/>
      <c r="F11" s="499"/>
      <c r="G11" s="499"/>
      <c r="H11" s="499"/>
      <c r="I11" s="499"/>
      <c r="J11" s="500"/>
    </row>
    <row r="12" spans="1:14" ht="17.45" customHeight="1" x14ac:dyDescent="0.2">
      <c r="A12" s="536" t="s">
        <v>77</v>
      </c>
      <c r="B12" s="536"/>
      <c r="C12" s="536"/>
      <c r="D12" s="536"/>
      <c r="E12" s="536"/>
      <c r="F12" s="536"/>
      <c r="G12" s="536"/>
      <c r="H12" s="536"/>
      <c r="I12" s="536"/>
      <c r="J12" s="536"/>
    </row>
    <row r="13" spans="1:14" ht="25.15" customHeight="1" x14ac:dyDescent="0.2">
      <c r="A13" s="535" t="s">
        <v>1120</v>
      </c>
      <c r="B13" s="535"/>
      <c r="C13" s="535"/>
      <c r="D13" s="535"/>
      <c r="E13" s="535"/>
      <c r="F13" s="535"/>
      <c r="G13" s="535"/>
      <c r="H13" s="535"/>
      <c r="I13" s="535"/>
      <c r="J13" s="535"/>
    </row>
    <row r="14" spans="1:14" ht="27.75" customHeight="1" x14ac:dyDescent="0.2">
      <c r="A14" s="76" t="s">
        <v>1</v>
      </c>
      <c r="B14" s="512" t="s">
        <v>448</v>
      </c>
      <c r="C14" s="499"/>
      <c r="D14" s="499"/>
      <c r="E14" s="499"/>
      <c r="F14" s="499"/>
      <c r="G14" s="499"/>
      <c r="H14" s="499"/>
      <c r="I14" s="499"/>
      <c r="J14" s="500"/>
    </row>
    <row r="15" spans="1:14" ht="39" customHeight="1" x14ac:dyDescent="0.2">
      <c r="A15" s="356" t="s">
        <v>8</v>
      </c>
      <c r="B15" s="77" t="s">
        <v>127</v>
      </c>
      <c r="C15" s="362" t="s">
        <v>128</v>
      </c>
      <c r="D15" s="78" t="s">
        <v>102</v>
      </c>
      <c r="E15" s="79">
        <v>3</v>
      </c>
      <c r="F15" s="79">
        <f>5+1</f>
        <v>6</v>
      </c>
      <c r="G15" s="80">
        <v>3</v>
      </c>
      <c r="H15" s="80">
        <f>2-1+1</f>
        <v>2</v>
      </c>
      <c r="I15" s="80">
        <f>2-1+1+1</f>
        <v>3</v>
      </c>
      <c r="J15" s="79">
        <f>0+1</f>
        <v>1</v>
      </c>
      <c r="K15" s="81" t="s">
        <v>187</v>
      </c>
    </row>
    <row r="16" spans="1:14" ht="40.5" customHeight="1" x14ac:dyDescent="0.2">
      <c r="A16" s="360" t="s">
        <v>15</v>
      </c>
      <c r="B16" s="363" t="s">
        <v>355</v>
      </c>
      <c r="C16" s="366" t="s">
        <v>422</v>
      </c>
      <c r="D16" s="82" t="s">
        <v>102</v>
      </c>
      <c r="E16" s="83" t="s">
        <v>103</v>
      </c>
      <c r="F16" s="83">
        <v>1</v>
      </c>
      <c r="G16" s="83">
        <v>1</v>
      </c>
      <c r="H16" s="83">
        <f>0+2</f>
        <v>2</v>
      </c>
      <c r="I16" s="83">
        <f>2+1+1+1</f>
        <v>5</v>
      </c>
      <c r="J16" s="84" t="s">
        <v>103</v>
      </c>
      <c r="K16" s="85" t="s">
        <v>103</v>
      </c>
      <c r="L16" s="86" t="s">
        <v>103</v>
      </c>
      <c r="M16" s="87" t="s">
        <v>103</v>
      </c>
      <c r="N16" s="88" t="s">
        <v>103</v>
      </c>
    </row>
    <row r="17" spans="1:10" ht="14.25" customHeight="1" x14ac:dyDescent="0.2">
      <c r="A17" s="520" t="s">
        <v>26</v>
      </c>
      <c r="B17" s="537" t="s">
        <v>104</v>
      </c>
      <c r="C17" s="366" t="s">
        <v>105</v>
      </c>
      <c r="D17" s="89" t="s">
        <v>102</v>
      </c>
      <c r="E17" s="83">
        <v>9</v>
      </c>
      <c r="F17" s="83">
        <v>11</v>
      </c>
      <c r="G17" s="83">
        <v>11</v>
      </c>
      <c r="H17" s="83">
        <f>11-6+9+12+4+12</f>
        <v>42</v>
      </c>
      <c r="I17" s="83">
        <f>12-1-7+21</f>
        <v>25</v>
      </c>
      <c r="J17" s="83">
        <f>0+12-7-2</f>
        <v>3</v>
      </c>
    </row>
    <row r="18" spans="1:10" ht="29.45" customHeight="1" x14ac:dyDescent="0.2">
      <c r="A18" s="495"/>
      <c r="B18" s="538"/>
      <c r="C18" s="366" t="s">
        <v>423</v>
      </c>
      <c r="D18" s="90" t="s">
        <v>102</v>
      </c>
      <c r="E18" s="91" t="s">
        <v>103</v>
      </c>
      <c r="F18" s="91" t="s">
        <v>103</v>
      </c>
      <c r="G18" s="91" t="s">
        <v>103</v>
      </c>
      <c r="H18" s="91" t="s">
        <v>103</v>
      </c>
      <c r="I18" s="91" t="s">
        <v>103</v>
      </c>
      <c r="J18" s="91" t="s">
        <v>103</v>
      </c>
    </row>
    <row r="19" spans="1:10" ht="27" customHeight="1" x14ac:dyDescent="0.2">
      <c r="A19" s="495" t="s">
        <v>456</v>
      </c>
      <c r="B19" s="539" t="s">
        <v>312</v>
      </c>
      <c r="C19" s="366" t="s">
        <v>424</v>
      </c>
      <c r="D19" s="358" t="s">
        <v>102</v>
      </c>
      <c r="E19" s="83">
        <v>2</v>
      </c>
      <c r="F19" s="83">
        <v>3</v>
      </c>
      <c r="G19" s="83">
        <v>10</v>
      </c>
      <c r="H19" s="83">
        <f>0+1+2-1</f>
        <v>2</v>
      </c>
      <c r="I19" s="83">
        <f>0+5+1-5+1+1</f>
        <v>3</v>
      </c>
      <c r="J19" s="83">
        <f>0+2-1+1+1</f>
        <v>3</v>
      </c>
    </row>
    <row r="20" spans="1:10" ht="27.6" customHeight="1" x14ac:dyDescent="0.2">
      <c r="A20" s="496"/>
      <c r="B20" s="540"/>
      <c r="C20" s="362" t="s">
        <v>106</v>
      </c>
      <c r="D20" s="357" t="s">
        <v>102</v>
      </c>
      <c r="E20" s="79">
        <v>1</v>
      </c>
      <c r="F20" s="92" t="s">
        <v>103</v>
      </c>
      <c r="G20" s="92" t="s">
        <v>103</v>
      </c>
      <c r="H20" s="92" t="s">
        <v>103</v>
      </c>
      <c r="I20" s="92" t="s">
        <v>103</v>
      </c>
      <c r="J20" s="92" t="s">
        <v>103</v>
      </c>
    </row>
    <row r="21" spans="1:10" ht="21" customHeight="1" x14ac:dyDescent="0.2">
      <c r="A21" s="360" t="s">
        <v>457</v>
      </c>
      <c r="B21" s="359" t="s">
        <v>57</v>
      </c>
      <c r="C21" s="366" t="s">
        <v>107</v>
      </c>
      <c r="D21" s="358" t="s">
        <v>102</v>
      </c>
      <c r="E21" s="83">
        <v>5</v>
      </c>
      <c r="F21" s="83">
        <v>12</v>
      </c>
      <c r="G21" s="93">
        <v>3</v>
      </c>
      <c r="H21" s="93">
        <f>10-9+1+3+1</f>
        <v>6</v>
      </c>
      <c r="I21" s="83">
        <f>2+5+3+1</f>
        <v>11</v>
      </c>
      <c r="J21" s="83">
        <f>7-2</f>
        <v>5</v>
      </c>
    </row>
    <row r="22" spans="1:10" ht="42.75" customHeight="1" x14ac:dyDescent="0.2">
      <c r="A22" s="360" t="s">
        <v>458</v>
      </c>
      <c r="B22" s="359" t="s">
        <v>314</v>
      </c>
      <c r="C22" s="366" t="s">
        <v>436</v>
      </c>
      <c r="D22" s="39" t="s">
        <v>102</v>
      </c>
      <c r="E22" s="94" t="s">
        <v>103</v>
      </c>
      <c r="F22" s="95">
        <v>2</v>
      </c>
      <c r="G22" s="95">
        <f>1+1</f>
        <v>2</v>
      </c>
      <c r="H22" s="96">
        <f>2+1+2-1+2</f>
        <v>6</v>
      </c>
      <c r="I22" s="96">
        <f>0+2-1+1+3+1</f>
        <v>6</v>
      </c>
      <c r="J22" s="95" t="s">
        <v>103</v>
      </c>
    </row>
    <row r="23" spans="1:10" ht="39" customHeight="1" x14ac:dyDescent="0.2">
      <c r="A23" s="360" t="s">
        <v>459</v>
      </c>
      <c r="B23" s="359" t="s">
        <v>364</v>
      </c>
      <c r="C23" s="366" t="s">
        <v>390</v>
      </c>
      <c r="D23" s="39" t="s">
        <v>102</v>
      </c>
      <c r="E23" s="94" t="s">
        <v>103</v>
      </c>
      <c r="F23" s="95" t="s">
        <v>103</v>
      </c>
      <c r="G23" s="95" t="s">
        <v>103</v>
      </c>
      <c r="H23" s="95">
        <f>0+1</f>
        <v>1</v>
      </c>
      <c r="I23" s="94" t="s">
        <v>103</v>
      </c>
      <c r="J23" s="94" t="s">
        <v>103</v>
      </c>
    </row>
    <row r="24" spans="1:10" ht="28.5" customHeight="1" x14ac:dyDescent="0.2">
      <c r="A24" s="495" t="s">
        <v>552</v>
      </c>
      <c r="B24" s="510" t="s">
        <v>557</v>
      </c>
      <c r="C24" s="366" t="s">
        <v>554</v>
      </c>
      <c r="D24" s="39" t="s">
        <v>102</v>
      </c>
      <c r="E24" s="94" t="s">
        <v>103</v>
      </c>
      <c r="F24" s="95" t="s">
        <v>103</v>
      </c>
      <c r="G24" s="95" t="s">
        <v>103</v>
      </c>
      <c r="H24" s="95">
        <v>1</v>
      </c>
      <c r="I24" s="94" t="s">
        <v>103</v>
      </c>
      <c r="J24" s="94" t="s">
        <v>103</v>
      </c>
    </row>
    <row r="25" spans="1:10" ht="22.5" customHeight="1" x14ac:dyDescent="0.2">
      <c r="A25" s="496"/>
      <c r="B25" s="511"/>
      <c r="C25" s="366" t="s">
        <v>553</v>
      </c>
      <c r="D25" s="39" t="s">
        <v>102</v>
      </c>
      <c r="E25" s="94" t="s">
        <v>103</v>
      </c>
      <c r="F25" s="95" t="s">
        <v>103</v>
      </c>
      <c r="G25" s="95" t="s">
        <v>103</v>
      </c>
      <c r="H25" s="95">
        <v>6</v>
      </c>
      <c r="I25" s="94" t="s">
        <v>103</v>
      </c>
      <c r="J25" s="94" t="s">
        <v>103</v>
      </c>
    </row>
    <row r="26" spans="1:10" ht="22.5" customHeight="1" x14ac:dyDescent="0.2">
      <c r="A26" s="360" t="s">
        <v>590</v>
      </c>
      <c r="B26" s="97" t="s">
        <v>614</v>
      </c>
      <c r="C26" s="366" t="s">
        <v>591</v>
      </c>
      <c r="D26" s="39" t="s">
        <v>102</v>
      </c>
      <c r="E26" s="94" t="s">
        <v>103</v>
      </c>
      <c r="F26" s="95" t="s">
        <v>103</v>
      </c>
      <c r="G26" s="95" t="s">
        <v>103</v>
      </c>
      <c r="H26" s="95" t="s">
        <v>103</v>
      </c>
      <c r="I26" s="83">
        <v>8</v>
      </c>
      <c r="J26" s="83">
        <v>8</v>
      </c>
    </row>
    <row r="27" spans="1:10" ht="22.5" customHeight="1" x14ac:dyDescent="0.2">
      <c r="A27" s="495" t="s">
        <v>1356</v>
      </c>
      <c r="B27" s="497" t="s">
        <v>1420</v>
      </c>
      <c r="C27" s="366" t="s">
        <v>1428</v>
      </c>
      <c r="D27" s="39" t="s">
        <v>102</v>
      </c>
      <c r="E27" s="94" t="s">
        <v>103</v>
      </c>
      <c r="F27" s="94" t="s">
        <v>103</v>
      </c>
      <c r="G27" s="94" t="s">
        <v>103</v>
      </c>
      <c r="H27" s="94" t="s">
        <v>103</v>
      </c>
      <c r="I27" s="83">
        <v>3</v>
      </c>
      <c r="J27" s="94" t="s">
        <v>103</v>
      </c>
    </row>
    <row r="28" spans="1:10" ht="29.25" customHeight="1" x14ac:dyDescent="0.2">
      <c r="A28" s="496"/>
      <c r="B28" s="498"/>
      <c r="C28" s="366" t="s">
        <v>1427</v>
      </c>
      <c r="D28" s="39" t="s">
        <v>102</v>
      </c>
      <c r="E28" s="94" t="s">
        <v>103</v>
      </c>
      <c r="F28" s="95" t="s">
        <v>103</v>
      </c>
      <c r="G28" s="95" t="s">
        <v>103</v>
      </c>
      <c r="H28" s="95" t="s">
        <v>103</v>
      </c>
      <c r="I28" s="83">
        <v>3</v>
      </c>
      <c r="J28" s="83" t="s">
        <v>103</v>
      </c>
    </row>
    <row r="29" spans="1:10" ht="36" customHeight="1" x14ac:dyDescent="0.2">
      <c r="A29" s="76" t="s">
        <v>10</v>
      </c>
      <c r="B29" s="512" t="s">
        <v>483</v>
      </c>
      <c r="C29" s="499"/>
      <c r="D29" s="499"/>
      <c r="E29" s="499"/>
      <c r="F29" s="499"/>
      <c r="G29" s="499"/>
      <c r="H29" s="499"/>
      <c r="I29" s="499"/>
      <c r="J29" s="500"/>
    </row>
    <row r="30" spans="1:10" ht="19.149999999999999" customHeight="1" x14ac:dyDescent="0.2">
      <c r="A30" s="541" t="s">
        <v>11</v>
      </c>
      <c r="B30" s="513" t="s">
        <v>223</v>
      </c>
      <c r="C30" s="366" t="s">
        <v>209</v>
      </c>
      <c r="D30" s="358" t="s">
        <v>108</v>
      </c>
      <c r="E30" s="98">
        <v>6.79</v>
      </c>
      <c r="F30" s="98">
        <v>6.39</v>
      </c>
      <c r="G30" s="98">
        <v>0.38200000000000001</v>
      </c>
      <c r="H30" s="98">
        <f>0.561-0.2+0.378</f>
        <v>0.7390000000000001</v>
      </c>
      <c r="I30" s="98">
        <f>0.042+0.018+0.776</f>
        <v>0.83600000000000008</v>
      </c>
      <c r="J30" s="98" t="s">
        <v>103</v>
      </c>
    </row>
    <row r="31" spans="1:10" ht="15" customHeight="1" x14ac:dyDescent="0.2">
      <c r="A31" s="541"/>
      <c r="B31" s="513"/>
      <c r="C31" s="366" t="s">
        <v>109</v>
      </c>
      <c r="D31" s="358" t="s">
        <v>102</v>
      </c>
      <c r="E31" s="83">
        <v>41</v>
      </c>
      <c r="F31" s="83">
        <v>50</v>
      </c>
      <c r="G31" s="83">
        <v>12</v>
      </c>
      <c r="H31" s="83">
        <f>12+7+13+5+28</f>
        <v>65</v>
      </c>
      <c r="I31" s="83">
        <f>18-16+2+8+1+49+1</f>
        <v>63</v>
      </c>
      <c r="J31" s="83">
        <f>26-24+2-3</f>
        <v>1</v>
      </c>
    </row>
    <row r="32" spans="1:10" ht="19.899999999999999" customHeight="1" x14ac:dyDescent="0.2">
      <c r="A32" s="541"/>
      <c r="B32" s="513"/>
      <c r="C32" s="366" t="s">
        <v>295</v>
      </c>
      <c r="D32" s="358" t="s">
        <v>102</v>
      </c>
      <c r="E32" s="83">
        <v>460</v>
      </c>
      <c r="F32" s="83">
        <v>483</v>
      </c>
      <c r="G32" s="83">
        <v>590</v>
      </c>
      <c r="H32" s="83">
        <f>590-429+28+14+14</f>
        <v>217</v>
      </c>
      <c r="I32" s="83">
        <f>130-110+11+113+121+206+133+8</f>
        <v>612</v>
      </c>
      <c r="J32" s="83">
        <f>130-110-5+13+1903</f>
        <v>1931</v>
      </c>
    </row>
    <row r="33" spans="1:11" ht="28.9" customHeight="1" x14ac:dyDescent="0.2">
      <c r="A33" s="520" t="s">
        <v>12</v>
      </c>
      <c r="B33" s="513" t="s">
        <v>110</v>
      </c>
      <c r="C33" s="366" t="s">
        <v>425</v>
      </c>
      <c r="D33" s="358" t="s">
        <v>102</v>
      </c>
      <c r="E33" s="84" t="s">
        <v>103</v>
      </c>
      <c r="F33" s="83" t="s">
        <v>103</v>
      </c>
      <c r="G33" s="83" t="s">
        <v>103</v>
      </c>
      <c r="H33" s="83" t="s">
        <v>103</v>
      </c>
      <c r="I33" s="83">
        <f>7+22-26+1</f>
        <v>4</v>
      </c>
      <c r="J33" s="83">
        <f>0+1</f>
        <v>1</v>
      </c>
    </row>
    <row r="34" spans="1:11" ht="31.9" customHeight="1" x14ac:dyDescent="0.2">
      <c r="A34" s="520"/>
      <c r="B34" s="513"/>
      <c r="C34" s="366" t="s">
        <v>423</v>
      </c>
      <c r="D34" s="358" t="s">
        <v>102</v>
      </c>
      <c r="E34" s="83">
        <v>1</v>
      </c>
      <c r="F34" s="84" t="s">
        <v>103</v>
      </c>
      <c r="G34" s="84" t="s">
        <v>103</v>
      </c>
      <c r="H34" s="84" t="s">
        <v>103</v>
      </c>
      <c r="I34" s="84" t="s">
        <v>103</v>
      </c>
      <c r="J34" s="84" t="s">
        <v>103</v>
      </c>
    </row>
    <row r="35" spans="1:11" ht="41.45" customHeight="1" x14ac:dyDescent="0.2">
      <c r="A35" s="360" t="s">
        <v>17</v>
      </c>
      <c r="B35" s="359" t="s">
        <v>219</v>
      </c>
      <c r="C35" s="366" t="s">
        <v>296</v>
      </c>
      <c r="D35" s="358" t="s">
        <v>102</v>
      </c>
      <c r="E35" s="83">
        <v>4</v>
      </c>
      <c r="F35" s="83">
        <v>2</v>
      </c>
      <c r="G35" s="83">
        <f>1+1</f>
        <v>2</v>
      </c>
      <c r="H35" s="83">
        <v>1</v>
      </c>
      <c r="I35" s="83">
        <f>18-8</f>
        <v>10</v>
      </c>
      <c r="J35" s="84" t="s">
        <v>103</v>
      </c>
    </row>
    <row r="36" spans="1:11" ht="39.75" customHeight="1" x14ac:dyDescent="0.2">
      <c r="A36" s="360" t="s">
        <v>461</v>
      </c>
      <c r="B36" s="359" t="s">
        <v>228</v>
      </c>
      <c r="C36" s="366" t="s">
        <v>426</v>
      </c>
      <c r="D36" s="358" t="s">
        <v>102</v>
      </c>
      <c r="E36" s="84" t="s">
        <v>103</v>
      </c>
      <c r="F36" s="84" t="s">
        <v>103</v>
      </c>
      <c r="G36" s="83">
        <v>3</v>
      </c>
      <c r="H36" s="83">
        <f>5-4</f>
        <v>1</v>
      </c>
      <c r="I36" s="83" t="s">
        <v>103</v>
      </c>
      <c r="J36" s="83" t="s">
        <v>103</v>
      </c>
    </row>
    <row r="37" spans="1:11" ht="29.45" customHeight="1" x14ac:dyDescent="0.2">
      <c r="A37" s="360" t="s">
        <v>462</v>
      </c>
      <c r="B37" s="359" t="s">
        <v>220</v>
      </c>
      <c r="C37" s="366" t="s">
        <v>221</v>
      </c>
      <c r="D37" s="358" t="s">
        <v>102</v>
      </c>
      <c r="E37" s="84" t="s">
        <v>103</v>
      </c>
      <c r="F37" s="83">
        <v>1</v>
      </c>
      <c r="G37" s="83">
        <f>5-3</f>
        <v>2</v>
      </c>
      <c r="H37" s="83">
        <v>1</v>
      </c>
      <c r="I37" s="83" t="s">
        <v>103</v>
      </c>
      <c r="J37" s="84" t="s">
        <v>103</v>
      </c>
      <c r="K37" s="81" t="s">
        <v>144</v>
      </c>
    </row>
    <row r="38" spans="1:11" ht="33" customHeight="1" x14ac:dyDescent="0.2">
      <c r="A38" s="360" t="s">
        <v>463</v>
      </c>
      <c r="B38" s="359" t="s">
        <v>225</v>
      </c>
      <c r="C38" s="366" t="s">
        <v>227</v>
      </c>
      <c r="D38" s="358" t="s">
        <v>102</v>
      </c>
      <c r="E38" s="84" t="s">
        <v>103</v>
      </c>
      <c r="F38" s="83">
        <v>734</v>
      </c>
      <c r="G38" s="93">
        <f>534+28+604+42</f>
        <v>1208</v>
      </c>
      <c r="H38" s="83">
        <f>534+629+390</f>
        <v>1553</v>
      </c>
      <c r="I38" s="83">
        <f>534+1455-994+1736</f>
        <v>2731</v>
      </c>
      <c r="J38" s="83" t="s">
        <v>103</v>
      </c>
      <c r="K38" s="81"/>
    </row>
    <row r="39" spans="1:11" ht="26.25" customHeight="1" x14ac:dyDescent="0.2">
      <c r="A39" s="495" t="s">
        <v>464</v>
      </c>
      <c r="B39" s="505" t="s">
        <v>1411</v>
      </c>
      <c r="C39" s="366" t="s">
        <v>111</v>
      </c>
      <c r="D39" s="358" t="s">
        <v>112</v>
      </c>
      <c r="E39" s="83">
        <v>2</v>
      </c>
      <c r="F39" s="84" t="s">
        <v>103</v>
      </c>
      <c r="G39" s="99" t="s">
        <v>103</v>
      </c>
      <c r="H39" s="84" t="s">
        <v>103</v>
      </c>
      <c r="I39" s="84" t="s">
        <v>103</v>
      </c>
      <c r="J39" s="83" t="s">
        <v>103</v>
      </c>
      <c r="K39" s="100" t="s">
        <v>188</v>
      </c>
    </row>
    <row r="40" spans="1:11" ht="26.25" customHeight="1" x14ac:dyDescent="0.2">
      <c r="A40" s="496"/>
      <c r="B40" s="514"/>
      <c r="C40" s="366" t="s">
        <v>1412</v>
      </c>
      <c r="D40" s="358" t="s">
        <v>112</v>
      </c>
      <c r="E40" s="83" t="s">
        <v>103</v>
      </c>
      <c r="F40" s="84" t="s">
        <v>103</v>
      </c>
      <c r="G40" s="99" t="s">
        <v>103</v>
      </c>
      <c r="H40" s="84" t="s">
        <v>103</v>
      </c>
      <c r="I40" s="83">
        <v>4</v>
      </c>
      <c r="J40" s="83" t="s">
        <v>103</v>
      </c>
      <c r="K40" s="319"/>
    </row>
    <row r="41" spans="1:11" ht="42.6" customHeight="1" x14ac:dyDescent="0.2">
      <c r="A41" s="360" t="s">
        <v>465</v>
      </c>
      <c r="B41" s="359" t="s">
        <v>113</v>
      </c>
      <c r="C41" s="366" t="s">
        <v>114</v>
      </c>
      <c r="D41" s="358" t="s">
        <v>102</v>
      </c>
      <c r="E41" s="83">
        <v>61</v>
      </c>
      <c r="F41" s="83">
        <v>41</v>
      </c>
      <c r="G41" s="93">
        <f>43-21</f>
        <v>22</v>
      </c>
      <c r="H41" s="83">
        <f>47-25+7</f>
        <v>29</v>
      </c>
      <c r="I41" s="83">
        <f>22+8</f>
        <v>30</v>
      </c>
      <c r="J41" s="83">
        <v>22</v>
      </c>
    </row>
    <row r="42" spans="1:11" ht="42.6" customHeight="1" x14ac:dyDescent="0.2">
      <c r="A42" s="360" t="s">
        <v>466</v>
      </c>
      <c r="B42" s="101" t="s">
        <v>438</v>
      </c>
      <c r="C42" s="366" t="s">
        <v>391</v>
      </c>
      <c r="D42" s="358" t="s">
        <v>102</v>
      </c>
      <c r="E42" s="83" t="s">
        <v>103</v>
      </c>
      <c r="F42" s="83" t="s">
        <v>103</v>
      </c>
      <c r="G42" s="93">
        <f>5-1</f>
        <v>4</v>
      </c>
      <c r="H42" s="83">
        <f>0+2-1+1+1</f>
        <v>3</v>
      </c>
      <c r="I42" s="83">
        <f>0+1+10</f>
        <v>11</v>
      </c>
      <c r="J42" s="83" t="s">
        <v>103</v>
      </c>
    </row>
    <row r="43" spans="1:11" ht="27" customHeight="1" x14ac:dyDescent="0.2">
      <c r="A43" s="542" t="s">
        <v>467</v>
      </c>
      <c r="B43" s="539" t="s">
        <v>633</v>
      </c>
      <c r="C43" s="366" t="s">
        <v>427</v>
      </c>
      <c r="D43" s="358" t="s">
        <v>102</v>
      </c>
      <c r="E43" s="83" t="s">
        <v>103</v>
      </c>
      <c r="F43" s="83" t="s">
        <v>103</v>
      </c>
      <c r="G43" s="102">
        <v>1</v>
      </c>
      <c r="H43" s="83">
        <f>0+1</f>
        <v>1</v>
      </c>
      <c r="I43" s="83" t="s">
        <v>103</v>
      </c>
      <c r="J43" s="83" t="s">
        <v>103</v>
      </c>
    </row>
    <row r="44" spans="1:11" ht="27" customHeight="1" x14ac:dyDescent="0.2">
      <c r="A44" s="543"/>
      <c r="B44" s="540"/>
      <c r="C44" s="366" t="s">
        <v>635</v>
      </c>
      <c r="D44" s="358" t="s">
        <v>102</v>
      </c>
      <c r="E44" s="83" t="s">
        <v>103</v>
      </c>
      <c r="F44" s="83" t="s">
        <v>103</v>
      </c>
      <c r="G44" s="102" t="s">
        <v>103</v>
      </c>
      <c r="H44" s="83" t="s">
        <v>103</v>
      </c>
      <c r="I44" s="83">
        <v>1</v>
      </c>
      <c r="J44" s="83" t="s">
        <v>103</v>
      </c>
    </row>
    <row r="45" spans="1:11" ht="45.75" customHeight="1" x14ac:dyDescent="0.2">
      <c r="A45" s="355" t="s">
        <v>468</v>
      </c>
      <c r="B45" s="361" t="s">
        <v>409</v>
      </c>
      <c r="C45" s="366" t="s">
        <v>412</v>
      </c>
      <c r="D45" s="358" t="s">
        <v>102</v>
      </c>
      <c r="E45" s="83" t="s">
        <v>103</v>
      </c>
      <c r="F45" s="83" t="s">
        <v>103</v>
      </c>
      <c r="G45" s="102">
        <v>9</v>
      </c>
      <c r="H45" s="83" t="s">
        <v>103</v>
      </c>
      <c r="I45" s="83">
        <v>2</v>
      </c>
      <c r="J45" s="83" t="s">
        <v>103</v>
      </c>
    </row>
    <row r="46" spans="1:11" ht="17.25" customHeight="1" x14ac:dyDescent="0.2">
      <c r="A46" s="495" t="s">
        <v>469</v>
      </c>
      <c r="B46" s="505" t="s">
        <v>413</v>
      </c>
      <c r="C46" s="366" t="s">
        <v>209</v>
      </c>
      <c r="D46" s="358" t="s">
        <v>108</v>
      </c>
      <c r="E46" s="83" t="s">
        <v>103</v>
      </c>
      <c r="F46" s="83" t="s">
        <v>103</v>
      </c>
      <c r="G46" s="84">
        <v>0.04</v>
      </c>
      <c r="H46" s="83" t="s">
        <v>103</v>
      </c>
      <c r="I46" s="83" t="s">
        <v>103</v>
      </c>
      <c r="J46" s="83" t="s">
        <v>103</v>
      </c>
    </row>
    <row r="47" spans="1:11" ht="17.25" customHeight="1" x14ac:dyDescent="0.2">
      <c r="A47" s="522"/>
      <c r="B47" s="506"/>
      <c r="C47" s="366" t="s">
        <v>109</v>
      </c>
      <c r="D47" s="358" t="s">
        <v>102</v>
      </c>
      <c r="E47" s="83" t="s">
        <v>103</v>
      </c>
      <c r="F47" s="83" t="s">
        <v>103</v>
      </c>
      <c r="G47" s="83">
        <v>8</v>
      </c>
      <c r="H47" s="83">
        <f>3</f>
        <v>3</v>
      </c>
      <c r="I47" s="83">
        <f>1+1</f>
        <v>2</v>
      </c>
      <c r="J47" s="83">
        <v>2</v>
      </c>
    </row>
    <row r="48" spans="1:11" ht="17.25" customHeight="1" x14ac:dyDescent="0.2">
      <c r="A48" s="496"/>
      <c r="B48" s="514"/>
      <c r="C48" s="366" t="s">
        <v>226</v>
      </c>
      <c r="D48" s="358" t="s">
        <v>102</v>
      </c>
      <c r="E48" s="83" t="s">
        <v>103</v>
      </c>
      <c r="F48" s="83" t="s">
        <v>103</v>
      </c>
      <c r="G48" s="83">
        <v>162</v>
      </c>
      <c r="H48" s="83">
        <f>77+1</f>
        <v>78</v>
      </c>
      <c r="I48" s="83" t="s">
        <v>103</v>
      </c>
      <c r="J48" s="83" t="s">
        <v>103</v>
      </c>
    </row>
    <row r="49" spans="1:30" ht="30.6" customHeight="1" x14ac:dyDescent="0.2">
      <c r="A49" s="76" t="s">
        <v>16</v>
      </c>
      <c r="B49" s="512" t="s">
        <v>484</v>
      </c>
      <c r="C49" s="499"/>
      <c r="D49" s="499"/>
      <c r="E49" s="499"/>
      <c r="F49" s="499"/>
      <c r="G49" s="499"/>
      <c r="H49" s="499"/>
      <c r="I49" s="499"/>
      <c r="J49" s="500"/>
    </row>
    <row r="50" spans="1:30" ht="29.25" customHeight="1" x14ac:dyDescent="0.2">
      <c r="A50" s="360" t="s">
        <v>133</v>
      </c>
      <c r="B50" s="359" t="s">
        <v>52</v>
      </c>
      <c r="C50" s="366" t="s">
        <v>115</v>
      </c>
      <c r="D50" s="103" t="s">
        <v>116</v>
      </c>
      <c r="E50" s="104">
        <v>98.9</v>
      </c>
      <c r="F50" s="104">
        <v>99.5</v>
      </c>
      <c r="G50" s="104">
        <v>99.5</v>
      </c>
      <c r="H50" s="104">
        <v>99.5</v>
      </c>
      <c r="I50" s="104" t="s">
        <v>613</v>
      </c>
      <c r="J50" s="104" t="s">
        <v>613</v>
      </c>
    </row>
    <row r="51" spans="1:30" ht="29.25" customHeight="1" x14ac:dyDescent="0.2">
      <c r="A51" s="76" t="s">
        <v>1378</v>
      </c>
      <c r="B51" s="512" t="s">
        <v>1392</v>
      </c>
      <c r="C51" s="499"/>
      <c r="D51" s="499"/>
      <c r="E51" s="499"/>
      <c r="F51" s="499"/>
      <c r="G51" s="499"/>
      <c r="H51" s="499"/>
      <c r="I51" s="499"/>
      <c r="J51" s="500"/>
    </row>
    <row r="52" spans="1:30" ht="66.75" customHeight="1" x14ac:dyDescent="0.2">
      <c r="A52" s="334" t="s">
        <v>1379</v>
      </c>
      <c r="B52" s="70" t="s">
        <v>1387</v>
      </c>
      <c r="C52" s="70" t="s">
        <v>1393</v>
      </c>
      <c r="D52" s="348" t="s">
        <v>112</v>
      </c>
      <c r="E52" s="95" t="s">
        <v>103</v>
      </c>
      <c r="F52" s="95" t="s">
        <v>103</v>
      </c>
      <c r="G52" s="95" t="s">
        <v>103</v>
      </c>
      <c r="H52" s="95" t="s">
        <v>103</v>
      </c>
      <c r="I52" s="348">
        <v>1</v>
      </c>
      <c r="J52" s="348">
        <v>1</v>
      </c>
    </row>
    <row r="53" spans="1:30" ht="111.75" customHeight="1" x14ac:dyDescent="0.2">
      <c r="A53" s="334" t="s">
        <v>1380</v>
      </c>
      <c r="B53" s="70" t="s">
        <v>1418</v>
      </c>
      <c r="C53" s="70" t="s">
        <v>1394</v>
      </c>
      <c r="D53" s="348" t="s">
        <v>112</v>
      </c>
      <c r="E53" s="95" t="s">
        <v>103</v>
      </c>
      <c r="F53" s="95" t="s">
        <v>103</v>
      </c>
      <c r="G53" s="95" t="s">
        <v>103</v>
      </c>
      <c r="H53" s="95" t="s">
        <v>103</v>
      </c>
      <c r="I53" s="348">
        <v>1</v>
      </c>
      <c r="J53" s="348">
        <v>1</v>
      </c>
    </row>
    <row r="54" spans="1:30" ht="68.25" customHeight="1" x14ac:dyDescent="0.2">
      <c r="A54" s="334" t="s">
        <v>1381</v>
      </c>
      <c r="B54" s="70" t="s">
        <v>1386</v>
      </c>
      <c r="C54" s="70" t="s">
        <v>1395</v>
      </c>
      <c r="D54" s="348" t="s">
        <v>112</v>
      </c>
      <c r="E54" s="95" t="s">
        <v>103</v>
      </c>
      <c r="F54" s="95" t="s">
        <v>103</v>
      </c>
      <c r="G54" s="95" t="s">
        <v>103</v>
      </c>
      <c r="H54" s="95" t="s">
        <v>103</v>
      </c>
      <c r="I54" s="348">
        <v>1</v>
      </c>
      <c r="J54" s="348">
        <v>1</v>
      </c>
    </row>
    <row r="55" spans="1:30" ht="48.75" customHeight="1" x14ac:dyDescent="0.2">
      <c r="A55" s="334" t="s">
        <v>1382</v>
      </c>
      <c r="B55" s="70" t="s">
        <v>1391</v>
      </c>
      <c r="C55" s="70" t="s">
        <v>1399</v>
      </c>
      <c r="D55" s="347" t="s">
        <v>116</v>
      </c>
      <c r="E55" s="95" t="s">
        <v>103</v>
      </c>
      <c r="F55" s="95" t="s">
        <v>103</v>
      </c>
      <c r="G55" s="95" t="s">
        <v>103</v>
      </c>
      <c r="H55" s="95" t="s">
        <v>103</v>
      </c>
      <c r="I55" s="348">
        <v>100</v>
      </c>
      <c r="J55" s="348">
        <v>100</v>
      </c>
    </row>
    <row r="56" spans="1:30" ht="29.25" customHeight="1" x14ac:dyDescent="0.2">
      <c r="A56" s="334" t="s">
        <v>1383</v>
      </c>
      <c r="B56" s="70" t="s">
        <v>1396</v>
      </c>
      <c r="C56" s="70" t="s">
        <v>1397</v>
      </c>
      <c r="D56" s="347" t="s">
        <v>116</v>
      </c>
      <c r="E56" s="95" t="s">
        <v>103</v>
      </c>
      <c r="F56" s="95" t="s">
        <v>103</v>
      </c>
      <c r="G56" s="95" t="s">
        <v>103</v>
      </c>
      <c r="H56" s="95" t="s">
        <v>103</v>
      </c>
      <c r="I56" s="348">
        <v>100</v>
      </c>
      <c r="J56" s="348">
        <v>100</v>
      </c>
    </row>
    <row r="57" spans="1:30" ht="29.25" customHeight="1" x14ac:dyDescent="0.2">
      <c r="A57" s="334" t="s">
        <v>1384</v>
      </c>
      <c r="B57" s="70" t="s">
        <v>1398</v>
      </c>
      <c r="C57" s="70" t="s">
        <v>1397</v>
      </c>
      <c r="D57" s="347" t="s">
        <v>116</v>
      </c>
      <c r="E57" s="95" t="s">
        <v>103</v>
      </c>
      <c r="F57" s="95" t="s">
        <v>103</v>
      </c>
      <c r="G57" s="95" t="s">
        <v>103</v>
      </c>
      <c r="H57" s="95" t="s">
        <v>103</v>
      </c>
      <c r="I57" s="348">
        <v>100</v>
      </c>
      <c r="J57" s="348">
        <v>100</v>
      </c>
    </row>
    <row r="58" spans="1:30" ht="57" customHeight="1" x14ac:dyDescent="0.2">
      <c r="A58" s="334" t="s">
        <v>1400</v>
      </c>
      <c r="B58" s="70" t="s">
        <v>1404</v>
      </c>
      <c r="C58" s="70" t="s">
        <v>1405</v>
      </c>
      <c r="D58" s="347" t="s">
        <v>116</v>
      </c>
      <c r="E58" s="95" t="s">
        <v>103</v>
      </c>
      <c r="F58" s="95" t="s">
        <v>103</v>
      </c>
      <c r="G58" s="95" t="s">
        <v>103</v>
      </c>
      <c r="H58" s="95" t="s">
        <v>103</v>
      </c>
      <c r="I58" s="348" t="s">
        <v>1408</v>
      </c>
      <c r="J58" s="348" t="s">
        <v>1408</v>
      </c>
    </row>
    <row r="59" spans="1:30" ht="62.25" customHeight="1" x14ac:dyDescent="0.2">
      <c r="A59" s="334" t="s">
        <v>1401</v>
      </c>
      <c r="B59" s="70" t="s">
        <v>1415</v>
      </c>
      <c r="C59" s="70" t="s">
        <v>1403</v>
      </c>
      <c r="D59" s="347" t="s">
        <v>112</v>
      </c>
      <c r="E59" s="95" t="s">
        <v>103</v>
      </c>
      <c r="F59" s="95" t="s">
        <v>103</v>
      </c>
      <c r="G59" s="95" t="s">
        <v>103</v>
      </c>
      <c r="H59" s="95" t="s">
        <v>103</v>
      </c>
      <c r="I59" s="348" t="s">
        <v>1407</v>
      </c>
      <c r="J59" s="348" t="s">
        <v>1407</v>
      </c>
    </row>
    <row r="60" spans="1:30" ht="45.6" customHeight="1" x14ac:dyDescent="0.2">
      <c r="A60" s="76" t="s">
        <v>450</v>
      </c>
      <c r="B60" s="512" t="s">
        <v>1118</v>
      </c>
      <c r="C60" s="499"/>
      <c r="D60" s="499"/>
      <c r="E60" s="499"/>
      <c r="F60" s="499"/>
      <c r="G60" s="499"/>
      <c r="H60" s="499"/>
      <c r="I60" s="499"/>
      <c r="J60" s="500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30" ht="33.6" customHeight="1" x14ac:dyDescent="0.2">
      <c r="A61" s="516" t="s">
        <v>199</v>
      </c>
      <c r="B61" s="516"/>
      <c r="C61" s="516"/>
      <c r="D61" s="516"/>
      <c r="E61" s="516"/>
      <c r="F61" s="516"/>
      <c r="G61" s="516"/>
      <c r="H61" s="516"/>
      <c r="I61" s="516"/>
      <c r="J61" s="516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30" ht="44.45" customHeight="1" x14ac:dyDescent="0.2">
      <c r="A62" s="517" t="s">
        <v>1106</v>
      </c>
      <c r="B62" s="517"/>
      <c r="C62" s="517"/>
      <c r="D62" s="517"/>
      <c r="E62" s="517"/>
      <c r="F62" s="517"/>
      <c r="G62" s="517"/>
      <c r="H62" s="517"/>
      <c r="I62" s="517"/>
      <c r="J62" s="517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</row>
    <row r="63" spans="1:30" ht="43.9" customHeight="1" x14ac:dyDescent="0.2">
      <c r="A63" s="76" t="s">
        <v>2</v>
      </c>
      <c r="B63" s="512" t="s">
        <v>1121</v>
      </c>
      <c r="C63" s="499"/>
      <c r="D63" s="499"/>
      <c r="E63" s="499"/>
      <c r="F63" s="499"/>
      <c r="G63" s="499"/>
      <c r="H63" s="499"/>
      <c r="I63" s="499"/>
      <c r="J63" s="500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</row>
    <row r="64" spans="1:30" ht="45" customHeight="1" x14ac:dyDescent="0.2">
      <c r="A64" s="520" t="s">
        <v>9</v>
      </c>
      <c r="B64" s="518" t="s">
        <v>630</v>
      </c>
      <c r="C64" s="359" t="s">
        <v>191</v>
      </c>
      <c r="D64" s="358" t="s">
        <v>119</v>
      </c>
      <c r="E64" s="105">
        <v>0.1</v>
      </c>
      <c r="F64" s="358">
        <v>3.06</v>
      </c>
      <c r="G64" s="106">
        <f>1.31-1.1-0.2</f>
        <v>9.9999999999999534E-3</v>
      </c>
      <c r="H64" s="106">
        <f>0+1.69-1.48</f>
        <v>0.20999999999999996</v>
      </c>
      <c r="I64" s="367">
        <f>0.968+0.57-0.57</f>
        <v>0.96799999999999986</v>
      </c>
      <c r="J64" s="106" t="s">
        <v>103</v>
      </c>
      <c r="K64" s="107">
        <v>3.2</v>
      </c>
    </row>
    <row r="65" spans="1:13" ht="47.25" customHeight="1" x14ac:dyDescent="0.2">
      <c r="A65" s="520"/>
      <c r="B65" s="518"/>
      <c r="C65" s="359" t="s">
        <v>572</v>
      </c>
      <c r="D65" s="358" t="s">
        <v>102</v>
      </c>
      <c r="E65" s="105" t="s">
        <v>103</v>
      </c>
      <c r="F65" s="358" t="s">
        <v>103</v>
      </c>
      <c r="G65" s="106" t="s">
        <v>103</v>
      </c>
      <c r="H65" s="106" t="s">
        <v>103</v>
      </c>
      <c r="I65" s="358" t="s">
        <v>103</v>
      </c>
      <c r="J65" s="106" t="s">
        <v>103</v>
      </c>
      <c r="K65" s="107"/>
    </row>
    <row r="66" spans="1:13" ht="45" customHeight="1" x14ac:dyDescent="0.2">
      <c r="A66" s="520"/>
      <c r="B66" s="518"/>
      <c r="C66" s="359" t="s">
        <v>341</v>
      </c>
      <c r="D66" s="358" t="s">
        <v>102</v>
      </c>
      <c r="E66" s="108" t="s">
        <v>103</v>
      </c>
      <c r="F66" s="358">
        <v>4</v>
      </c>
      <c r="G66" s="358" t="s">
        <v>103</v>
      </c>
      <c r="H66" s="358" t="s">
        <v>103</v>
      </c>
      <c r="I66" s="358" t="s">
        <v>103</v>
      </c>
      <c r="J66" s="358" t="s">
        <v>103</v>
      </c>
      <c r="K66" s="107"/>
    </row>
    <row r="67" spans="1:13" ht="30" customHeight="1" x14ac:dyDescent="0.2">
      <c r="A67" s="495" t="s">
        <v>41</v>
      </c>
      <c r="B67" s="505" t="s">
        <v>615</v>
      </c>
      <c r="C67" s="359" t="s">
        <v>192</v>
      </c>
      <c r="D67" s="358" t="s">
        <v>119</v>
      </c>
      <c r="E67" s="108" t="s">
        <v>103</v>
      </c>
      <c r="F67" s="358">
        <v>1</v>
      </c>
      <c r="G67" s="109">
        <f>0.45-0.42</f>
        <v>3.0000000000000027E-2</v>
      </c>
      <c r="H67" s="358">
        <v>1.96</v>
      </c>
      <c r="I67" s="358" t="s">
        <v>103</v>
      </c>
      <c r="J67" s="106" t="s">
        <v>103</v>
      </c>
      <c r="K67" s="107">
        <v>0.69</v>
      </c>
    </row>
    <row r="68" spans="1:13" ht="30" customHeight="1" x14ac:dyDescent="0.2">
      <c r="A68" s="522"/>
      <c r="B68" s="506"/>
      <c r="C68" s="359" t="s">
        <v>611</v>
      </c>
      <c r="D68" s="358" t="s">
        <v>102</v>
      </c>
      <c r="E68" s="108" t="s">
        <v>103</v>
      </c>
      <c r="F68" s="358" t="s">
        <v>103</v>
      </c>
      <c r="G68" s="109" t="s">
        <v>103</v>
      </c>
      <c r="H68" s="358" t="s">
        <v>103</v>
      </c>
      <c r="I68" s="358">
        <v>1</v>
      </c>
      <c r="J68" s="106" t="s">
        <v>103</v>
      </c>
      <c r="K68" s="110"/>
    </row>
    <row r="69" spans="1:13" ht="43.5" customHeight="1" x14ac:dyDescent="0.2">
      <c r="A69" s="522"/>
      <c r="B69" s="506"/>
      <c r="C69" s="359" t="s">
        <v>338</v>
      </c>
      <c r="D69" s="358" t="s">
        <v>102</v>
      </c>
      <c r="E69" s="108" t="s">
        <v>103</v>
      </c>
      <c r="F69" s="358">
        <v>1</v>
      </c>
      <c r="G69" s="108" t="s">
        <v>103</v>
      </c>
      <c r="H69" s="358">
        <v>1</v>
      </c>
      <c r="I69" s="358" t="s">
        <v>103</v>
      </c>
      <c r="J69" s="358" t="s">
        <v>103</v>
      </c>
      <c r="K69" s="110"/>
    </row>
    <row r="70" spans="1:13" ht="45" customHeight="1" x14ac:dyDescent="0.2">
      <c r="A70" s="495" t="s">
        <v>132</v>
      </c>
      <c r="B70" s="505" t="s">
        <v>398</v>
      </c>
      <c r="C70" s="363" t="s">
        <v>1390</v>
      </c>
      <c r="D70" s="358" t="s">
        <v>102</v>
      </c>
      <c r="E70" s="108" t="s">
        <v>103</v>
      </c>
      <c r="F70" s="358">
        <v>6</v>
      </c>
      <c r="G70" s="358">
        <f>7-5</f>
        <v>2</v>
      </c>
      <c r="H70" s="358">
        <v>1</v>
      </c>
      <c r="I70" s="358">
        <v>2</v>
      </c>
      <c r="J70" s="358">
        <v>2</v>
      </c>
      <c r="K70" s="111">
        <v>1</v>
      </c>
    </row>
    <row r="71" spans="1:13" ht="45" customHeight="1" x14ac:dyDescent="0.2">
      <c r="A71" s="522"/>
      <c r="B71" s="506"/>
      <c r="C71" s="363" t="s">
        <v>193</v>
      </c>
      <c r="D71" s="358" t="s">
        <v>102</v>
      </c>
      <c r="E71" s="108" t="s">
        <v>103</v>
      </c>
      <c r="F71" s="358">
        <v>3</v>
      </c>
      <c r="G71" s="358">
        <v>2</v>
      </c>
      <c r="H71" s="358">
        <f>0+2+2-2</f>
        <v>2</v>
      </c>
      <c r="I71" s="358">
        <f>3-2+2-1</f>
        <v>2</v>
      </c>
      <c r="J71" s="358">
        <v>1</v>
      </c>
      <c r="K71" s="111">
        <v>1</v>
      </c>
    </row>
    <row r="72" spans="1:13" ht="30.75" customHeight="1" x14ac:dyDescent="0.2">
      <c r="A72" s="522"/>
      <c r="B72" s="506"/>
      <c r="C72" s="363" t="s">
        <v>378</v>
      </c>
      <c r="D72" s="358" t="s">
        <v>102</v>
      </c>
      <c r="E72" s="108" t="s">
        <v>103</v>
      </c>
      <c r="F72" s="108">
        <v>1</v>
      </c>
      <c r="G72" s="108" t="s">
        <v>103</v>
      </c>
      <c r="H72" s="108" t="s">
        <v>103</v>
      </c>
      <c r="I72" s="108" t="s">
        <v>103</v>
      </c>
      <c r="J72" s="108" t="s">
        <v>103</v>
      </c>
      <c r="K72" s="111">
        <v>7</v>
      </c>
    </row>
    <row r="73" spans="1:13" ht="43.15" customHeight="1" x14ac:dyDescent="0.2">
      <c r="A73" s="522"/>
      <c r="B73" s="506"/>
      <c r="C73" s="363" t="s">
        <v>164</v>
      </c>
      <c r="D73" s="358" t="s">
        <v>102</v>
      </c>
      <c r="E73" s="358">
        <v>1</v>
      </c>
      <c r="F73" s="358">
        <v>2</v>
      </c>
      <c r="G73" s="358">
        <v>1</v>
      </c>
      <c r="H73" s="358" t="s">
        <v>103</v>
      </c>
      <c r="I73" s="358" t="s">
        <v>103</v>
      </c>
      <c r="J73" s="358">
        <f>2-1</f>
        <v>1</v>
      </c>
      <c r="K73" s="111"/>
    </row>
    <row r="74" spans="1:13" ht="43.15" customHeight="1" x14ac:dyDescent="0.2">
      <c r="A74" s="522"/>
      <c r="B74" s="506"/>
      <c r="C74" s="363" t="s">
        <v>165</v>
      </c>
      <c r="D74" s="358" t="s">
        <v>102</v>
      </c>
      <c r="E74" s="108" t="s">
        <v>103</v>
      </c>
      <c r="F74" s="108" t="s">
        <v>103</v>
      </c>
      <c r="G74" s="108" t="s">
        <v>103</v>
      </c>
      <c r="H74" s="358" t="s">
        <v>103</v>
      </c>
      <c r="I74" s="358" t="s">
        <v>103</v>
      </c>
      <c r="J74" s="358" t="s">
        <v>103</v>
      </c>
      <c r="K74" s="111">
        <v>40</v>
      </c>
      <c r="M74" s="46" t="s">
        <v>138</v>
      </c>
    </row>
    <row r="75" spans="1:13" ht="45.75" customHeight="1" x14ac:dyDescent="0.2">
      <c r="A75" s="522"/>
      <c r="B75" s="506"/>
      <c r="C75" s="363" t="s">
        <v>190</v>
      </c>
      <c r="D75" s="358" t="s">
        <v>119</v>
      </c>
      <c r="E75" s="358">
        <v>33.46</v>
      </c>
      <c r="F75" s="108" t="s">
        <v>103</v>
      </c>
      <c r="G75" s="106" t="s">
        <v>103</v>
      </c>
      <c r="H75" s="106" t="s">
        <v>103</v>
      </c>
      <c r="I75" s="112" t="s">
        <v>103</v>
      </c>
      <c r="J75" s="112" t="s">
        <v>103</v>
      </c>
      <c r="K75" s="111"/>
    </row>
    <row r="76" spans="1:13" ht="45" customHeight="1" x14ac:dyDescent="0.2">
      <c r="A76" s="522"/>
      <c r="B76" s="506"/>
      <c r="C76" s="363" t="s">
        <v>118</v>
      </c>
      <c r="D76" s="358" t="s">
        <v>301</v>
      </c>
      <c r="E76" s="108" t="s">
        <v>103</v>
      </c>
      <c r="F76" s="108" t="s">
        <v>103</v>
      </c>
      <c r="G76" s="358" t="s">
        <v>103</v>
      </c>
      <c r="H76" s="358" t="s">
        <v>103</v>
      </c>
      <c r="I76" s="358" t="s">
        <v>103</v>
      </c>
      <c r="J76" s="358" t="s">
        <v>103</v>
      </c>
      <c r="K76" s="111"/>
    </row>
    <row r="77" spans="1:13" ht="29.25" customHeight="1" x14ac:dyDescent="0.2">
      <c r="A77" s="522"/>
      <c r="B77" s="506"/>
      <c r="C77" s="359" t="s">
        <v>1389</v>
      </c>
      <c r="D77" s="358" t="s">
        <v>102</v>
      </c>
      <c r="E77" s="108" t="s">
        <v>103</v>
      </c>
      <c r="F77" s="358" t="s">
        <v>103</v>
      </c>
      <c r="G77" s="108">
        <v>1</v>
      </c>
      <c r="H77" s="358" t="s">
        <v>103</v>
      </c>
      <c r="I77" s="358">
        <v>1</v>
      </c>
      <c r="J77" s="358" t="s">
        <v>103</v>
      </c>
      <c r="K77" s="111"/>
    </row>
    <row r="78" spans="1:13" ht="29.25" customHeight="1" x14ac:dyDescent="0.2">
      <c r="A78" s="364"/>
      <c r="B78" s="365"/>
      <c r="C78" s="359" t="s">
        <v>393</v>
      </c>
      <c r="D78" s="358" t="s">
        <v>102</v>
      </c>
      <c r="E78" s="358" t="s">
        <v>103</v>
      </c>
      <c r="F78" s="358" t="s">
        <v>103</v>
      </c>
      <c r="G78" s="358" t="s">
        <v>103</v>
      </c>
      <c r="H78" s="358" t="s">
        <v>103</v>
      </c>
      <c r="I78" s="358">
        <v>1</v>
      </c>
      <c r="J78" s="358" t="s">
        <v>103</v>
      </c>
      <c r="K78" s="111"/>
    </row>
    <row r="79" spans="1:13" ht="29.25" customHeight="1" x14ac:dyDescent="0.2">
      <c r="A79" s="364"/>
      <c r="B79" s="365"/>
      <c r="C79" s="359" t="s">
        <v>1361</v>
      </c>
      <c r="D79" s="358" t="s">
        <v>102</v>
      </c>
      <c r="E79" s="358" t="s">
        <v>103</v>
      </c>
      <c r="F79" s="358" t="s">
        <v>103</v>
      </c>
      <c r="G79" s="358" t="s">
        <v>103</v>
      </c>
      <c r="H79" s="358" t="s">
        <v>103</v>
      </c>
      <c r="I79" s="358">
        <v>2</v>
      </c>
      <c r="J79" s="358">
        <v>1</v>
      </c>
      <c r="K79" s="111"/>
    </row>
    <row r="80" spans="1:13" ht="29.25" customHeight="1" x14ac:dyDescent="0.2">
      <c r="A80" s="364"/>
      <c r="B80" s="365"/>
      <c r="C80" s="359" t="s">
        <v>1388</v>
      </c>
      <c r="D80" s="358" t="s">
        <v>102</v>
      </c>
      <c r="E80" s="358" t="s">
        <v>103</v>
      </c>
      <c r="F80" s="358" t="s">
        <v>103</v>
      </c>
      <c r="G80" s="358" t="s">
        <v>103</v>
      </c>
      <c r="H80" s="358" t="s">
        <v>103</v>
      </c>
      <c r="I80" s="358">
        <f>1+1</f>
        <v>2</v>
      </c>
      <c r="J80" s="358" t="s">
        <v>103</v>
      </c>
      <c r="K80" s="111"/>
    </row>
    <row r="81" spans="1:12" ht="59.25" customHeight="1" x14ac:dyDescent="0.2">
      <c r="A81" s="515" t="s">
        <v>451</v>
      </c>
      <c r="B81" s="501" t="s">
        <v>616</v>
      </c>
      <c r="C81" s="359" t="s">
        <v>434</v>
      </c>
      <c r="D81" s="358" t="s">
        <v>121</v>
      </c>
      <c r="E81" s="108" t="s">
        <v>103</v>
      </c>
      <c r="F81" s="358" t="s">
        <v>362</v>
      </c>
      <c r="G81" s="358" t="s">
        <v>515</v>
      </c>
      <c r="H81" s="358" t="s">
        <v>586</v>
      </c>
      <c r="I81" s="358" t="s">
        <v>586</v>
      </c>
      <c r="J81" s="358" t="s">
        <v>103</v>
      </c>
      <c r="K81" s="113">
        <v>109.38</v>
      </c>
      <c r="L81" s="46" t="s">
        <v>134</v>
      </c>
    </row>
    <row r="82" spans="1:12" ht="30.75" customHeight="1" x14ac:dyDescent="0.2">
      <c r="A82" s="507"/>
      <c r="B82" s="523"/>
      <c r="C82" s="359" t="s">
        <v>325</v>
      </c>
      <c r="D82" s="358" t="s">
        <v>102</v>
      </c>
      <c r="E82" s="108" t="s">
        <v>103</v>
      </c>
      <c r="F82" s="358">
        <v>1</v>
      </c>
      <c r="G82" s="358">
        <v>1</v>
      </c>
      <c r="H82" s="358">
        <f>1+1</f>
        <v>2</v>
      </c>
      <c r="I82" s="358">
        <v>1</v>
      </c>
      <c r="J82" s="358" t="s">
        <v>103</v>
      </c>
      <c r="K82" s="113"/>
    </row>
    <row r="83" spans="1:12" ht="56.25" customHeight="1" x14ac:dyDescent="0.2">
      <c r="A83" s="507"/>
      <c r="B83" s="509"/>
      <c r="C83" s="359" t="s">
        <v>334</v>
      </c>
      <c r="D83" s="358" t="s">
        <v>102</v>
      </c>
      <c r="E83" s="108" t="s">
        <v>103</v>
      </c>
      <c r="F83" s="358">
        <v>1</v>
      </c>
      <c r="G83" s="358" t="s">
        <v>103</v>
      </c>
      <c r="H83" s="358" t="s">
        <v>103</v>
      </c>
      <c r="I83" s="358" t="s">
        <v>103</v>
      </c>
      <c r="J83" s="358" t="s">
        <v>103</v>
      </c>
      <c r="K83" s="113"/>
    </row>
    <row r="84" spans="1:12" ht="58.5" customHeight="1" x14ac:dyDescent="0.2">
      <c r="A84" s="507"/>
      <c r="B84" s="509"/>
      <c r="C84" s="359" t="s">
        <v>389</v>
      </c>
      <c r="D84" s="358" t="s">
        <v>102</v>
      </c>
      <c r="E84" s="358" t="s">
        <v>103</v>
      </c>
      <c r="F84" s="112" t="s">
        <v>103</v>
      </c>
      <c r="G84" s="358" t="s">
        <v>103</v>
      </c>
      <c r="H84" s="358" t="s">
        <v>103</v>
      </c>
      <c r="I84" s="358" t="s">
        <v>103</v>
      </c>
      <c r="J84" s="358" t="s">
        <v>103</v>
      </c>
      <c r="K84" s="114"/>
    </row>
    <row r="85" spans="1:12" ht="25.5" x14ac:dyDescent="0.2">
      <c r="A85" s="507"/>
      <c r="B85" s="509"/>
      <c r="C85" s="359" t="s">
        <v>555</v>
      </c>
      <c r="D85" s="358" t="s">
        <v>102</v>
      </c>
      <c r="E85" s="358" t="s">
        <v>103</v>
      </c>
      <c r="F85" s="112" t="s">
        <v>103</v>
      </c>
      <c r="G85" s="358">
        <f>1</f>
        <v>1</v>
      </c>
      <c r="H85" s="358" t="s">
        <v>103</v>
      </c>
      <c r="I85" s="358" t="s">
        <v>103</v>
      </c>
      <c r="J85" s="358" t="s">
        <v>103</v>
      </c>
      <c r="K85" s="114"/>
    </row>
    <row r="86" spans="1:12" ht="42" customHeight="1" x14ac:dyDescent="0.2">
      <c r="A86" s="507"/>
      <c r="B86" s="509"/>
      <c r="C86" s="359" t="s">
        <v>407</v>
      </c>
      <c r="D86" s="358" t="s">
        <v>102</v>
      </c>
      <c r="E86" s="358" t="s">
        <v>103</v>
      </c>
      <c r="F86" s="358" t="s">
        <v>103</v>
      </c>
      <c r="G86" s="358">
        <v>1</v>
      </c>
      <c r="H86" s="358" t="s">
        <v>103</v>
      </c>
      <c r="I86" s="358" t="s">
        <v>103</v>
      </c>
      <c r="J86" s="358" t="s">
        <v>103</v>
      </c>
      <c r="K86" s="114"/>
    </row>
    <row r="87" spans="1:12" ht="24" customHeight="1" x14ac:dyDescent="0.2">
      <c r="A87" s="508"/>
      <c r="B87" s="473"/>
      <c r="C87" s="359" t="s">
        <v>556</v>
      </c>
      <c r="D87" s="358" t="s">
        <v>102</v>
      </c>
      <c r="E87" s="358" t="s">
        <v>103</v>
      </c>
      <c r="F87" s="358" t="s">
        <v>103</v>
      </c>
      <c r="G87" s="358" t="s">
        <v>103</v>
      </c>
      <c r="H87" s="358">
        <v>1</v>
      </c>
      <c r="I87" s="358" t="s">
        <v>103</v>
      </c>
      <c r="J87" s="358" t="s">
        <v>103</v>
      </c>
      <c r="K87" s="114"/>
    </row>
    <row r="88" spans="1:12" ht="56.45" customHeight="1" x14ac:dyDescent="0.2">
      <c r="A88" s="503" t="s">
        <v>452</v>
      </c>
      <c r="B88" s="505" t="s">
        <v>617</v>
      </c>
      <c r="C88" s="359" t="s">
        <v>435</v>
      </c>
      <c r="D88" s="358" t="s">
        <v>120</v>
      </c>
      <c r="E88" s="358">
        <v>257.52999999999997</v>
      </c>
      <c r="F88" s="106" t="s">
        <v>638</v>
      </c>
      <c r="G88" s="358" t="s">
        <v>637</v>
      </c>
      <c r="H88" s="109" t="s">
        <v>587</v>
      </c>
      <c r="I88" s="358" t="s">
        <v>1429</v>
      </c>
      <c r="J88" s="358" t="s">
        <v>636</v>
      </c>
      <c r="K88" s="114" t="s">
        <v>122</v>
      </c>
    </row>
    <row r="89" spans="1:12" ht="19.149999999999999" customHeight="1" x14ac:dyDescent="0.2">
      <c r="A89" s="504"/>
      <c r="B89" s="506"/>
      <c r="C89" s="359" t="s">
        <v>291</v>
      </c>
      <c r="D89" s="358" t="s">
        <v>102</v>
      </c>
      <c r="E89" s="358" t="s">
        <v>103</v>
      </c>
      <c r="F89" s="112">
        <v>1</v>
      </c>
      <c r="G89" s="358" t="s">
        <v>103</v>
      </c>
      <c r="H89" s="358" t="s">
        <v>103</v>
      </c>
      <c r="I89" s="358" t="s">
        <v>103</v>
      </c>
      <c r="J89" s="358" t="s">
        <v>103</v>
      </c>
      <c r="K89" s="114"/>
    </row>
    <row r="90" spans="1:12" ht="93" customHeight="1" x14ac:dyDescent="0.2">
      <c r="A90" s="504"/>
      <c r="B90" s="506"/>
      <c r="C90" s="359" t="s">
        <v>428</v>
      </c>
      <c r="D90" s="358" t="s">
        <v>102</v>
      </c>
      <c r="E90" s="358" t="s">
        <v>103</v>
      </c>
      <c r="F90" s="112">
        <v>13</v>
      </c>
      <c r="G90" s="358" t="s">
        <v>103</v>
      </c>
      <c r="H90" s="358" t="s">
        <v>103</v>
      </c>
      <c r="I90" s="358">
        <v>1</v>
      </c>
      <c r="J90" s="358" t="s">
        <v>103</v>
      </c>
      <c r="K90" s="114"/>
    </row>
    <row r="91" spans="1:12" ht="17.45" customHeight="1" x14ac:dyDescent="0.2">
      <c r="A91" s="504"/>
      <c r="B91" s="506"/>
      <c r="C91" s="359" t="s">
        <v>105</v>
      </c>
      <c r="D91" s="358" t="s">
        <v>102</v>
      </c>
      <c r="E91" s="358" t="s">
        <v>103</v>
      </c>
      <c r="F91" s="112">
        <v>20</v>
      </c>
      <c r="G91" s="358" t="s">
        <v>103</v>
      </c>
      <c r="H91" s="358" t="s">
        <v>103</v>
      </c>
      <c r="I91" s="358" t="s">
        <v>103</v>
      </c>
      <c r="J91" s="358" t="s">
        <v>103</v>
      </c>
      <c r="K91" s="114"/>
    </row>
    <row r="92" spans="1:12" ht="25.5" x14ac:dyDescent="0.2">
      <c r="A92" s="504"/>
      <c r="B92" s="506"/>
      <c r="C92" s="359" t="s">
        <v>424</v>
      </c>
      <c r="D92" s="358" t="s">
        <v>102</v>
      </c>
      <c r="E92" s="358" t="s">
        <v>103</v>
      </c>
      <c r="F92" s="112">
        <v>2</v>
      </c>
      <c r="G92" s="358" t="s">
        <v>103</v>
      </c>
      <c r="H92" s="358" t="s">
        <v>103</v>
      </c>
      <c r="I92" s="358" t="s">
        <v>103</v>
      </c>
      <c r="J92" s="358" t="s">
        <v>103</v>
      </c>
      <c r="K92" s="114"/>
    </row>
    <row r="93" spans="1:12" ht="17.45" customHeight="1" x14ac:dyDescent="0.2">
      <c r="A93" s="504"/>
      <c r="B93" s="506"/>
      <c r="C93" s="359" t="s">
        <v>107</v>
      </c>
      <c r="D93" s="358" t="s">
        <v>102</v>
      </c>
      <c r="E93" s="358" t="s">
        <v>103</v>
      </c>
      <c r="F93" s="112">
        <v>9</v>
      </c>
      <c r="G93" s="358" t="s">
        <v>103</v>
      </c>
      <c r="H93" s="358" t="s">
        <v>103</v>
      </c>
      <c r="I93" s="358" t="s">
        <v>103</v>
      </c>
      <c r="J93" s="358" t="s">
        <v>103</v>
      </c>
      <c r="K93" s="114"/>
    </row>
    <row r="94" spans="1:12" ht="51" x14ac:dyDescent="0.2">
      <c r="A94" s="504"/>
      <c r="B94" s="506"/>
      <c r="C94" s="359" t="s">
        <v>429</v>
      </c>
      <c r="D94" s="358" t="s">
        <v>102</v>
      </c>
      <c r="E94" s="358" t="s">
        <v>103</v>
      </c>
      <c r="F94" s="112">
        <v>3</v>
      </c>
      <c r="G94" s="358" t="s">
        <v>103</v>
      </c>
      <c r="H94" s="358" t="s">
        <v>103</v>
      </c>
      <c r="I94" s="358" t="s">
        <v>103</v>
      </c>
      <c r="J94" s="358" t="s">
        <v>103</v>
      </c>
      <c r="K94" s="114"/>
    </row>
    <row r="95" spans="1:12" ht="20.45" customHeight="1" x14ac:dyDescent="0.2">
      <c r="A95" s="504"/>
      <c r="B95" s="506"/>
      <c r="C95" s="359" t="s">
        <v>209</v>
      </c>
      <c r="D95" s="358" t="s">
        <v>297</v>
      </c>
      <c r="E95" s="358" t="s">
        <v>103</v>
      </c>
      <c r="F95" s="106">
        <v>2.9</v>
      </c>
      <c r="G95" s="358" t="s">
        <v>103</v>
      </c>
      <c r="H95" s="358" t="s">
        <v>103</v>
      </c>
      <c r="I95" s="358" t="s">
        <v>103</v>
      </c>
      <c r="J95" s="358" t="s">
        <v>103</v>
      </c>
      <c r="K95" s="114"/>
    </row>
    <row r="96" spans="1:12" ht="16.899999999999999" customHeight="1" x14ac:dyDescent="0.2">
      <c r="A96" s="507"/>
      <c r="B96" s="509"/>
      <c r="C96" s="359" t="s">
        <v>430</v>
      </c>
      <c r="D96" s="358" t="s">
        <v>102</v>
      </c>
      <c r="E96" s="358" t="s">
        <v>103</v>
      </c>
      <c r="F96" s="112">
        <v>20</v>
      </c>
      <c r="G96" s="358" t="s">
        <v>103</v>
      </c>
      <c r="H96" s="358" t="s">
        <v>103</v>
      </c>
      <c r="I96" s="358" t="s">
        <v>103</v>
      </c>
      <c r="J96" s="358" t="s">
        <v>103</v>
      </c>
      <c r="K96" s="114"/>
    </row>
    <row r="97" spans="1:11" ht="15.75" customHeight="1" x14ac:dyDescent="0.2">
      <c r="A97" s="507"/>
      <c r="B97" s="509"/>
      <c r="C97" s="359" t="s">
        <v>295</v>
      </c>
      <c r="D97" s="358" t="s">
        <v>102</v>
      </c>
      <c r="E97" s="358" t="s">
        <v>103</v>
      </c>
      <c r="F97" s="112">
        <v>42</v>
      </c>
      <c r="G97" s="358" t="s">
        <v>103</v>
      </c>
      <c r="H97" s="358" t="s">
        <v>103</v>
      </c>
      <c r="I97" s="358" t="s">
        <v>103</v>
      </c>
      <c r="J97" s="358" t="s">
        <v>103</v>
      </c>
      <c r="K97" s="114"/>
    </row>
    <row r="98" spans="1:11" ht="28.9" customHeight="1" x14ac:dyDescent="0.2">
      <c r="A98" s="507"/>
      <c r="B98" s="509"/>
      <c r="C98" s="359" t="s">
        <v>425</v>
      </c>
      <c r="D98" s="358" t="s">
        <v>102</v>
      </c>
      <c r="E98" s="358" t="s">
        <v>103</v>
      </c>
      <c r="F98" s="112">
        <v>2</v>
      </c>
      <c r="G98" s="358" t="s">
        <v>103</v>
      </c>
      <c r="H98" s="358" t="s">
        <v>103</v>
      </c>
      <c r="I98" s="358" t="s">
        <v>103</v>
      </c>
      <c r="J98" s="358" t="s">
        <v>103</v>
      </c>
      <c r="K98" s="114"/>
    </row>
    <row r="99" spans="1:11" ht="30.75" customHeight="1" x14ac:dyDescent="0.2">
      <c r="A99" s="507"/>
      <c r="B99" s="509"/>
      <c r="C99" s="359" t="s">
        <v>296</v>
      </c>
      <c r="D99" s="358" t="s">
        <v>102</v>
      </c>
      <c r="E99" s="358" t="s">
        <v>103</v>
      </c>
      <c r="F99" s="112">
        <v>1</v>
      </c>
      <c r="G99" s="358" t="s">
        <v>103</v>
      </c>
      <c r="H99" s="358" t="s">
        <v>103</v>
      </c>
      <c r="I99" s="358" t="s">
        <v>103</v>
      </c>
      <c r="J99" s="358" t="s">
        <v>103</v>
      </c>
      <c r="K99" s="114"/>
    </row>
    <row r="100" spans="1:11" ht="54.75" customHeight="1" x14ac:dyDescent="0.2">
      <c r="A100" s="507"/>
      <c r="B100" s="509"/>
      <c r="C100" s="359" t="s">
        <v>431</v>
      </c>
      <c r="D100" s="358" t="s">
        <v>102</v>
      </c>
      <c r="E100" s="358" t="s">
        <v>103</v>
      </c>
      <c r="F100" s="112">
        <v>15</v>
      </c>
      <c r="G100" s="358">
        <v>14</v>
      </c>
      <c r="H100" s="358">
        <f>18-9</f>
        <v>9</v>
      </c>
      <c r="I100" s="358">
        <f>18-9+1</f>
        <v>10</v>
      </c>
      <c r="J100" s="358">
        <f>0+9</f>
        <v>9</v>
      </c>
      <c r="K100" s="114"/>
    </row>
    <row r="101" spans="1:11" ht="25.5" x14ac:dyDescent="0.2">
      <c r="A101" s="507"/>
      <c r="B101" s="509"/>
      <c r="C101" s="359" t="s">
        <v>324</v>
      </c>
      <c r="D101" s="358" t="s">
        <v>102</v>
      </c>
      <c r="E101" s="358" t="s">
        <v>103</v>
      </c>
      <c r="F101" s="112">
        <v>1</v>
      </c>
      <c r="G101" s="358" t="s">
        <v>103</v>
      </c>
      <c r="H101" s="358" t="s">
        <v>103</v>
      </c>
      <c r="I101" s="358" t="s">
        <v>103</v>
      </c>
      <c r="J101" s="358" t="s">
        <v>103</v>
      </c>
      <c r="K101" s="114"/>
    </row>
    <row r="102" spans="1:11" ht="30" customHeight="1" x14ac:dyDescent="0.2">
      <c r="A102" s="507"/>
      <c r="B102" s="509"/>
      <c r="C102" s="359" t="s">
        <v>379</v>
      </c>
      <c r="D102" s="358" t="s">
        <v>119</v>
      </c>
      <c r="E102" s="358" t="s">
        <v>103</v>
      </c>
      <c r="F102" s="106">
        <v>12.17</v>
      </c>
      <c r="G102" s="358">
        <v>24.06</v>
      </c>
      <c r="H102" s="358">
        <f>0+10.7+15.2+8.96</f>
        <v>34.86</v>
      </c>
      <c r="I102" s="358" t="s">
        <v>103</v>
      </c>
      <c r="J102" s="358" t="s">
        <v>103</v>
      </c>
      <c r="K102" s="114"/>
    </row>
    <row r="103" spans="1:11" ht="25.5" x14ac:dyDescent="0.2">
      <c r="A103" s="507"/>
      <c r="B103" s="509"/>
      <c r="C103" s="359" t="s">
        <v>393</v>
      </c>
      <c r="D103" s="358" t="s">
        <v>102</v>
      </c>
      <c r="E103" s="358" t="s">
        <v>103</v>
      </c>
      <c r="F103" s="358" t="s">
        <v>103</v>
      </c>
      <c r="G103" s="358" t="s">
        <v>103</v>
      </c>
      <c r="H103" s="358">
        <v>1</v>
      </c>
      <c r="I103" s="358" t="s">
        <v>103</v>
      </c>
      <c r="J103" s="358" t="s">
        <v>103</v>
      </c>
      <c r="K103" s="114"/>
    </row>
    <row r="104" spans="1:11" ht="42" customHeight="1" x14ac:dyDescent="0.2">
      <c r="A104" s="507"/>
      <c r="B104" s="509"/>
      <c r="C104" s="359" t="s">
        <v>118</v>
      </c>
      <c r="D104" s="358" t="s">
        <v>102</v>
      </c>
      <c r="E104" s="358" t="s">
        <v>103</v>
      </c>
      <c r="F104" s="358" t="s">
        <v>103</v>
      </c>
      <c r="G104" s="358">
        <v>11</v>
      </c>
      <c r="H104" s="358">
        <v>3</v>
      </c>
      <c r="I104" s="358" t="s">
        <v>103</v>
      </c>
      <c r="J104" s="358" t="s">
        <v>103</v>
      </c>
      <c r="K104" s="114"/>
    </row>
    <row r="105" spans="1:11" ht="42" customHeight="1" x14ac:dyDescent="0.2">
      <c r="A105" s="507"/>
      <c r="B105" s="509"/>
      <c r="C105" s="359" t="s">
        <v>407</v>
      </c>
      <c r="D105" s="358" t="s">
        <v>102</v>
      </c>
      <c r="E105" s="358" t="s">
        <v>103</v>
      </c>
      <c r="F105" s="358" t="s">
        <v>103</v>
      </c>
      <c r="G105" s="109" t="s">
        <v>103</v>
      </c>
      <c r="H105" s="358" t="s">
        <v>103</v>
      </c>
      <c r="I105" s="358" t="s">
        <v>103</v>
      </c>
      <c r="J105" s="358" t="s">
        <v>103</v>
      </c>
      <c r="K105" s="114"/>
    </row>
    <row r="106" spans="1:11" ht="43.5" customHeight="1" x14ac:dyDescent="0.2">
      <c r="A106" s="507"/>
      <c r="B106" s="509"/>
      <c r="C106" s="359" t="s">
        <v>564</v>
      </c>
      <c r="D106" s="358" t="s">
        <v>102</v>
      </c>
      <c r="E106" s="358" t="s">
        <v>103</v>
      </c>
      <c r="F106" s="358">
        <v>6</v>
      </c>
      <c r="G106" s="109">
        <f>55+25</f>
        <v>80</v>
      </c>
      <c r="H106" s="358">
        <f>70-63+20-20+3</f>
        <v>10</v>
      </c>
      <c r="I106" s="358">
        <f>0+14-8+6</f>
        <v>12</v>
      </c>
      <c r="J106" s="358">
        <v>6</v>
      </c>
      <c r="K106" s="114"/>
    </row>
    <row r="107" spans="1:11" ht="29.25" customHeight="1" x14ac:dyDescent="0.2">
      <c r="A107" s="507"/>
      <c r="B107" s="509"/>
      <c r="C107" s="359" t="s">
        <v>415</v>
      </c>
      <c r="D107" s="358" t="s">
        <v>102</v>
      </c>
      <c r="E107" s="358" t="s">
        <v>103</v>
      </c>
      <c r="F107" s="358" t="s">
        <v>103</v>
      </c>
      <c r="G107" s="109" t="s">
        <v>103</v>
      </c>
      <c r="H107" s="358" t="s">
        <v>103</v>
      </c>
      <c r="I107" s="358" t="s">
        <v>103</v>
      </c>
      <c r="J107" s="358" t="s">
        <v>103</v>
      </c>
      <c r="K107" s="114"/>
    </row>
    <row r="108" spans="1:11" ht="29.25" customHeight="1" x14ac:dyDescent="0.2">
      <c r="A108" s="507"/>
      <c r="B108" s="509"/>
      <c r="C108" s="359" t="s">
        <v>585</v>
      </c>
      <c r="D108" s="358" t="s">
        <v>102</v>
      </c>
      <c r="E108" s="358" t="s">
        <v>103</v>
      </c>
      <c r="F108" s="358" t="s">
        <v>103</v>
      </c>
      <c r="G108" s="109" t="s">
        <v>103</v>
      </c>
      <c r="H108" s="358">
        <v>29</v>
      </c>
      <c r="I108" s="358">
        <v>20</v>
      </c>
      <c r="J108" s="358" t="s">
        <v>103</v>
      </c>
      <c r="K108" s="114"/>
    </row>
    <row r="109" spans="1:11" ht="29.25" customHeight="1" x14ac:dyDescent="0.2">
      <c r="A109" s="508"/>
      <c r="B109" s="473"/>
      <c r="C109" s="359" t="s">
        <v>1122</v>
      </c>
      <c r="D109" s="358" t="s">
        <v>120</v>
      </c>
      <c r="E109" s="358" t="s">
        <v>103</v>
      </c>
      <c r="F109" s="358" t="s">
        <v>103</v>
      </c>
      <c r="G109" s="358" t="s">
        <v>103</v>
      </c>
      <c r="H109" s="358" t="s">
        <v>103</v>
      </c>
      <c r="I109" s="358">
        <v>32.85</v>
      </c>
      <c r="J109" s="358" t="s">
        <v>103</v>
      </c>
      <c r="K109" s="114"/>
    </row>
    <row r="110" spans="1:11" ht="70.5" customHeight="1" x14ac:dyDescent="0.2">
      <c r="A110" s="515" t="s">
        <v>453</v>
      </c>
      <c r="B110" s="505" t="s">
        <v>290</v>
      </c>
      <c r="C110" s="359" t="s">
        <v>565</v>
      </c>
      <c r="D110" s="358" t="s">
        <v>102</v>
      </c>
      <c r="E110" s="358" t="s">
        <v>103</v>
      </c>
      <c r="F110" s="358" t="s">
        <v>103</v>
      </c>
      <c r="G110" s="109" t="s">
        <v>103</v>
      </c>
      <c r="H110" s="358">
        <v>20</v>
      </c>
      <c r="I110" s="358">
        <v>35</v>
      </c>
      <c r="J110" s="358" t="s">
        <v>103</v>
      </c>
      <c r="K110" s="114"/>
    </row>
    <row r="111" spans="1:11" ht="70.5" customHeight="1" x14ac:dyDescent="0.2">
      <c r="A111" s="508"/>
      <c r="B111" s="514"/>
      <c r="C111" s="359" t="s">
        <v>167</v>
      </c>
      <c r="D111" s="358" t="s">
        <v>120</v>
      </c>
      <c r="E111" s="358">
        <v>178.35</v>
      </c>
      <c r="F111" s="358">
        <v>107.83</v>
      </c>
      <c r="G111" s="109">
        <f>87.87+1.35</f>
        <v>89.22</v>
      </c>
      <c r="H111" s="358">
        <f>5.8+18.4-5.8+1.38</f>
        <v>19.779999999999998</v>
      </c>
      <c r="I111" s="358">
        <f>22.67+26.626+2.802+2.002</f>
        <v>54.100000000000009</v>
      </c>
      <c r="J111" s="358" t="s">
        <v>103</v>
      </c>
      <c r="K111" s="114" t="s">
        <v>123</v>
      </c>
    </row>
    <row r="112" spans="1:11" ht="122.25" customHeight="1" x14ac:dyDescent="0.2">
      <c r="A112" s="334" t="s">
        <v>454</v>
      </c>
      <c r="B112" s="115" t="s">
        <v>166</v>
      </c>
      <c r="C112" s="359" t="s">
        <v>520</v>
      </c>
      <c r="D112" s="358" t="s">
        <v>120</v>
      </c>
      <c r="E112" s="358">
        <v>6.14</v>
      </c>
      <c r="F112" s="358">
        <v>13.8</v>
      </c>
      <c r="G112" s="116">
        <v>2.8</v>
      </c>
      <c r="H112" s="106">
        <f>10.78-0.8-0.2</f>
        <v>9.7799999999999994</v>
      </c>
      <c r="I112" s="106">
        <f>9.92-1.33</f>
        <v>8.59</v>
      </c>
      <c r="J112" s="358" t="s">
        <v>103</v>
      </c>
      <c r="K112" s="117" t="s">
        <v>188</v>
      </c>
    </row>
    <row r="113" spans="1:30" ht="71.25" customHeight="1" x14ac:dyDescent="0.2">
      <c r="A113" s="334" t="s">
        <v>455</v>
      </c>
      <c r="B113" s="115" t="s">
        <v>618</v>
      </c>
      <c r="C113" s="359" t="s">
        <v>315</v>
      </c>
      <c r="D113" s="358" t="s">
        <v>120</v>
      </c>
      <c r="E113" s="358" t="s">
        <v>103</v>
      </c>
      <c r="F113" s="118">
        <v>5998.03</v>
      </c>
      <c r="G113" s="118">
        <v>6096.57</v>
      </c>
      <c r="H113" s="106">
        <v>6296.92</v>
      </c>
      <c r="I113" s="106">
        <f>6296.92+18.894-17.78+10.01</f>
        <v>6308.0440000000008</v>
      </c>
      <c r="J113" s="106" t="s">
        <v>103</v>
      </c>
      <c r="K113" s="117"/>
    </row>
    <row r="114" spans="1:30" ht="31.15" customHeight="1" x14ac:dyDescent="0.2">
      <c r="A114" s="76" t="s">
        <v>470</v>
      </c>
      <c r="B114" s="512" t="s">
        <v>1119</v>
      </c>
      <c r="C114" s="499"/>
      <c r="D114" s="499"/>
      <c r="E114" s="499"/>
      <c r="F114" s="499"/>
      <c r="G114" s="499"/>
      <c r="H114" s="499"/>
      <c r="I114" s="499"/>
      <c r="J114" s="500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</row>
    <row r="115" spans="1:30" ht="17.45" customHeight="1" x14ac:dyDescent="0.2">
      <c r="A115" s="516" t="s">
        <v>421</v>
      </c>
      <c r="B115" s="516"/>
      <c r="C115" s="516"/>
      <c r="D115" s="516"/>
      <c r="E115" s="516"/>
      <c r="F115" s="516"/>
      <c r="G115" s="516"/>
      <c r="H115" s="516"/>
      <c r="I115" s="516"/>
      <c r="J115" s="516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</row>
    <row r="116" spans="1:30" ht="40.15" customHeight="1" x14ac:dyDescent="0.2">
      <c r="A116" s="517" t="s">
        <v>1117</v>
      </c>
      <c r="B116" s="517"/>
      <c r="C116" s="517"/>
      <c r="D116" s="517"/>
      <c r="E116" s="517"/>
      <c r="F116" s="517"/>
      <c r="G116" s="517"/>
      <c r="H116" s="517"/>
      <c r="I116" s="517"/>
      <c r="J116" s="517"/>
      <c r="K116" s="519"/>
      <c r="L116" s="519"/>
      <c r="M116" s="519"/>
      <c r="N116" s="519"/>
      <c r="O116" s="519"/>
      <c r="P116" s="519"/>
      <c r="Q116" s="519"/>
      <c r="R116" s="519"/>
      <c r="S116" s="519"/>
      <c r="T116" s="519"/>
      <c r="U116" s="519"/>
      <c r="V116" s="519"/>
      <c r="W116" s="519"/>
      <c r="X116" s="519"/>
      <c r="Y116" s="519"/>
      <c r="Z116" s="519"/>
      <c r="AA116" s="519"/>
      <c r="AB116" s="519"/>
      <c r="AC116" s="519"/>
      <c r="AD116" s="519"/>
    </row>
    <row r="117" spans="1:30" ht="36" customHeight="1" x14ac:dyDescent="0.2">
      <c r="A117" s="76" t="s">
        <v>43</v>
      </c>
      <c r="B117" s="512" t="s">
        <v>471</v>
      </c>
      <c r="C117" s="499"/>
      <c r="D117" s="499"/>
      <c r="E117" s="499"/>
      <c r="F117" s="499"/>
      <c r="G117" s="499"/>
      <c r="H117" s="499"/>
      <c r="I117" s="499"/>
      <c r="J117" s="500"/>
      <c r="K117" s="519"/>
      <c r="L117" s="519"/>
      <c r="M117" s="519"/>
      <c r="N117" s="519"/>
      <c r="O117" s="519"/>
      <c r="P117" s="519"/>
      <c r="Q117" s="519"/>
      <c r="R117" s="519"/>
      <c r="S117" s="519"/>
      <c r="T117" s="519"/>
      <c r="U117" s="519"/>
      <c r="V117" s="519"/>
      <c r="W117" s="519"/>
      <c r="X117" s="519"/>
      <c r="Y117" s="519"/>
      <c r="Z117" s="519"/>
      <c r="AA117" s="519"/>
      <c r="AB117" s="519"/>
      <c r="AC117" s="519"/>
      <c r="AD117" s="519"/>
    </row>
    <row r="118" spans="1:30" ht="90.75" customHeight="1" x14ac:dyDescent="0.2">
      <c r="A118" s="334" t="s">
        <v>442</v>
      </c>
      <c r="B118" s="115" t="s">
        <v>136</v>
      </c>
      <c r="C118" s="70" t="s">
        <v>124</v>
      </c>
      <c r="D118" s="348" t="s">
        <v>121</v>
      </c>
      <c r="E118" s="94">
        <v>6198.38</v>
      </c>
      <c r="F118" s="342">
        <v>6198.38</v>
      </c>
      <c r="G118" s="342">
        <v>6296.92</v>
      </c>
      <c r="H118" s="342">
        <f>6296.92+18.894</f>
        <v>6315.8140000000003</v>
      </c>
      <c r="I118" s="342">
        <f>6296.92+18.894-17.78+10.01+22.47</f>
        <v>6330.514000000001</v>
      </c>
      <c r="J118" s="342">
        <v>6308.04</v>
      </c>
    </row>
    <row r="119" spans="1:30" ht="30.6" customHeight="1" x14ac:dyDescent="0.2">
      <c r="A119" s="334" t="s">
        <v>472</v>
      </c>
      <c r="B119" s="115" t="s">
        <v>125</v>
      </c>
      <c r="C119" s="70" t="s">
        <v>300</v>
      </c>
      <c r="D119" s="348" t="s">
        <v>121</v>
      </c>
      <c r="E119" s="94">
        <v>1.95</v>
      </c>
      <c r="F119" s="342">
        <v>1.95</v>
      </c>
      <c r="G119" s="342">
        <v>2.14</v>
      </c>
      <c r="H119" s="342">
        <v>2.14</v>
      </c>
      <c r="I119" s="342">
        <v>2.14</v>
      </c>
      <c r="J119" s="342">
        <f>1.95+0.19</f>
        <v>2.14</v>
      </c>
    </row>
    <row r="120" spans="1:30" x14ac:dyDescent="0.2">
      <c r="A120" s="66" t="s">
        <v>44</v>
      </c>
      <c r="B120" s="524" t="s">
        <v>485</v>
      </c>
      <c r="C120" s="525"/>
      <c r="D120" s="525"/>
      <c r="E120" s="525"/>
      <c r="F120" s="525"/>
      <c r="G120" s="525"/>
      <c r="H120" s="525"/>
      <c r="I120" s="525"/>
      <c r="J120" s="526"/>
    </row>
    <row r="121" spans="1:30" ht="31.15" customHeight="1" x14ac:dyDescent="0.2">
      <c r="A121" s="334" t="s">
        <v>443</v>
      </c>
      <c r="B121" s="115" t="s">
        <v>78</v>
      </c>
      <c r="C121" s="366" t="s">
        <v>126</v>
      </c>
      <c r="D121" s="358" t="s">
        <v>102</v>
      </c>
      <c r="E121" s="83">
        <v>29</v>
      </c>
      <c r="F121" s="358">
        <v>29</v>
      </c>
      <c r="G121" s="358">
        <v>29</v>
      </c>
      <c r="H121" s="358">
        <v>29</v>
      </c>
      <c r="I121" s="358">
        <v>29</v>
      </c>
      <c r="J121" s="358">
        <v>29</v>
      </c>
    </row>
    <row r="122" spans="1:30" ht="39" customHeight="1" x14ac:dyDescent="0.2">
      <c r="A122" s="515" t="s">
        <v>473</v>
      </c>
      <c r="B122" s="505" t="s">
        <v>531</v>
      </c>
      <c r="C122" s="359" t="s">
        <v>375</v>
      </c>
      <c r="D122" s="358" t="s">
        <v>102</v>
      </c>
      <c r="E122" s="358" t="s">
        <v>103</v>
      </c>
      <c r="F122" s="358">
        <v>1</v>
      </c>
      <c r="G122" s="358">
        <v>2</v>
      </c>
      <c r="H122" s="358" t="s">
        <v>103</v>
      </c>
      <c r="I122" s="358">
        <v>1</v>
      </c>
      <c r="J122" s="358" t="s">
        <v>103</v>
      </c>
    </row>
    <row r="123" spans="1:30" ht="39" customHeight="1" x14ac:dyDescent="0.2">
      <c r="A123" s="507"/>
      <c r="B123" s="506"/>
      <c r="C123" s="359" t="s">
        <v>376</v>
      </c>
      <c r="D123" s="358" t="s">
        <v>102</v>
      </c>
      <c r="E123" s="358" t="s">
        <v>103</v>
      </c>
      <c r="F123" s="358" t="s">
        <v>103</v>
      </c>
      <c r="G123" s="358">
        <v>1</v>
      </c>
      <c r="H123" s="358" t="s">
        <v>103</v>
      </c>
      <c r="I123" s="358" t="s">
        <v>103</v>
      </c>
      <c r="J123" s="358" t="s">
        <v>103</v>
      </c>
    </row>
    <row r="124" spans="1:30" ht="39" customHeight="1" x14ac:dyDescent="0.2">
      <c r="A124" s="508"/>
      <c r="B124" s="514"/>
      <c r="C124" s="359" t="s">
        <v>523</v>
      </c>
      <c r="D124" s="358" t="s">
        <v>102</v>
      </c>
      <c r="E124" s="358" t="s">
        <v>103</v>
      </c>
      <c r="F124" s="358" t="s">
        <v>103</v>
      </c>
      <c r="G124" s="358" t="s">
        <v>103</v>
      </c>
      <c r="H124" s="358">
        <v>1</v>
      </c>
      <c r="I124" s="358" t="s">
        <v>103</v>
      </c>
      <c r="J124" s="358">
        <v>1</v>
      </c>
    </row>
    <row r="125" spans="1:30" ht="165.75" customHeight="1" x14ac:dyDescent="0.2">
      <c r="A125" s="334" t="s">
        <v>474</v>
      </c>
      <c r="B125" s="366" t="s">
        <v>1370</v>
      </c>
      <c r="C125" s="70" t="s">
        <v>1354</v>
      </c>
      <c r="D125" s="348" t="s">
        <v>102</v>
      </c>
      <c r="E125" s="348" t="s">
        <v>103</v>
      </c>
      <c r="F125" s="348">
        <v>2</v>
      </c>
      <c r="G125" s="348" t="s">
        <v>103</v>
      </c>
      <c r="H125" s="348" t="s">
        <v>103</v>
      </c>
      <c r="I125" s="348">
        <v>1</v>
      </c>
      <c r="J125" s="348" t="s">
        <v>103</v>
      </c>
    </row>
    <row r="126" spans="1:30" ht="26.25" customHeight="1" x14ac:dyDescent="0.2">
      <c r="A126" s="334" t="s">
        <v>475</v>
      </c>
      <c r="B126" s="115" t="s">
        <v>339</v>
      </c>
      <c r="C126" s="70" t="s">
        <v>340</v>
      </c>
      <c r="D126" s="358" t="s">
        <v>102</v>
      </c>
      <c r="E126" s="358" t="s">
        <v>103</v>
      </c>
      <c r="F126" s="358">
        <v>1</v>
      </c>
      <c r="G126" s="358" t="s">
        <v>103</v>
      </c>
      <c r="H126" s="358" t="s">
        <v>103</v>
      </c>
      <c r="I126" s="358" t="s">
        <v>103</v>
      </c>
      <c r="J126" s="358" t="s">
        <v>103</v>
      </c>
    </row>
    <row r="127" spans="1:30" ht="204.75" customHeight="1" x14ac:dyDescent="0.2">
      <c r="A127" s="334" t="s">
        <v>567</v>
      </c>
      <c r="B127" s="122" t="s">
        <v>1371</v>
      </c>
      <c r="C127" s="366" t="s">
        <v>570</v>
      </c>
      <c r="D127" s="358" t="s">
        <v>102</v>
      </c>
      <c r="E127" s="358" t="s">
        <v>103</v>
      </c>
      <c r="F127" s="358" t="s">
        <v>103</v>
      </c>
      <c r="G127" s="358" t="s">
        <v>103</v>
      </c>
      <c r="H127" s="358">
        <v>1</v>
      </c>
      <c r="I127" s="358">
        <v>4</v>
      </c>
      <c r="J127" s="358" t="s">
        <v>103</v>
      </c>
    </row>
    <row r="128" spans="1:30" ht="31.15" customHeight="1" x14ac:dyDescent="0.2">
      <c r="A128" s="76" t="s">
        <v>486</v>
      </c>
      <c r="B128" s="512" t="s">
        <v>1116</v>
      </c>
      <c r="C128" s="499"/>
      <c r="D128" s="499"/>
      <c r="E128" s="499"/>
      <c r="F128" s="499"/>
      <c r="G128" s="499"/>
      <c r="H128" s="499"/>
      <c r="I128" s="499"/>
      <c r="J128" s="500"/>
    </row>
    <row r="129" spans="1:10" ht="19.899999999999999" customHeight="1" x14ac:dyDescent="0.2">
      <c r="A129" s="516" t="s">
        <v>135</v>
      </c>
      <c r="B129" s="516"/>
      <c r="C129" s="516"/>
      <c r="D129" s="516"/>
      <c r="E129" s="516"/>
      <c r="F129" s="516"/>
      <c r="G129" s="516"/>
      <c r="H129" s="516"/>
      <c r="I129" s="516"/>
      <c r="J129" s="516"/>
    </row>
    <row r="130" spans="1:10" ht="36" customHeight="1" x14ac:dyDescent="0.2">
      <c r="A130" s="517" t="s">
        <v>1115</v>
      </c>
      <c r="B130" s="517"/>
      <c r="C130" s="517"/>
      <c r="D130" s="517"/>
      <c r="E130" s="517"/>
      <c r="F130" s="517"/>
      <c r="G130" s="517"/>
      <c r="H130" s="517"/>
      <c r="I130" s="517"/>
      <c r="J130" s="517"/>
    </row>
    <row r="131" spans="1:10" ht="18" customHeight="1" x14ac:dyDescent="0.2">
      <c r="A131" s="76" t="s">
        <v>37</v>
      </c>
      <c r="B131" s="512" t="s">
        <v>477</v>
      </c>
      <c r="C131" s="499"/>
      <c r="D131" s="499"/>
      <c r="E131" s="499"/>
      <c r="F131" s="499"/>
      <c r="G131" s="499"/>
      <c r="H131" s="499"/>
      <c r="I131" s="499"/>
      <c r="J131" s="500"/>
    </row>
    <row r="132" spans="1:10" ht="28.15" customHeight="1" x14ac:dyDescent="0.2">
      <c r="A132" s="334" t="s">
        <v>444</v>
      </c>
      <c r="B132" s="115" t="s">
        <v>50</v>
      </c>
      <c r="C132" s="366" t="s">
        <v>117</v>
      </c>
      <c r="D132" s="360" t="s">
        <v>102</v>
      </c>
      <c r="E132" s="95">
        <v>100</v>
      </c>
      <c r="F132" s="95">
        <v>50</v>
      </c>
      <c r="G132" s="95">
        <v>50</v>
      </c>
      <c r="H132" s="95" t="s">
        <v>103</v>
      </c>
      <c r="I132" s="95">
        <v>639</v>
      </c>
      <c r="J132" s="95" t="s">
        <v>103</v>
      </c>
    </row>
    <row r="133" spans="1:10" ht="28.15" customHeight="1" x14ac:dyDescent="0.2">
      <c r="A133" s="334" t="s">
        <v>642</v>
      </c>
      <c r="B133" s="115" t="s">
        <v>643</v>
      </c>
      <c r="C133" s="366" t="s">
        <v>644</v>
      </c>
      <c r="D133" s="360" t="s">
        <v>102</v>
      </c>
      <c r="E133" s="95" t="s">
        <v>103</v>
      </c>
      <c r="F133" s="95" t="s">
        <v>103</v>
      </c>
      <c r="G133" s="95" t="s">
        <v>103</v>
      </c>
      <c r="H133" s="95" t="s">
        <v>103</v>
      </c>
      <c r="I133" s="95" t="s">
        <v>103</v>
      </c>
      <c r="J133" s="95" t="s">
        <v>103</v>
      </c>
    </row>
    <row r="134" spans="1:10" ht="18" customHeight="1" x14ac:dyDescent="0.2">
      <c r="A134" s="76" t="s">
        <v>3</v>
      </c>
      <c r="B134" s="512" t="s">
        <v>478</v>
      </c>
      <c r="C134" s="499"/>
      <c r="D134" s="499"/>
      <c r="E134" s="499"/>
      <c r="F134" s="499"/>
      <c r="G134" s="499"/>
      <c r="H134" s="499"/>
      <c r="I134" s="499"/>
      <c r="J134" s="500"/>
    </row>
    <row r="135" spans="1:10" ht="64.5" customHeight="1" x14ac:dyDescent="0.2">
      <c r="A135" s="334" t="s">
        <v>445</v>
      </c>
      <c r="B135" s="115" t="s">
        <v>336</v>
      </c>
      <c r="C135" s="115" t="s">
        <v>141</v>
      </c>
      <c r="D135" s="348" t="s">
        <v>142</v>
      </c>
      <c r="E135" s="119" t="s">
        <v>103</v>
      </c>
      <c r="F135" s="95">
        <v>828</v>
      </c>
      <c r="G135" s="95">
        <v>828</v>
      </c>
      <c r="H135" s="95">
        <f>828+49+145</f>
        <v>1022</v>
      </c>
      <c r="I135" s="95">
        <f>828+49+112</f>
        <v>989</v>
      </c>
      <c r="J135" s="95">
        <f>877-29</f>
        <v>848</v>
      </c>
    </row>
    <row r="136" spans="1:10" ht="137.25" customHeight="1" x14ac:dyDescent="0.2">
      <c r="A136" s="348" t="s">
        <v>479</v>
      </c>
      <c r="B136" s="115" t="s">
        <v>335</v>
      </c>
      <c r="C136" s="115" t="s">
        <v>392</v>
      </c>
      <c r="D136" s="348" t="s">
        <v>142</v>
      </c>
      <c r="E136" s="119" t="s">
        <v>103</v>
      </c>
      <c r="F136" s="95">
        <v>1116</v>
      </c>
      <c r="G136" s="95">
        <f>1674+789</f>
        <v>2463</v>
      </c>
      <c r="H136" s="120" t="s">
        <v>103</v>
      </c>
      <c r="I136" s="120" t="s">
        <v>103</v>
      </c>
      <c r="J136" s="120" t="s">
        <v>103</v>
      </c>
    </row>
    <row r="137" spans="1:10" ht="36.75" customHeight="1" x14ac:dyDescent="0.2">
      <c r="A137" s="348" t="s">
        <v>480</v>
      </c>
      <c r="B137" s="115" t="s">
        <v>313</v>
      </c>
      <c r="C137" s="366" t="s">
        <v>141</v>
      </c>
      <c r="D137" s="348" t="s">
        <v>142</v>
      </c>
      <c r="E137" s="119" t="s">
        <v>103</v>
      </c>
      <c r="F137" s="119" t="s">
        <v>103</v>
      </c>
      <c r="G137" s="95" t="s">
        <v>103</v>
      </c>
      <c r="H137" s="95" t="s">
        <v>103</v>
      </c>
      <c r="I137" s="95" t="s">
        <v>103</v>
      </c>
      <c r="J137" s="95" t="s">
        <v>103</v>
      </c>
    </row>
    <row r="138" spans="1:10" ht="33" customHeight="1" x14ac:dyDescent="0.2">
      <c r="A138" s="479" t="s">
        <v>481</v>
      </c>
      <c r="B138" s="513" t="s">
        <v>619</v>
      </c>
      <c r="C138" s="366" t="s">
        <v>140</v>
      </c>
      <c r="D138" s="348" t="s">
        <v>116</v>
      </c>
      <c r="E138" s="119" t="s">
        <v>139</v>
      </c>
      <c r="F138" s="120">
        <v>90</v>
      </c>
      <c r="G138" s="120">
        <v>90</v>
      </c>
      <c r="H138" s="120">
        <v>90</v>
      </c>
      <c r="I138" s="120" t="s">
        <v>612</v>
      </c>
      <c r="J138" s="120" t="s">
        <v>612</v>
      </c>
    </row>
    <row r="139" spans="1:10" ht="31.9" customHeight="1" x14ac:dyDescent="0.2">
      <c r="A139" s="479"/>
      <c r="B139" s="513"/>
      <c r="C139" s="366" t="s">
        <v>194</v>
      </c>
      <c r="D139" s="348" t="s">
        <v>112</v>
      </c>
      <c r="E139" s="95">
        <f>2</f>
        <v>2</v>
      </c>
      <c r="F139" s="95">
        <v>6</v>
      </c>
      <c r="G139" s="95">
        <v>10</v>
      </c>
      <c r="H139" s="95">
        <f>8+2+3</f>
        <v>13</v>
      </c>
      <c r="I139" s="95">
        <f>8+5+6</f>
        <v>19</v>
      </c>
      <c r="J139" s="95">
        <f>2+6+5</f>
        <v>13</v>
      </c>
    </row>
    <row r="140" spans="1:10" ht="33.6" customHeight="1" x14ac:dyDescent="0.2">
      <c r="A140" s="479"/>
      <c r="B140" s="513"/>
      <c r="C140" s="366" t="s">
        <v>195</v>
      </c>
      <c r="D140" s="348" t="s">
        <v>112</v>
      </c>
      <c r="E140" s="95">
        <v>50</v>
      </c>
      <c r="F140" s="95">
        <v>78</v>
      </c>
      <c r="G140" s="95">
        <v>78</v>
      </c>
      <c r="H140" s="95">
        <f>77+1+1</f>
        <v>79</v>
      </c>
      <c r="I140" s="95">
        <f>77+2</f>
        <v>79</v>
      </c>
      <c r="J140" s="95">
        <f>50+27+2</f>
        <v>79</v>
      </c>
    </row>
    <row r="141" spans="1:10" ht="17.25" customHeight="1" x14ac:dyDescent="0.2">
      <c r="A141" s="76" t="s">
        <v>38</v>
      </c>
      <c r="B141" s="499" t="s">
        <v>482</v>
      </c>
      <c r="C141" s="499"/>
      <c r="D141" s="499"/>
      <c r="E141" s="499"/>
      <c r="F141" s="499"/>
      <c r="G141" s="499"/>
      <c r="H141" s="499"/>
      <c r="I141" s="499"/>
      <c r="J141" s="500"/>
    </row>
    <row r="142" spans="1:10" ht="147" customHeight="1" x14ac:dyDescent="0.2">
      <c r="A142" s="348" t="s">
        <v>446</v>
      </c>
      <c r="B142" s="70" t="s">
        <v>620</v>
      </c>
      <c r="C142" s="70" t="s">
        <v>361</v>
      </c>
      <c r="D142" s="348" t="s">
        <v>116</v>
      </c>
      <c r="E142" s="95" t="s">
        <v>103</v>
      </c>
      <c r="F142" s="95">
        <v>23</v>
      </c>
      <c r="G142" s="95">
        <v>43</v>
      </c>
      <c r="H142" s="95">
        <v>63</v>
      </c>
      <c r="I142" s="95">
        <v>83</v>
      </c>
      <c r="J142" s="95">
        <v>100</v>
      </c>
    </row>
    <row r="143" spans="1:10" ht="59.25" customHeight="1" x14ac:dyDescent="0.2">
      <c r="A143" s="348" t="s">
        <v>513</v>
      </c>
      <c r="B143" s="121" t="s">
        <v>514</v>
      </c>
      <c r="C143" s="70" t="s">
        <v>361</v>
      </c>
      <c r="D143" s="348" t="s">
        <v>116</v>
      </c>
      <c r="E143" s="95" t="s">
        <v>103</v>
      </c>
      <c r="F143" s="95" t="s">
        <v>103</v>
      </c>
      <c r="G143" s="95">
        <v>37.4</v>
      </c>
      <c r="H143" s="95">
        <v>44.8</v>
      </c>
      <c r="I143" s="95">
        <v>57.5</v>
      </c>
      <c r="J143" s="95">
        <v>70.3</v>
      </c>
    </row>
    <row r="144" spans="1:10" ht="83.25" customHeight="1" x14ac:dyDescent="0.2">
      <c r="A144" s="348" t="s">
        <v>577</v>
      </c>
      <c r="B144" s="121" t="s">
        <v>610</v>
      </c>
      <c r="C144" s="70" t="s">
        <v>583</v>
      </c>
      <c r="D144" s="348" t="s">
        <v>112</v>
      </c>
      <c r="E144" s="95" t="s">
        <v>103</v>
      </c>
      <c r="F144" s="95" t="s">
        <v>103</v>
      </c>
      <c r="G144" s="95" t="s">
        <v>103</v>
      </c>
      <c r="H144" s="95" t="s">
        <v>103</v>
      </c>
      <c r="I144" s="95">
        <v>14</v>
      </c>
      <c r="J144" s="95" t="s">
        <v>103</v>
      </c>
    </row>
    <row r="145" spans="1:10" ht="18" customHeight="1" x14ac:dyDescent="0.2">
      <c r="A145" s="76" t="s">
        <v>560</v>
      </c>
      <c r="B145" s="512" t="s">
        <v>566</v>
      </c>
      <c r="C145" s="499"/>
      <c r="D145" s="499"/>
      <c r="E145" s="499"/>
      <c r="F145" s="499"/>
      <c r="G145" s="499"/>
      <c r="H145" s="499"/>
      <c r="I145" s="499"/>
      <c r="J145" s="500"/>
    </row>
    <row r="146" spans="1:10" ht="35.25" customHeight="1" x14ac:dyDescent="0.2">
      <c r="A146" s="472" t="s">
        <v>561</v>
      </c>
      <c r="B146" s="501" t="s">
        <v>562</v>
      </c>
      <c r="C146" s="366" t="s">
        <v>536</v>
      </c>
      <c r="D146" s="348" t="s">
        <v>535</v>
      </c>
      <c r="E146" s="95" t="s">
        <v>103</v>
      </c>
      <c r="F146" s="95" t="s">
        <v>103</v>
      </c>
      <c r="G146" s="95" t="s">
        <v>103</v>
      </c>
      <c r="H146" s="95" t="s">
        <v>639</v>
      </c>
      <c r="I146" s="95" t="s">
        <v>639</v>
      </c>
      <c r="J146" s="95" t="s">
        <v>639</v>
      </c>
    </row>
    <row r="147" spans="1:10" ht="96.75" customHeight="1" x14ac:dyDescent="0.2">
      <c r="A147" s="473"/>
      <c r="B147" s="502"/>
      <c r="C147" s="70" t="s">
        <v>522</v>
      </c>
      <c r="D147" s="348" t="s">
        <v>521</v>
      </c>
      <c r="E147" s="95" t="s">
        <v>103</v>
      </c>
      <c r="F147" s="95" t="s">
        <v>103</v>
      </c>
      <c r="G147" s="95" t="s">
        <v>103</v>
      </c>
      <c r="H147" s="94">
        <v>175181.82</v>
      </c>
      <c r="I147" s="94">
        <f>175181.82-63149.65</f>
        <v>112032.17000000001</v>
      </c>
      <c r="J147" s="94">
        <f>175181.82-63149.65</f>
        <v>112032.17000000001</v>
      </c>
    </row>
    <row r="148" spans="1:10" x14ac:dyDescent="0.2">
      <c r="C148" s="67"/>
      <c r="D148" s="67"/>
      <c r="E148" s="67"/>
    </row>
  </sheetData>
  <mergeCells count="86">
    <mergeCell ref="A19:A20"/>
    <mergeCell ref="B19:B20"/>
    <mergeCell ref="B63:J63"/>
    <mergeCell ref="A30:A32"/>
    <mergeCell ref="B30:B32"/>
    <mergeCell ref="A33:A34"/>
    <mergeCell ref="B33:B34"/>
    <mergeCell ref="A46:A48"/>
    <mergeCell ref="B46:B48"/>
    <mergeCell ref="B49:J49"/>
    <mergeCell ref="B60:J60"/>
    <mergeCell ref="A43:A44"/>
    <mergeCell ref="B43:B44"/>
    <mergeCell ref="B51:J51"/>
    <mergeCell ref="A39:A40"/>
    <mergeCell ref="B39:B40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K117:T117"/>
    <mergeCell ref="B134:J134"/>
    <mergeCell ref="U117:AD117"/>
    <mergeCell ref="A130:J130"/>
    <mergeCell ref="A129:J129"/>
    <mergeCell ref="B117:J117"/>
    <mergeCell ref="B120:J120"/>
    <mergeCell ref="B128:J128"/>
    <mergeCell ref="U116:AD116"/>
    <mergeCell ref="A64:A66"/>
    <mergeCell ref="U114:AD114"/>
    <mergeCell ref="K115:T115"/>
    <mergeCell ref="U115:AD115"/>
    <mergeCell ref="K114:T114"/>
    <mergeCell ref="A116:J116"/>
    <mergeCell ref="K116:T116"/>
    <mergeCell ref="A115:J115"/>
    <mergeCell ref="B67:B69"/>
    <mergeCell ref="A67:A69"/>
    <mergeCell ref="A70:A77"/>
    <mergeCell ref="B70:B77"/>
    <mergeCell ref="A81:A82"/>
    <mergeCell ref="A83:A87"/>
    <mergeCell ref="B81:B82"/>
    <mergeCell ref="B24:B25"/>
    <mergeCell ref="A24:A25"/>
    <mergeCell ref="B145:J145"/>
    <mergeCell ref="B131:J131"/>
    <mergeCell ref="B114:J114"/>
    <mergeCell ref="A138:A140"/>
    <mergeCell ref="B138:B140"/>
    <mergeCell ref="B122:B124"/>
    <mergeCell ref="A122:A124"/>
    <mergeCell ref="B29:J29"/>
    <mergeCell ref="A61:J61"/>
    <mergeCell ref="A62:J62"/>
    <mergeCell ref="B64:B66"/>
    <mergeCell ref="B83:B87"/>
    <mergeCell ref="A110:A111"/>
    <mergeCell ref="B110:B111"/>
    <mergeCell ref="A27:A28"/>
    <mergeCell ref="B27:B28"/>
    <mergeCell ref="B141:J141"/>
    <mergeCell ref="A146:A147"/>
    <mergeCell ref="B146:B147"/>
    <mergeCell ref="A88:A95"/>
    <mergeCell ref="B88:B95"/>
    <mergeCell ref="A96:A109"/>
    <mergeCell ref="B96:B10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79" firstPageNumber="48" fitToHeight="0" orientation="landscape" useFirstPageNumber="1" r:id="rId1"/>
  <headerFooter>
    <oddHeader>&amp;C&amp;P</oddHeader>
  </headerFooter>
  <rowBreaks count="10" manualBreakCount="10">
    <brk id="22" max="9" man="1"/>
    <brk id="41" max="9" man="1"/>
    <brk id="54" max="9" man="1"/>
    <brk id="67" max="9" man="1"/>
    <brk id="81" max="9" man="1"/>
    <brk id="97" max="9" man="1"/>
    <brk id="111" max="9" man="1"/>
    <brk id="123" max="9" man="1"/>
    <brk id="131" max="9" man="1"/>
    <brk id="14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2025-01-15T07:08:03Z</cp:lastPrinted>
  <dcterms:created xsi:type="dcterms:W3CDTF">2014-07-04T09:02:24Z</dcterms:created>
  <dcterms:modified xsi:type="dcterms:W3CDTF">2025-01-20T04:30:40Z</dcterms:modified>
</cp:coreProperties>
</file>