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2024" sheetId="32" r:id="rId1"/>
  </sheets>
  <definedNames>
    <definedName name="_xlnm.Print_Area" localSheetId="0">'2024'!$A$1:$AD$91</definedName>
  </definedNames>
  <calcPr calcId="124519"/>
</workbook>
</file>

<file path=xl/calcChain.xml><?xml version="1.0" encoding="utf-8"?>
<calcChain xmlns="http://schemas.openxmlformats.org/spreadsheetml/2006/main">
  <c r="S95" i="32"/>
  <c r="Z30"/>
  <c r="Y30"/>
  <c r="AD27"/>
  <c r="Y27"/>
  <c r="T27"/>
  <c r="O27"/>
  <c r="F28"/>
  <c r="Y23"/>
  <c r="U68"/>
  <c r="U47"/>
  <c r="U45"/>
  <c r="U44"/>
  <c r="U43"/>
  <c r="U40"/>
  <c r="U39"/>
  <c r="U15"/>
  <c r="U13"/>
  <c r="V25"/>
  <c r="U72"/>
  <c r="U71"/>
  <c r="U36"/>
  <c r="U59"/>
  <c r="V31" l="1"/>
  <c r="P85"/>
  <c r="O85"/>
  <c r="O84"/>
  <c r="AD84" s="1"/>
  <c r="AD85" s="1"/>
  <c r="AC82"/>
  <c r="AB82"/>
  <c r="AA82"/>
  <c r="Z82"/>
  <c r="Y82"/>
  <c r="X82"/>
  <c r="W82"/>
  <c r="V82"/>
  <c r="S82"/>
  <c r="R82"/>
  <c r="Q82"/>
  <c r="O82" s="1"/>
  <c r="P82"/>
  <c r="N82"/>
  <c r="M82"/>
  <c r="L82"/>
  <c r="I82"/>
  <c r="H82"/>
  <c r="G82"/>
  <c r="F82"/>
  <c r="E82"/>
  <c r="Y81"/>
  <c r="T81"/>
  <c r="K81"/>
  <c r="K82" s="1"/>
  <c r="J82" s="1"/>
  <c r="Y80"/>
  <c r="T80"/>
  <c r="U82" s="1"/>
  <c r="T82" s="1"/>
  <c r="K80"/>
  <c r="J80"/>
  <c r="AD80" s="1"/>
  <c r="AC78"/>
  <c r="AB78"/>
  <c r="AA78"/>
  <c r="Z78"/>
  <c r="X78"/>
  <c r="W78"/>
  <c r="V78"/>
  <c r="U78"/>
  <c r="S78"/>
  <c r="R78"/>
  <c r="Q78"/>
  <c r="N78"/>
  <c r="M78"/>
  <c r="L78"/>
  <c r="K78"/>
  <c r="F78"/>
  <c r="Y77"/>
  <c r="Y78" s="1"/>
  <c r="T77"/>
  <c r="T78" s="1"/>
  <c r="P77"/>
  <c r="P78" s="1"/>
  <c r="O77"/>
  <c r="O78" s="1"/>
  <c r="K77"/>
  <c r="J77"/>
  <c r="J78" s="1"/>
  <c r="F77"/>
  <c r="E77"/>
  <c r="Z75"/>
  <c r="U75"/>
  <c r="P75"/>
  <c r="K75"/>
  <c r="F75"/>
  <c r="AC74"/>
  <c r="AB74"/>
  <c r="AA74"/>
  <c r="Z74"/>
  <c r="X74"/>
  <c r="W74"/>
  <c r="V74"/>
  <c r="U74"/>
  <c r="S74"/>
  <c r="R74"/>
  <c r="Q74"/>
  <c r="P74"/>
  <c r="N74"/>
  <c r="M74"/>
  <c r="L74"/>
  <c r="I74"/>
  <c r="H74"/>
  <c r="G74"/>
  <c r="F74"/>
  <c r="Y73"/>
  <c r="T73"/>
  <c r="O73"/>
  <c r="J73"/>
  <c r="E73"/>
  <c r="T72"/>
  <c r="P72"/>
  <c r="O72"/>
  <c r="K72"/>
  <c r="J72"/>
  <c r="AD72" s="1"/>
  <c r="E72"/>
  <c r="Y71"/>
  <c r="T71"/>
  <c r="T75" s="1"/>
  <c r="P71"/>
  <c r="O71"/>
  <c r="O74" s="1"/>
  <c r="O75" s="1"/>
  <c r="K71"/>
  <c r="K74" s="1"/>
  <c r="J71"/>
  <c r="J75" s="1"/>
  <c r="F71"/>
  <c r="E71"/>
  <c r="E74" s="1"/>
  <c r="AC69"/>
  <c r="AB69"/>
  <c r="AA69"/>
  <c r="Z69"/>
  <c r="Y69"/>
  <c r="X69"/>
  <c r="W69"/>
  <c r="V69"/>
  <c r="U69"/>
  <c r="S69"/>
  <c r="R69"/>
  <c r="Q69"/>
  <c r="N69"/>
  <c r="M69"/>
  <c r="L69"/>
  <c r="I69"/>
  <c r="H69"/>
  <c r="G69"/>
  <c r="Y68"/>
  <c r="T68"/>
  <c r="T69" s="1"/>
  <c r="P68"/>
  <c r="P69" s="1"/>
  <c r="K68"/>
  <c r="J68" s="1"/>
  <c r="J69" s="1"/>
  <c r="F68"/>
  <c r="F69" s="1"/>
  <c r="AC66"/>
  <c r="AB66"/>
  <c r="AA66"/>
  <c r="Z66"/>
  <c r="X66"/>
  <c r="W66"/>
  <c r="V66"/>
  <c r="U66"/>
  <c r="T66"/>
  <c r="S66"/>
  <c r="R66"/>
  <c r="Q66"/>
  <c r="P66"/>
  <c r="N66"/>
  <c r="M66"/>
  <c r="L66"/>
  <c r="I66"/>
  <c r="H66"/>
  <c r="G66"/>
  <c r="F66"/>
  <c r="Y65"/>
  <c r="Y66" s="1"/>
  <c r="T65"/>
  <c r="P65"/>
  <c r="O65"/>
  <c r="O66" s="1"/>
  <c r="K65"/>
  <c r="K66" s="1"/>
  <c r="J65"/>
  <c r="J66" s="1"/>
  <c r="F65"/>
  <c r="E65"/>
  <c r="E66" s="1"/>
  <c r="Z61"/>
  <c r="Z63" s="1"/>
  <c r="Y63" s="1"/>
  <c r="P61"/>
  <c r="P63" s="1"/>
  <c r="O63" s="1"/>
  <c r="F61"/>
  <c r="F63" s="1"/>
  <c r="E63" s="1"/>
  <c r="Y60"/>
  <c r="U60"/>
  <c r="U61" s="1"/>
  <c r="U63" s="1"/>
  <c r="T63" s="1"/>
  <c r="P60"/>
  <c r="O60" s="1"/>
  <c r="K60"/>
  <c r="K61" s="1"/>
  <c r="F60"/>
  <c r="E60" s="1"/>
  <c r="Y59"/>
  <c r="Y61" s="1"/>
  <c r="T59"/>
  <c r="P59"/>
  <c r="O59"/>
  <c r="AD59" s="1"/>
  <c r="K59"/>
  <c r="J59"/>
  <c r="E59"/>
  <c r="AD58"/>
  <c r="AD62" s="1"/>
  <c r="Y58"/>
  <c r="T58"/>
  <c r="O58"/>
  <c r="J58"/>
  <c r="F58"/>
  <c r="F62" s="1"/>
  <c r="E62" s="1"/>
  <c r="E58"/>
  <c r="AC56"/>
  <c r="AB56"/>
  <c r="AA56"/>
  <c r="Z56"/>
  <c r="Y56"/>
  <c r="X56"/>
  <c r="W56"/>
  <c r="V56"/>
  <c r="U56"/>
  <c r="S56"/>
  <c r="R56"/>
  <c r="Q56"/>
  <c r="N56"/>
  <c r="M56"/>
  <c r="L56"/>
  <c r="I56"/>
  <c r="H56"/>
  <c r="G56"/>
  <c r="Y55"/>
  <c r="T55"/>
  <c r="T56" s="1"/>
  <c r="P55"/>
  <c r="P56" s="1"/>
  <c r="K55"/>
  <c r="J55" s="1"/>
  <c r="J56" s="1"/>
  <c r="F55"/>
  <c r="F56" s="1"/>
  <c r="Z53"/>
  <c r="H53"/>
  <c r="AC52"/>
  <c r="AB52"/>
  <c r="AA52"/>
  <c r="Z52"/>
  <c r="Y52"/>
  <c r="X52"/>
  <c r="W52"/>
  <c r="V52"/>
  <c r="U52"/>
  <c r="T52"/>
  <c r="S52"/>
  <c r="R52"/>
  <c r="Q52"/>
  <c r="P52"/>
  <c r="P51" s="1"/>
  <c r="N52"/>
  <c r="M52"/>
  <c r="L52"/>
  <c r="I52"/>
  <c r="H52"/>
  <c r="H51" s="1"/>
  <c r="W51"/>
  <c r="U51"/>
  <c r="S51"/>
  <c r="Q51"/>
  <c r="N51"/>
  <c r="M51"/>
  <c r="L51"/>
  <c r="I51"/>
  <c r="G51"/>
  <c r="Y50"/>
  <c r="T50"/>
  <c r="O50"/>
  <c r="J50"/>
  <c r="F50"/>
  <c r="E50" s="1"/>
  <c r="AD50" s="1"/>
  <c r="Y49"/>
  <c r="T49"/>
  <c r="P49"/>
  <c r="O49"/>
  <c r="O52" s="1"/>
  <c r="K49"/>
  <c r="K52" s="1"/>
  <c r="J49"/>
  <c r="J52" s="1"/>
  <c r="F49"/>
  <c r="F52" s="1"/>
  <c r="E49"/>
  <c r="E52" s="1"/>
  <c r="Y48"/>
  <c r="T48"/>
  <c r="O48"/>
  <c r="K48"/>
  <c r="J48"/>
  <c r="G48"/>
  <c r="F48"/>
  <c r="E48" s="1"/>
  <c r="AD48" s="1"/>
  <c r="Y47"/>
  <c r="T47"/>
  <c r="P47"/>
  <c r="O47"/>
  <c r="K47"/>
  <c r="J47"/>
  <c r="F47"/>
  <c r="E47"/>
  <c r="AD47" s="1"/>
  <c r="Y46"/>
  <c r="T46"/>
  <c r="O46"/>
  <c r="J46"/>
  <c r="E46"/>
  <c r="AD46" s="1"/>
  <c r="Y45"/>
  <c r="T45"/>
  <c r="O45"/>
  <c r="J45"/>
  <c r="E45"/>
  <c r="Y44"/>
  <c r="T44"/>
  <c r="P44"/>
  <c r="O44" s="1"/>
  <c r="K44"/>
  <c r="J44" s="1"/>
  <c r="F44"/>
  <c r="E44" s="1"/>
  <c r="Y43"/>
  <c r="T43"/>
  <c r="P43"/>
  <c r="O43"/>
  <c r="J43"/>
  <c r="E43"/>
  <c r="Y42"/>
  <c r="T42"/>
  <c r="O42"/>
  <c r="J42"/>
  <c r="E42"/>
  <c r="AD42" s="1"/>
  <c r="Y41"/>
  <c r="T41"/>
  <c r="O41"/>
  <c r="J41"/>
  <c r="E41"/>
  <c r="AD41" s="1"/>
  <c r="Y40"/>
  <c r="T40"/>
  <c r="P40"/>
  <c r="O40" s="1"/>
  <c r="K40"/>
  <c r="J40" s="1"/>
  <c r="E40"/>
  <c r="Y39"/>
  <c r="T39"/>
  <c r="P39"/>
  <c r="O39" s="1"/>
  <c r="K39"/>
  <c r="J39" s="1"/>
  <c r="E39"/>
  <c r="Y38"/>
  <c r="T38"/>
  <c r="O38"/>
  <c r="J38"/>
  <c r="E38"/>
  <c r="AD38" s="1"/>
  <c r="Y37"/>
  <c r="T37"/>
  <c r="O37"/>
  <c r="J37"/>
  <c r="E37"/>
  <c r="AD37" s="1"/>
  <c r="AC36"/>
  <c r="AC51" s="1"/>
  <c r="AB36"/>
  <c r="AB51" s="1"/>
  <c r="AA36"/>
  <c r="Y36" s="1"/>
  <c r="X36"/>
  <c r="X51" s="1"/>
  <c r="W36"/>
  <c r="V36"/>
  <c r="V51" s="1"/>
  <c r="U53"/>
  <c r="T36"/>
  <c r="S36"/>
  <c r="R36"/>
  <c r="R51" s="1"/>
  <c r="Q36"/>
  <c r="P36"/>
  <c r="P53" s="1"/>
  <c r="K36"/>
  <c r="J36" s="1"/>
  <c r="J53" s="1"/>
  <c r="J51" s="1"/>
  <c r="E36"/>
  <c r="AC34"/>
  <c r="AB34"/>
  <c r="AA34"/>
  <c r="Z34"/>
  <c r="X34"/>
  <c r="W34"/>
  <c r="V34"/>
  <c r="U34"/>
  <c r="T34"/>
  <c r="S34"/>
  <c r="R34"/>
  <c r="Q34"/>
  <c r="N34"/>
  <c r="M34"/>
  <c r="L34"/>
  <c r="I34"/>
  <c r="H34"/>
  <c r="G34"/>
  <c r="Y33"/>
  <c r="Y34" s="1"/>
  <c r="T33"/>
  <c r="P33"/>
  <c r="P34" s="1"/>
  <c r="K33"/>
  <c r="K34" s="1"/>
  <c r="F33"/>
  <c r="E33" s="1"/>
  <c r="AC31"/>
  <c r="AB31"/>
  <c r="AA31"/>
  <c r="Z31"/>
  <c r="X31"/>
  <c r="W31"/>
  <c r="U31"/>
  <c r="S31"/>
  <c r="R31"/>
  <c r="P31"/>
  <c r="N31"/>
  <c r="M31"/>
  <c r="K31"/>
  <c r="I31"/>
  <c r="H31"/>
  <c r="G31"/>
  <c r="F31"/>
  <c r="E31"/>
  <c r="AC30"/>
  <c r="AB30"/>
  <c r="AA30"/>
  <c r="X30"/>
  <c r="W30"/>
  <c r="V30"/>
  <c r="U30"/>
  <c r="S30"/>
  <c r="R30"/>
  <c r="Q30"/>
  <c r="N30"/>
  <c r="M30"/>
  <c r="L30"/>
  <c r="I30"/>
  <c r="H30"/>
  <c r="G30"/>
  <c r="AC29"/>
  <c r="AB29"/>
  <c r="AA29"/>
  <c r="Z29"/>
  <c r="X29"/>
  <c r="W29"/>
  <c r="V29"/>
  <c r="S29"/>
  <c r="R29"/>
  <c r="Q29"/>
  <c r="P29"/>
  <c r="N29"/>
  <c r="M29"/>
  <c r="L29"/>
  <c r="H29"/>
  <c r="G29"/>
  <c r="G28" s="1"/>
  <c r="G86" s="1"/>
  <c r="F29"/>
  <c r="AC28"/>
  <c r="AB28"/>
  <c r="X28"/>
  <c r="X86" s="1"/>
  <c r="W28"/>
  <c r="W86" s="1"/>
  <c r="S28"/>
  <c r="S86" s="1"/>
  <c r="R28"/>
  <c r="N28"/>
  <c r="N86" s="1"/>
  <c r="M28"/>
  <c r="M86" s="1"/>
  <c r="L28"/>
  <c r="L86" s="1"/>
  <c r="H28"/>
  <c r="H86" s="1"/>
  <c r="AD26"/>
  <c r="Y26"/>
  <c r="T26"/>
  <c r="O26"/>
  <c r="J26"/>
  <c r="F26"/>
  <c r="E26"/>
  <c r="Q25"/>
  <c r="O25" s="1"/>
  <c r="J25"/>
  <c r="Y31"/>
  <c r="T24"/>
  <c r="Q24"/>
  <c r="Q31" s="1"/>
  <c r="Q28" s="1"/>
  <c r="Q86" s="1"/>
  <c r="L24"/>
  <c r="J24" s="1"/>
  <c r="U23"/>
  <c r="T23"/>
  <c r="P23"/>
  <c r="O23"/>
  <c r="AD23" s="1"/>
  <c r="K23"/>
  <c r="J23"/>
  <c r="Y22"/>
  <c r="T22"/>
  <c r="O22"/>
  <c r="J22"/>
  <c r="F22"/>
  <c r="E22" s="1"/>
  <c r="AD22" s="1"/>
  <c r="Y21"/>
  <c r="T21"/>
  <c r="O21"/>
  <c r="J21"/>
  <c r="AD21" s="1"/>
  <c r="E21"/>
  <c r="Y20"/>
  <c r="T20"/>
  <c r="O20"/>
  <c r="J20"/>
  <c r="AD20" s="1"/>
  <c r="E20"/>
  <c r="J19"/>
  <c r="E19"/>
  <c r="AD19" s="1"/>
  <c r="Y18"/>
  <c r="T18"/>
  <c r="P18"/>
  <c r="P30" s="1"/>
  <c r="P28" s="1"/>
  <c r="K18"/>
  <c r="J18" s="1"/>
  <c r="F18"/>
  <c r="F30" s="1"/>
  <c r="Y17"/>
  <c r="T17"/>
  <c r="O17"/>
  <c r="J17"/>
  <c r="AD17" s="1"/>
  <c r="E17"/>
  <c r="I16"/>
  <c r="F16"/>
  <c r="E16" s="1"/>
  <c r="AD16" s="1"/>
  <c r="Y15"/>
  <c r="T15"/>
  <c r="T30" s="1"/>
  <c r="O15"/>
  <c r="J15"/>
  <c r="J30" s="1"/>
  <c r="F15"/>
  <c r="E15"/>
  <c r="Y14"/>
  <c r="T14"/>
  <c r="I14"/>
  <c r="I28" s="1"/>
  <c r="I86" s="1"/>
  <c r="F14"/>
  <c r="E14"/>
  <c r="AD14" s="1"/>
  <c r="Y13"/>
  <c r="Y29" s="1"/>
  <c r="U28"/>
  <c r="T13"/>
  <c r="P13"/>
  <c r="O13"/>
  <c r="O29" s="1"/>
  <c r="K13"/>
  <c r="K29" s="1"/>
  <c r="J13"/>
  <c r="J29" s="1"/>
  <c r="F13"/>
  <c r="E13"/>
  <c r="AA28" l="1"/>
  <c r="Y28"/>
  <c r="AD77"/>
  <c r="Y74"/>
  <c r="AD73"/>
  <c r="AD45"/>
  <c r="Y53"/>
  <c r="Y51" s="1"/>
  <c r="Z51"/>
  <c r="Z28"/>
  <c r="AD43"/>
  <c r="AD40"/>
  <c r="U86"/>
  <c r="T53"/>
  <c r="T51" s="1"/>
  <c r="AD13"/>
  <c r="E34"/>
  <c r="J61"/>
  <c r="K63"/>
  <c r="J63" s="1"/>
  <c r="AD63" s="1"/>
  <c r="AD52"/>
  <c r="E61"/>
  <c r="P86"/>
  <c r="O28"/>
  <c r="F51"/>
  <c r="AD36"/>
  <c r="AD39"/>
  <c r="AD82"/>
  <c r="E30"/>
  <c r="AC86"/>
  <c r="O30"/>
  <c r="R86"/>
  <c r="AB86"/>
  <c r="V28"/>
  <c r="V86" s="1"/>
  <c r="AD44"/>
  <c r="J31"/>
  <c r="J28" s="1"/>
  <c r="O51"/>
  <c r="AD49"/>
  <c r="F53"/>
  <c r="AD65"/>
  <c r="AD66" s="1"/>
  <c r="T74"/>
  <c r="E18"/>
  <c r="AD18" s="1"/>
  <c r="O18"/>
  <c r="O24"/>
  <c r="AD24" s="1"/>
  <c r="T25"/>
  <c r="T31" s="1"/>
  <c r="I29"/>
  <c r="E29" s="1"/>
  <c r="U29"/>
  <c r="K30"/>
  <c r="K28" s="1"/>
  <c r="K86" s="1"/>
  <c r="J86" s="1"/>
  <c r="J33"/>
  <c r="J34" s="1"/>
  <c r="F34"/>
  <c r="O36"/>
  <c r="O53" s="1"/>
  <c r="E53"/>
  <c r="K53"/>
  <c r="K51" s="1"/>
  <c r="E55"/>
  <c r="O55"/>
  <c r="O56" s="1"/>
  <c r="J60"/>
  <c r="AD60" s="1"/>
  <c r="AD61" s="1"/>
  <c r="T60"/>
  <c r="T61" s="1"/>
  <c r="O61"/>
  <c r="E68"/>
  <c r="O68"/>
  <c r="O69" s="1"/>
  <c r="E75"/>
  <c r="Y75"/>
  <c r="E78"/>
  <c r="AD78" s="1"/>
  <c r="J81"/>
  <c r="AD81" s="1"/>
  <c r="AD15"/>
  <c r="T29"/>
  <c r="L31"/>
  <c r="AA51"/>
  <c r="AA86" s="1"/>
  <c r="K56"/>
  <c r="K69"/>
  <c r="AD71"/>
  <c r="AD74" s="1"/>
  <c r="AD75" s="1"/>
  <c r="J74"/>
  <c r="F86"/>
  <c r="O33"/>
  <c r="O34" s="1"/>
  <c r="E86" l="1"/>
  <c r="AD53"/>
  <c r="Z86"/>
  <c r="Y86" s="1"/>
  <c r="T86"/>
  <c r="E28"/>
  <c r="AD29"/>
  <c r="AD55"/>
  <c r="AD56" s="1"/>
  <c r="E56"/>
  <c r="AD25"/>
  <c r="O86"/>
  <c r="AD33"/>
  <c r="AD34" s="1"/>
  <c r="AD68"/>
  <c r="AD69" s="1"/>
  <c r="E69"/>
  <c r="E51"/>
  <c r="AD51" s="1"/>
  <c r="O31"/>
  <c r="AD31" s="1"/>
  <c r="T28"/>
  <c r="AD30"/>
  <c r="AD86" l="1"/>
  <c r="AD28"/>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<sst xmlns="http://schemas.openxmlformats.org/spreadsheetml/2006/main" count="242" uniqueCount="166">
  <si>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</si>
  <si>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</si>
  <si>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</si>
  <si>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</si>
  <si>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</si>
  <si>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</si>
  <si>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</si>
  <si>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</si>
  <si>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</si>
  <si>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</si>
  <si>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</si>
  <si>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</si>
  <si>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</si>
  <si>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</si>
  <si>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</si>
  <si>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</si>
  <si>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2.1.</t>
  </si>
  <si>
    <t>3.1.</t>
  </si>
  <si>
    <t>4.1.</t>
  </si>
  <si>
    <t>5.1.</t>
  </si>
  <si>
    <t>6.1.</t>
  </si>
  <si>
    <t>7.1.</t>
  </si>
  <si>
    <t xml:space="preserve">Департамент социального обеспечения </t>
  </si>
  <si>
    <t>8.1.</t>
  </si>
  <si>
    <t>9.1.</t>
  </si>
  <si>
    <t>10.1.</t>
  </si>
  <si>
    <t>11.1.</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</si>
  <si>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</si>
  <si>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</si>
  <si>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</si>
  <si>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</si>
  <si>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</si>
  <si>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</si>
  <si>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</si>
  <si>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</si>
  <si>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</si>
  <si>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</si>
  <si>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</si>
  <si>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</si>
  <si>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</si>
  <si>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</si>
  <si>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</si>
  <si>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</si>
  <si>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</si>
  <si>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</si>
  <si>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</si>
  <si>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</si>
  <si>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</si>
  <si>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</si>
  <si>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</si>
  <si>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</si>
  <si>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</si>
  <si>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</si>
  <si>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</si>
  <si>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</si>
  <si>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</si>
  <si>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</si>
  <si>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</si>
  <si>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</si>
  <si>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</si>
  <si>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</si>
  <si>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</si>
  <si>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</si>
  <si>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</si>
  <si>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Департамент информационных технологий и связи</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</si>
  <si>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</si>
  <si>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</si>
  <si>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</si>
  <si>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</si>
  <si>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</si>
  <si>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</si>
  <si>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</si>
  <si>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</si>
  <si>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</si>
  <si>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</si>
  <si>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</si>
  <si>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</si>
  <si>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</si>
  <si>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</si>
  <si>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</si>
  <si>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</si>
  <si>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</si>
  <si>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</si>
  <si>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</si>
  <si>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</si>
  <si>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</si>
  <si>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</si>
  <si>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</si>
  <si>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Наименование цели, задач и мероприятий муниципальной программы</t>
  </si>
  <si>
    <t>1. </t>
  </si>
  <si>
    <t>2. </t>
  </si>
  <si>
    <t>4. </t>
  </si>
  <si>
    <t>6. </t>
  </si>
  <si>
    <t>3. </t>
  </si>
  <si>
    <t>3.3.</t>
  </si>
  <si>
    <t>3.4.</t>
  </si>
  <si>
    <t>3.5.</t>
  </si>
  <si>
    <t>3.6.</t>
  </si>
  <si>
    <t>3.7.</t>
  </si>
  <si>
    <t>3.8.</t>
  </si>
  <si>
    <t>3.9.</t>
  </si>
  <si>
    <t>3.10.</t>
  </si>
  <si>
    <t>3.11.</t>
  </si>
  <si>
    <t>3.12.</t>
  </si>
  <si>
    <t>3.13.</t>
  </si>
  <si>
    <t>3.14.</t>
  </si>
  <si>
    <t>3.15.</t>
  </si>
  <si>
    <t>5. </t>
  </si>
  <si>
    <t>5.2.</t>
  </si>
  <si>
    <t>7.</t>
  </si>
  <si>
    <t>8.</t>
  </si>
  <si>
    <t>8.2.</t>
  </si>
  <si>
    <t>8.3.</t>
  </si>
  <si>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</si>
  <si>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городского   округа Тольятти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</si>
  <si>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</si>
  <si>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</si>
  <si>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</si>
  <si>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</si>
  <si>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</si>
  <si>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</si>
  <si>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</si>
  <si>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</si>
  <si>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</si>
  <si>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</si>
  <si>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</si>
  <si>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</si>
  <si>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</si>
  <si>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</si>
  <si>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</si>
  <si>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</si>
  <si>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Итого по главным распорядителям по задаче  5 </t>
  </si>
  <si>
    <t>ИТОГО по муниципальной программе  :</t>
  </si>
  <si>
    <t>2020-2022 гг.</t>
  </si>
  <si>
    <t>2020-2022гг.</t>
  </si>
  <si>
    <t>Задача 11: 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</si>
  <si>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</si>
  <si>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ИТОГО по задаче 1:</t>
  </si>
  <si>
    <t>ИТОГО по задаче 2:</t>
  </si>
  <si>
    <t>ИТОГО по задаче 3:</t>
  </si>
  <si>
    <t>ИТОГО по задаче 4:</t>
  </si>
  <si>
    <t>ИТОГО по задаче 6:</t>
  </si>
  <si>
    <t>ИТОГО по задаче 7:</t>
  </si>
  <si>
    <t>ИТОГО по задаче 11:</t>
  </si>
  <si>
    <t>ИТОГО по задаче 10:</t>
  </si>
  <si>
    <t>ИТОГО по задаче 9:</t>
  </si>
  <si>
    <t>ИТОГО по задаче 8:</t>
  </si>
  <si>
    <t>1.15.</t>
  </si>
  <si>
    <t>Департамент информационных технологий и связи (МАУ МФЦ), Департамент образования</t>
  </si>
  <si>
    <r>
      <t xml:space="preserve">Финансовое обеспечение реализации муниципальной программы, </t>
    </r>
    <r>
      <rPr>
        <b/>
        <i/>
        <sz val="12"/>
        <rFont val="Times New Roman"/>
        <family val="1"/>
        <charset val="204"/>
      </rPr>
      <t>тыс.руб.</t>
    </r>
  </si>
  <si>
    <r>
      <t>Цель:</t>
    </r>
    <r>
      <rPr>
        <sz val="12"/>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</si>
  <si>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2"/>
        <rFont val="Times New Roman"/>
        <family val="1"/>
        <charset val="204"/>
      </rPr>
      <t>Задача 1</t>
    </r>
    <r>
      <rPr>
        <b/>
        <i/>
        <sz val="12"/>
        <rFont val="Times New Roman"/>
        <family val="1"/>
        <charset val="204"/>
      </rPr>
      <t xml:space="preserve">: </t>
    </r>
    <r>
      <rPr>
        <sz val="12"/>
        <rFont val="Times New Roman"/>
        <family val="1"/>
        <charset val="204"/>
      </rPr>
      <t>Финансовая поддержка семей с детьми</t>
    </r>
  </si>
  <si>
    <r>
      <t xml:space="preserve">Задача 2: </t>
    </r>
    <r>
      <rPr>
        <b/>
        <sz val="12"/>
        <rFont val="Times New Roman"/>
        <family val="1"/>
        <charset val="204"/>
      </rPr>
      <t xml:space="preserve"> </t>
    </r>
    <r>
      <rPr>
        <sz val="12"/>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</si>
  <si>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Задача 3:</t>
    </r>
    <r>
      <rPr>
        <sz val="12"/>
        <rFont val="Times New Roman"/>
        <family val="1"/>
        <charset val="204"/>
      </rPr>
      <t>Предоставление социальных выплат гражданам, имеющим особые заслуги перед обществом</t>
    </r>
  </si>
  <si>
    <r>
      <t xml:space="preserve">Задача 4: </t>
    </r>
    <r>
      <rPr>
        <sz val="12"/>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</si>
  <si>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r>
      <t xml:space="preserve">Задача 5: </t>
    </r>
    <r>
      <rPr>
        <b/>
        <sz val="12"/>
        <rFont val="Times New Roman"/>
        <family val="1"/>
        <charset val="204"/>
      </rPr>
      <t xml:space="preserve"> </t>
    </r>
    <r>
      <rPr>
        <sz val="12"/>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</si>
  <si>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 xml:space="preserve">Задача 6: </t>
    </r>
    <r>
      <rPr>
        <b/>
        <i/>
        <sz val="12"/>
        <rFont val="Times New Roman"/>
        <family val="1"/>
        <charset val="204"/>
      </rPr>
      <t xml:space="preserve"> </t>
    </r>
    <r>
      <rPr>
        <sz val="12"/>
        <rFont val="Times New Roman"/>
        <family val="1"/>
        <charset val="204"/>
      </rPr>
      <t>Обеспечение условия для реализации дополнительных мер социальной поддежки населения</t>
    </r>
  </si>
  <si>
    <r>
      <t xml:space="preserve">Задача 7: </t>
    </r>
    <r>
      <rPr>
        <sz val="12"/>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</si>
  <si>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8: </t>
    </r>
    <r>
      <rPr>
        <sz val="12"/>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</si>
  <si>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2"/>
        <rFont val="Times New Roman"/>
        <family val="1"/>
        <charset val="204"/>
      </rPr>
      <t xml:space="preserve">  Популяризация семейных ценностей</t>
    </r>
  </si>
  <si>
    <t xml:space="preserve"> </t>
  </si>
  <si>
    <t xml:space="preserve">Перечень мероприятий муниципальной программы </t>
  </si>
  <si>
    <t xml:space="preserve">                 </t>
  </si>
  <si>
    <t xml:space="preserve">Приложение №1 к постановлению администрации             </t>
  </si>
  <si>
    <t xml:space="preserve">                                                                                                                                                                                                                         от                          №</t>
  </si>
  <si>
    <t>Обеспечение бесплатным двухразовым питанием обучающихся с ограниченными возможностями здоровья, осваивающих образовательные программы начального общего, основного общего или среднего общего образования в муниципальных общеобразовательных учреждениях городского округа Тольятти, обучение которых организовано на дому, в том числе возможность замены бесплатного двухразового питания денежной компенсацией</t>
  </si>
</sst>
</file>

<file path=xl/styles.xml><?xml version="1.0" encoding="utf-8"?>
<styleSheet xmlns="http://schemas.openxmlformats.org/spreadsheetml/2006/main">
  <numFmts count="3">
    <numFmt numFmtId="164" formatCode="#,##0.0"/>
    <numFmt numFmtId="165" formatCode="#,##0.00\ &quot;₽&quot;"/>
    <numFmt numFmtId="166" formatCode="0.0"/>
  </numFmts>
  <fonts count="13">
    <font>
      <sz val="11"/>
      <color theme="1"/>
      <name val="Calibri"/>
      <family val="2"/>
      <charset val="204"/>
      <scheme val="minor"/>
    </font>
    <font>
      <sz val="8"/>
      <color indexed="81"/>
      <name val="Tahoma"/>
      <family val="2"/>
      <charset val="204"/>
    </font>
    <font>
      <b/>
      <sz val="8"/>
      <color indexed="81"/>
      <name val="Tahoma"/>
      <family val="2"/>
      <charset val="204"/>
    </font>
    <font>
      <sz val="12"/>
      <name val="Times New Roman"/>
      <family val="1"/>
      <charset val="204"/>
    </font>
    <font>
      <sz val="12"/>
      <name val="Calibri"/>
      <family val="2"/>
      <charset val="204"/>
    </font>
    <font>
      <b/>
      <sz val="12"/>
      <name val="Times New Roman"/>
      <family val="1"/>
      <charset val="204"/>
    </font>
    <font>
      <b/>
      <i/>
      <sz val="12"/>
      <name val="Times New Roman"/>
      <family val="1"/>
      <charset val="204"/>
    </font>
    <font>
      <i/>
      <u/>
      <sz val="12"/>
      <name val="Times New Roman"/>
      <family val="1"/>
      <charset val="204"/>
    </font>
    <font>
      <i/>
      <sz val="12"/>
      <name val="Times New Roman"/>
      <family val="1"/>
      <charset val="204"/>
    </font>
    <font>
      <sz val="12"/>
      <color rgb="FFFF0000"/>
      <name val="Times New Roman"/>
      <family val="1"/>
      <charset val="204"/>
    </font>
    <font>
      <b/>
      <sz val="12"/>
      <color rgb="FFFF0000"/>
      <name val="Times New Roman"/>
      <family val="1"/>
      <charset val="204"/>
    </font>
    <font>
      <b/>
      <sz val="12"/>
      <name val="Calibri"/>
      <family val="2"/>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98">
    <xf numFmtId="0" fontId="0" fillId="0" borderId="0" xfId="0"/>
    <xf numFmtId="0" fontId="3" fillId="2" borderId="0" xfId="0" applyFont="1" applyFill="1" applyAlignment="1">
      <alignment horizontal="center"/>
    </xf>
    <xf numFmtId="0" fontId="3" fillId="2" borderId="0" xfId="0" applyFont="1" applyFill="1"/>
    <xf numFmtId="0" fontId="4" fillId="2" borderId="0" xfId="0" applyFont="1" applyFill="1"/>
    <xf numFmtId="0" fontId="3" fillId="2" borderId="0" xfId="0" applyFont="1" applyFill="1" applyAlignment="1">
      <alignment horizontal="left" vertical="top" wrapText="1"/>
    </xf>
    <xf numFmtId="0" fontId="3" fillId="2" borderId="0" xfId="0" applyFont="1" applyFill="1" applyAlignment="1">
      <alignment horizont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2" xfId="0" applyFont="1" applyFill="1" applyBorder="1" applyAlignment="1">
      <alignment horizontal="center" vertical="center" textRotation="90" wrapText="1"/>
    </xf>
    <xf numFmtId="0" fontId="3" fillId="2" borderId="1" xfId="0" applyFont="1" applyFill="1" applyBorder="1" applyAlignment="1">
      <alignment horizont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9" xfId="0" applyNumberFormat="1" applyFont="1" applyFill="1" applyBorder="1" applyAlignment="1">
      <alignment horizontal="left" vertical="top" wrapText="1"/>
    </xf>
    <xf numFmtId="0" fontId="3" fillId="2" borderId="6" xfId="0" applyFont="1" applyFill="1" applyBorder="1" applyAlignment="1">
      <alignment horizontal="center" vertical="top" wrapText="1"/>
    </xf>
    <xf numFmtId="164" fontId="3" fillId="2" borderId="1" xfId="0" applyNumberFormat="1" applyFont="1" applyFill="1" applyBorder="1" applyAlignment="1">
      <alignment horizontal="center" vertical="top"/>
    </xf>
    <xf numFmtId="164" fontId="9" fillId="2" borderId="1" xfId="0" applyNumberFormat="1" applyFont="1" applyFill="1" applyBorder="1" applyAlignment="1">
      <alignment horizontal="center" vertical="top"/>
    </xf>
    <xf numFmtId="164" fontId="10" fillId="2" borderId="1" xfId="0" applyNumberFormat="1" applyFont="1" applyFill="1" applyBorder="1" applyAlignment="1">
      <alignment horizontal="center" vertical="top"/>
    </xf>
    <xf numFmtId="0" fontId="3" fillId="2" borderId="4" xfId="0" applyNumberFormat="1" applyFont="1" applyFill="1" applyBorder="1" applyAlignment="1">
      <alignment vertical="top" wrapText="1"/>
    </xf>
    <xf numFmtId="164" fontId="5" fillId="2" borderId="1" xfId="0" applyNumberFormat="1" applyFont="1" applyFill="1" applyBorder="1" applyAlignment="1">
      <alignment horizontal="center" vertical="top"/>
    </xf>
    <xf numFmtId="0" fontId="3" fillId="2" borderId="3"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top" wrapText="1"/>
    </xf>
    <xf numFmtId="0" fontId="3" fillId="2" borderId="1" xfId="0" applyFont="1" applyFill="1" applyBorder="1" applyAlignment="1">
      <alignment horizontal="left" vertical="top" wrapText="1"/>
    </xf>
    <xf numFmtId="166" fontId="3" fillId="2" borderId="0" xfId="0" applyNumberFormat="1" applyFont="1" applyFill="1" applyAlignment="1">
      <alignment horizontal="center" vertical="top"/>
    </xf>
    <xf numFmtId="0" fontId="3" fillId="2" borderId="5" xfId="0" applyFont="1" applyFill="1" applyBorder="1" applyAlignment="1">
      <alignment vertical="top" wrapText="1"/>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164" fontId="4" fillId="2" borderId="0" xfId="0" applyNumberFormat="1" applyFont="1" applyFill="1"/>
    <xf numFmtId="0" fontId="3" fillId="2" borderId="6" xfId="0" applyFont="1" applyFill="1" applyBorder="1" applyAlignment="1">
      <alignment horizontal="left" vertical="center"/>
    </xf>
    <xf numFmtId="0" fontId="3" fillId="2" borderId="1" xfId="0" applyFont="1" applyFill="1" applyBorder="1" applyAlignment="1">
      <alignment horizontal="justify" vertical="top" wrapText="1"/>
    </xf>
    <xf numFmtId="16" fontId="3" fillId="2" borderId="1" xfId="0" applyNumberFormat="1" applyFont="1" applyFill="1" applyBorder="1" applyAlignment="1">
      <alignment horizontal="center" vertical="top"/>
    </xf>
    <xf numFmtId="0" fontId="11" fillId="2" borderId="0" xfId="0" applyFont="1" applyFill="1"/>
    <xf numFmtId="17" fontId="3" fillId="2" borderId="1" xfId="0" applyNumberFormat="1" applyFont="1" applyFill="1" applyBorder="1" applyAlignment="1">
      <alignment horizontal="center" vertical="top"/>
    </xf>
    <xf numFmtId="0" fontId="3" fillId="2" borderId="1" xfId="0" applyNumberFormat="1" applyFont="1" applyFill="1" applyBorder="1" applyAlignment="1">
      <alignment vertical="top" wrapText="1"/>
    </xf>
    <xf numFmtId="0" fontId="3" fillId="2" borderId="3" xfId="0" applyFont="1" applyFill="1" applyBorder="1" applyAlignment="1">
      <alignment horizontal="center" vertical="top" wrapText="1"/>
    </xf>
    <xf numFmtId="164" fontId="3" fillId="2" borderId="5" xfId="0" applyNumberFormat="1" applyFont="1" applyFill="1" applyBorder="1" applyAlignment="1">
      <alignment horizontal="center" vertical="top"/>
    </xf>
    <xf numFmtId="164" fontId="3" fillId="2" borderId="6" xfId="0" applyNumberFormat="1" applyFont="1" applyFill="1" applyBorder="1" applyAlignment="1">
      <alignment horizontal="center" vertical="top"/>
    </xf>
    <xf numFmtId="0" fontId="3" fillId="2" borderId="8" xfId="0" applyFont="1" applyFill="1" applyBorder="1" applyAlignment="1">
      <alignment horizontal="center" vertical="top" wrapText="1"/>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164" fontId="9" fillId="2" borderId="5" xfId="0" applyNumberFormat="1" applyFont="1" applyFill="1" applyBorder="1" applyAlignment="1">
      <alignment horizontal="center" vertical="top"/>
    </xf>
    <xf numFmtId="164" fontId="9" fillId="2" borderId="6" xfId="0" applyNumberFormat="1" applyFont="1" applyFill="1" applyBorder="1" applyAlignment="1">
      <alignment horizontal="center" vertical="top"/>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0" xfId="0" applyFont="1" applyFill="1" applyAlignment="1">
      <alignment wrapText="1"/>
    </xf>
    <xf numFmtId="164" fontId="3" fillId="2" borderId="1" xfId="0" applyNumberFormat="1" applyFont="1" applyFill="1" applyBorder="1" applyAlignment="1">
      <alignment horizontal="center" vertical="top" wrapText="1"/>
    </xf>
    <xf numFmtId="0" fontId="3" fillId="2" borderId="1" xfId="0" applyFont="1" applyFill="1" applyBorder="1" applyAlignment="1">
      <alignment wrapText="1"/>
    </xf>
    <xf numFmtId="164" fontId="5" fillId="2" borderId="1" xfId="0" applyNumberFormat="1"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top" wrapText="1"/>
    </xf>
    <xf numFmtId="164" fontId="3" fillId="2" borderId="0" xfId="0" applyNumberFormat="1" applyFont="1" applyFill="1"/>
    <xf numFmtId="0" fontId="3" fillId="2" borderId="0" xfId="0" applyFont="1" applyFill="1" applyAlignment="1">
      <alignment horizontal="center" wrapText="1"/>
    </xf>
    <xf numFmtId="0" fontId="3" fillId="2" borderId="0" xfId="0" applyFont="1" applyFill="1" applyAlignment="1">
      <alignment horizontal="right"/>
    </xf>
    <xf numFmtId="164" fontId="3" fillId="2" borderId="0" xfId="0" applyNumberFormat="1" applyFont="1" applyFill="1" applyAlignment="1">
      <alignment horizontal="right"/>
    </xf>
    <xf numFmtId="165" fontId="3" fillId="2" borderId="0" xfId="0" applyNumberFormat="1" applyFont="1" applyFill="1"/>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3" fillId="2" borderId="3"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7" xfId="0" applyFont="1" applyFill="1" applyBorder="1" applyAlignment="1">
      <alignment horizontal="center" vertical="center"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12"/>
  <sheetViews>
    <sheetView tabSelected="1" view="pageBreakPreview" zoomScale="60" workbookViewId="0">
      <pane xSplit="2" ySplit="14" topLeftCell="M75" activePane="bottomRight" state="frozen"/>
      <selection pane="topRight" activeCell="C1" sqref="C1"/>
      <selection pane="bottomLeft" activeCell="A15" sqref="A15"/>
      <selection pane="bottomRight" activeCell="S96" sqref="S96"/>
    </sheetView>
  </sheetViews>
  <sheetFormatPr defaultRowHeight="15.75"/>
  <cols>
    <col min="1" max="1" width="6.140625" style="1" customWidth="1"/>
    <col min="2" max="2" width="201" style="2" customWidth="1"/>
    <col min="3" max="3" width="42.42578125" style="2" customWidth="1"/>
    <col min="4" max="4" width="23.5703125" style="2" customWidth="1"/>
    <col min="5" max="5" width="21.28515625" style="2" customWidth="1"/>
    <col min="6" max="6" width="22.42578125" style="2" customWidth="1"/>
    <col min="7" max="7" width="16.140625" style="2" customWidth="1"/>
    <col min="8" max="9" width="16.85546875" style="2" customWidth="1"/>
    <col min="10" max="10" width="21.140625" style="2" customWidth="1"/>
    <col min="11" max="11" width="18.140625" style="2" customWidth="1"/>
    <col min="12" max="12" width="15" style="2" customWidth="1"/>
    <col min="13" max="13" width="14.7109375" style="2" customWidth="1"/>
    <col min="14" max="14" width="14.28515625" style="2" customWidth="1"/>
    <col min="15" max="15" width="17.140625" style="2" customWidth="1"/>
    <col min="16" max="16" width="18.7109375" style="2" customWidth="1"/>
    <col min="17" max="17" width="17.28515625" style="2" customWidth="1"/>
    <col min="18" max="18" width="19" style="2" customWidth="1"/>
    <col min="19" max="19" width="13" style="2" customWidth="1"/>
    <col min="20" max="20" width="16.42578125" style="2" customWidth="1"/>
    <col min="21" max="21" width="12.7109375" style="2" customWidth="1"/>
    <col min="22" max="22" width="11.85546875" style="2" customWidth="1"/>
    <col min="23" max="23" width="11.7109375" style="2" customWidth="1"/>
    <col min="24" max="24" width="10.28515625" style="2" customWidth="1"/>
    <col min="25" max="25" width="18" style="2" customWidth="1"/>
    <col min="26" max="26" width="14.5703125" style="2" customWidth="1"/>
    <col min="27" max="27" width="13" style="2" customWidth="1"/>
    <col min="28" max="28" width="12.7109375" style="2" customWidth="1"/>
    <col min="29" max="29" width="14.28515625" style="2" customWidth="1"/>
    <col min="30" max="30" width="17.7109375" style="2" customWidth="1"/>
    <col min="31" max="16384" width="9.140625" style="3"/>
  </cols>
  <sheetData>
    <row r="1" spans="1:30">
      <c r="B1" s="57" t="s">
        <v>163</v>
      </c>
      <c r="Z1" s="2" t="s">
        <v>162</v>
      </c>
    </row>
    <row r="2" spans="1:30">
      <c r="B2" s="57" t="s">
        <v>114</v>
      </c>
    </row>
    <row r="3" spans="1:30">
      <c r="B3" s="2" t="s">
        <v>164</v>
      </c>
      <c r="L3" s="4"/>
      <c r="M3" s="4"/>
      <c r="N3" s="4"/>
      <c r="O3" s="4"/>
      <c r="P3" s="4"/>
      <c r="Q3" s="4"/>
      <c r="R3" s="4"/>
      <c r="S3" s="4"/>
      <c r="T3" s="4"/>
      <c r="U3" s="4"/>
      <c r="V3" s="4"/>
      <c r="W3" s="4"/>
      <c r="X3" s="4"/>
      <c r="Y3" s="4"/>
      <c r="Z3" s="84"/>
      <c r="AA3" s="84"/>
      <c r="AB3" s="84"/>
      <c r="AC3" s="84"/>
      <c r="AD3" s="84"/>
    </row>
    <row r="4" spans="1:30">
      <c r="B4" s="57" t="s">
        <v>120</v>
      </c>
      <c r="V4" s="85"/>
      <c r="W4" s="85"/>
      <c r="X4" s="85"/>
      <c r="Y4" s="85"/>
      <c r="Z4" s="85"/>
      <c r="AA4" s="85"/>
      <c r="AB4" s="85"/>
      <c r="AC4" s="85"/>
      <c r="AD4" s="85"/>
    </row>
    <row r="5" spans="1:30">
      <c r="A5" s="5" t="s">
        <v>160</v>
      </c>
      <c r="B5" s="5" t="s">
        <v>161</v>
      </c>
      <c r="C5" s="5"/>
      <c r="D5" s="5"/>
      <c r="E5" s="5"/>
      <c r="F5" s="5"/>
      <c r="G5" s="5"/>
      <c r="H5" s="5"/>
      <c r="I5" s="5"/>
      <c r="J5" s="5"/>
      <c r="K5" s="5"/>
      <c r="L5" s="5"/>
      <c r="M5" s="5"/>
      <c r="N5" s="5"/>
      <c r="O5" s="5"/>
      <c r="P5" s="5"/>
      <c r="Q5" s="5"/>
      <c r="R5" s="5"/>
      <c r="S5" s="5"/>
      <c r="T5" s="5"/>
      <c r="U5" s="5"/>
      <c r="V5" s="5"/>
      <c r="W5" s="5"/>
      <c r="X5" s="5"/>
      <c r="Y5" s="5"/>
      <c r="Z5" s="5"/>
      <c r="AA5" s="5"/>
      <c r="AB5" s="5"/>
      <c r="AC5" s="5"/>
      <c r="AD5" s="5"/>
    </row>
    <row r="7" spans="1:30">
      <c r="A7" s="86" t="s">
        <v>0</v>
      </c>
      <c r="B7" s="86" t="s">
        <v>88</v>
      </c>
      <c r="C7" s="86" t="s">
        <v>1</v>
      </c>
      <c r="D7" s="86" t="s">
        <v>2</v>
      </c>
      <c r="E7" s="89" t="s">
        <v>149</v>
      </c>
      <c r="F7" s="90"/>
      <c r="G7" s="90"/>
      <c r="H7" s="90"/>
      <c r="I7" s="90"/>
      <c r="J7" s="90"/>
      <c r="K7" s="90"/>
      <c r="L7" s="90"/>
      <c r="M7" s="90"/>
      <c r="N7" s="90"/>
      <c r="O7" s="90"/>
      <c r="P7" s="90"/>
      <c r="Q7" s="90"/>
      <c r="R7" s="90"/>
      <c r="S7" s="90"/>
      <c r="T7" s="90"/>
      <c r="U7" s="90"/>
      <c r="V7" s="90"/>
      <c r="W7" s="90"/>
      <c r="X7" s="90"/>
      <c r="Y7" s="90"/>
      <c r="Z7" s="90"/>
      <c r="AA7" s="90"/>
      <c r="AB7" s="90"/>
      <c r="AC7" s="90"/>
      <c r="AD7" s="91"/>
    </row>
    <row r="8" spans="1:30">
      <c r="A8" s="87"/>
      <c r="B8" s="87"/>
      <c r="C8" s="87"/>
      <c r="D8" s="87"/>
      <c r="E8" s="92" t="s">
        <v>34</v>
      </c>
      <c r="F8" s="93"/>
      <c r="G8" s="93"/>
      <c r="H8" s="93"/>
      <c r="I8" s="94"/>
      <c r="J8" s="92" t="s">
        <v>35</v>
      </c>
      <c r="K8" s="93"/>
      <c r="L8" s="93"/>
      <c r="M8" s="93"/>
      <c r="N8" s="94"/>
      <c r="O8" s="92" t="s">
        <v>36</v>
      </c>
      <c r="P8" s="93"/>
      <c r="Q8" s="93"/>
      <c r="R8" s="93"/>
      <c r="S8" s="94"/>
      <c r="T8" s="92" t="s">
        <v>37</v>
      </c>
      <c r="U8" s="93"/>
      <c r="V8" s="93"/>
      <c r="W8" s="93"/>
      <c r="X8" s="94"/>
      <c r="Y8" s="92" t="s">
        <v>38</v>
      </c>
      <c r="Z8" s="93"/>
      <c r="AA8" s="93"/>
      <c r="AB8" s="93"/>
      <c r="AC8" s="94"/>
      <c r="AD8" s="86" t="s">
        <v>3</v>
      </c>
    </row>
    <row r="9" spans="1:30" ht="84">
      <c r="A9" s="88"/>
      <c r="B9" s="88"/>
      <c r="C9" s="88"/>
      <c r="D9" s="88"/>
      <c r="E9" s="6" t="s">
        <v>4</v>
      </c>
      <c r="F9" s="7" t="s">
        <v>5</v>
      </c>
      <c r="G9" s="7" t="s">
        <v>6</v>
      </c>
      <c r="H9" s="7" t="s">
        <v>7</v>
      </c>
      <c r="I9" s="8" t="s">
        <v>8</v>
      </c>
      <c r="J9" s="6" t="s">
        <v>4</v>
      </c>
      <c r="K9" s="7" t="s">
        <v>5</v>
      </c>
      <c r="L9" s="7" t="s">
        <v>6</v>
      </c>
      <c r="M9" s="7" t="s">
        <v>7</v>
      </c>
      <c r="N9" s="8" t="s">
        <v>8</v>
      </c>
      <c r="O9" s="6" t="s">
        <v>4</v>
      </c>
      <c r="P9" s="7" t="s">
        <v>5</v>
      </c>
      <c r="Q9" s="7" t="s">
        <v>6</v>
      </c>
      <c r="R9" s="7" t="s">
        <v>7</v>
      </c>
      <c r="S9" s="8" t="s">
        <v>8</v>
      </c>
      <c r="T9" s="6" t="s">
        <v>4</v>
      </c>
      <c r="U9" s="7" t="s">
        <v>5</v>
      </c>
      <c r="V9" s="7" t="s">
        <v>6</v>
      </c>
      <c r="W9" s="7" t="s">
        <v>7</v>
      </c>
      <c r="X9" s="8" t="s">
        <v>8</v>
      </c>
      <c r="Y9" s="6" t="s">
        <v>4</v>
      </c>
      <c r="Z9" s="7" t="s">
        <v>5</v>
      </c>
      <c r="AA9" s="7" t="s">
        <v>6</v>
      </c>
      <c r="AB9" s="7" t="s">
        <v>7</v>
      </c>
      <c r="AC9" s="8" t="s">
        <v>8</v>
      </c>
      <c r="AD9" s="88"/>
    </row>
    <row r="10" spans="1:30">
      <c r="A10" s="9">
        <v>1</v>
      </c>
      <c r="B10" s="9">
        <v>2</v>
      </c>
      <c r="C10" s="9">
        <v>3</v>
      </c>
      <c r="D10" s="9">
        <v>4</v>
      </c>
      <c r="E10" s="9">
        <v>5</v>
      </c>
      <c r="F10" s="9">
        <v>6</v>
      </c>
      <c r="G10" s="9">
        <v>7</v>
      </c>
      <c r="H10" s="9">
        <v>8</v>
      </c>
      <c r="I10" s="9">
        <v>9</v>
      </c>
      <c r="J10" s="9">
        <v>10</v>
      </c>
      <c r="K10" s="9">
        <v>11</v>
      </c>
      <c r="L10" s="9">
        <v>12</v>
      </c>
      <c r="M10" s="9">
        <v>13</v>
      </c>
      <c r="N10" s="9">
        <v>14</v>
      </c>
      <c r="O10" s="9">
        <v>15</v>
      </c>
      <c r="P10" s="9">
        <v>16</v>
      </c>
      <c r="Q10" s="9">
        <v>17</v>
      </c>
      <c r="R10" s="9">
        <v>18</v>
      </c>
      <c r="S10" s="9">
        <v>19</v>
      </c>
      <c r="T10" s="9">
        <v>20</v>
      </c>
      <c r="U10" s="9">
        <v>21</v>
      </c>
      <c r="V10" s="9">
        <v>22</v>
      </c>
      <c r="W10" s="9">
        <v>23</v>
      </c>
      <c r="X10" s="9">
        <v>24</v>
      </c>
      <c r="Y10" s="9">
        <v>25</v>
      </c>
      <c r="Z10" s="9">
        <v>26</v>
      </c>
      <c r="AA10" s="9">
        <v>27</v>
      </c>
      <c r="AB10" s="9">
        <v>28</v>
      </c>
      <c r="AC10" s="9">
        <v>29</v>
      </c>
      <c r="AD10" s="9">
        <v>30</v>
      </c>
    </row>
    <row r="11" spans="1:30">
      <c r="A11" s="95" t="s">
        <v>150</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7"/>
    </row>
    <row r="12" spans="1:30">
      <c r="A12" s="10" t="s">
        <v>89</v>
      </c>
      <c r="B12" s="81" t="s">
        <v>151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3"/>
    </row>
    <row r="13" spans="1:30" ht="47.25">
      <c r="A13" s="11" t="s">
        <v>9</v>
      </c>
      <c r="B13" s="12" t="s">
        <v>32</v>
      </c>
      <c r="C13" s="76" t="s">
        <v>11</v>
      </c>
      <c r="D13" s="13" t="s">
        <v>39</v>
      </c>
      <c r="E13" s="14">
        <f>SUM(F13:I13)</f>
        <v>28350</v>
      </c>
      <c r="F13" s="14">
        <f>43350-15000</f>
        <v>28350</v>
      </c>
      <c r="G13" s="14">
        <v>0</v>
      </c>
      <c r="H13" s="14">
        <v>0</v>
      </c>
      <c r="I13" s="14">
        <v>0</v>
      </c>
      <c r="J13" s="14">
        <f>K13+L13+M13+N13</f>
        <v>26292</v>
      </c>
      <c r="K13" s="14">
        <f>19722+15778-9208</f>
        <v>26292</v>
      </c>
      <c r="L13" s="14">
        <v>0</v>
      </c>
      <c r="M13" s="14">
        <v>0</v>
      </c>
      <c r="N13" s="14">
        <v>0</v>
      </c>
      <c r="O13" s="14">
        <f>P13+Q13+R13+S13</f>
        <v>27273</v>
      </c>
      <c r="P13" s="14">
        <f>42513-15240</f>
        <v>27273</v>
      </c>
      <c r="Q13" s="14">
        <v>0</v>
      </c>
      <c r="R13" s="14">
        <v>0</v>
      </c>
      <c r="S13" s="14">
        <v>0</v>
      </c>
      <c r="T13" s="14">
        <f>U13+V13+W13+X13</f>
        <v>21084</v>
      </c>
      <c r="U13" s="14">
        <f>36216-4362-339-10431</f>
        <v>21084</v>
      </c>
      <c r="V13" s="14">
        <v>0</v>
      </c>
      <c r="W13" s="14">
        <v>0</v>
      </c>
      <c r="X13" s="14">
        <v>0</v>
      </c>
      <c r="Y13" s="15">
        <f>Z13+AA13+AB13+AC13</f>
        <v>31084</v>
      </c>
      <c r="Z13" s="15">
        <v>31084</v>
      </c>
      <c r="AA13" s="14">
        <v>0</v>
      </c>
      <c r="AB13" s="14">
        <v>0</v>
      </c>
      <c r="AC13" s="14">
        <v>0</v>
      </c>
      <c r="AD13" s="16">
        <f t="shared" ref="AD13:AD18" si="0">E13+J13+O13+T13+Y13</f>
        <v>134083</v>
      </c>
    </row>
    <row r="14" spans="1:30" ht="47.25">
      <c r="A14" s="11" t="s">
        <v>10</v>
      </c>
      <c r="B14" s="17" t="s">
        <v>117</v>
      </c>
      <c r="C14" s="77"/>
      <c r="D14" s="13" t="s">
        <v>39</v>
      </c>
      <c r="E14" s="14">
        <f>SUM(F14:I14)</f>
        <v>7359</v>
      </c>
      <c r="F14" s="14">
        <f>12748-5387-2060</f>
        <v>5301</v>
      </c>
      <c r="G14" s="14">
        <v>0</v>
      </c>
      <c r="H14" s="14">
        <v>0</v>
      </c>
      <c r="I14" s="14">
        <f>4602-2544</f>
        <v>2058</v>
      </c>
      <c r="J14" s="14">
        <v>0</v>
      </c>
      <c r="K14" s="14">
        <v>0</v>
      </c>
      <c r="L14" s="14">
        <v>0</v>
      </c>
      <c r="M14" s="14">
        <v>0</v>
      </c>
      <c r="N14" s="14">
        <v>0</v>
      </c>
      <c r="O14" s="14">
        <v>0</v>
      </c>
      <c r="P14" s="14">
        <v>0</v>
      </c>
      <c r="Q14" s="14">
        <v>0</v>
      </c>
      <c r="R14" s="14">
        <v>0</v>
      </c>
      <c r="S14" s="14">
        <v>0</v>
      </c>
      <c r="T14" s="14">
        <f>U14+V14+W14+X14</f>
        <v>0</v>
      </c>
      <c r="U14" s="14">
        <v>0</v>
      </c>
      <c r="V14" s="14">
        <v>0</v>
      </c>
      <c r="W14" s="14">
        <v>0</v>
      </c>
      <c r="X14" s="14">
        <v>0</v>
      </c>
      <c r="Y14" s="14">
        <f>Z14+AA14+AB14+AC14</f>
        <v>0</v>
      </c>
      <c r="Z14" s="14">
        <v>0</v>
      </c>
      <c r="AA14" s="14">
        <v>0</v>
      </c>
      <c r="AB14" s="14">
        <v>0</v>
      </c>
      <c r="AC14" s="14">
        <v>0</v>
      </c>
      <c r="AD14" s="18">
        <f t="shared" si="0"/>
        <v>7359</v>
      </c>
    </row>
    <row r="15" spans="1:30" ht="47.25">
      <c r="A15" s="11" t="s">
        <v>12</v>
      </c>
      <c r="B15" s="19" t="s">
        <v>54</v>
      </c>
      <c r="C15" s="20" t="s">
        <v>148</v>
      </c>
      <c r="D15" s="10" t="s">
        <v>39</v>
      </c>
      <c r="E15" s="14">
        <f>F15+G15+H15+I15</f>
        <v>8260</v>
      </c>
      <c r="F15" s="14">
        <f>8260</f>
        <v>8260</v>
      </c>
      <c r="G15" s="14">
        <v>0</v>
      </c>
      <c r="H15" s="14">
        <v>0</v>
      </c>
      <c r="I15" s="14">
        <v>0</v>
      </c>
      <c r="J15" s="14">
        <f>K15+L15+M15+N15</f>
        <v>11513</v>
      </c>
      <c r="K15" s="14">
        <v>11513</v>
      </c>
      <c r="L15" s="14">
        <v>0</v>
      </c>
      <c r="M15" s="14">
        <v>0</v>
      </c>
      <c r="N15" s="14">
        <v>0</v>
      </c>
      <c r="O15" s="14">
        <f>P15+Q15+R15+S15</f>
        <v>10547</v>
      </c>
      <c r="P15" s="14">
        <v>10547</v>
      </c>
      <c r="Q15" s="14">
        <v>0</v>
      </c>
      <c r="R15" s="14">
        <v>0</v>
      </c>
      <c r="S15" s="14">
        <v>0</v>
      </c>
      <c r="T15" s="14">
        <f>U15+V15+W15+X15</f>
        <v>12492</v>
      </c>
      <c r="U15" s="14">
        <f>11663+829</f>
        <v>12492</v>
      </c>
      <c r="V15" s="14">
        <v>0</v>
      </c>
      <c r="W15" s="14">
        <v>0</v>
      </c>
      <c r="X15" s="14">
        <v>0</v>
      </c>
      <c r="Y15" s="15">
        <f>Z15+AA15+AB15+AC15</f>
        <v>17157</v>
      </c>
      <c r="Z15" s="15">
        <v>17157</v>
      </c>
      <c r="AA15" s="14">
        <v>0</v>
      </c>
      <c r="AB15" s="14">
        <v>0</v>
      </c>
      <c r="AC15" s="14">
        <v>0</v>
      </c>
      <c r="AD15" s="16">
        <f t="shared" si="0"/>
        <v>59969</v>
      </c>
    </row>
    <row r="16" spans="1:30" ht="47.25">
      <c r="A16" s="11" t="s">
        <v>13</v>
      </c>
      <c r="B16" s="21" t="s">
        <v>118</v>
      </c>
      <c r="C16" s="22" t="s">
        <v>11</v>
      </c>
      <c r="D16" s="10" t="s">
        <v>39</v>
      </c>
      <c r="E16" s="14">
        <f>F16+G16+H16+I16</f>
        <v>586.36999999999978</v>
      </c>
      <c r="F16" s="14">
        <f>3300-2825.3</f>
        <v>474.69999999999982</v>
      </c>
      <c r="G16" s="14">
        <v>0</v>
      </c>
      <c r="H16" s="14">
        <v>0</v>
      </c>
      <c r="I16" s="14">
        <f>775-663.33</f>
        <v>111.66999999999996</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8">
        <f t="shared" si="0"/>
        <v>586.36999999999978</v>
      </c>
    </row>
    <row r="17" spans="1:31" ht="44.25" customHeight="1">
      <c r="A17" s="11" t="s">
        <v>14</v>
      </c>
      <c r="B17" s="21" t="s">
        <v>80</v>
      </c>
      <c r="C17" s="20" t="s">
        <v>40</v>
      </c>
      <c r="D17" s="23">
        <v>2020</v>
      </c>
      <c r="E17" s="14">
        <f t="shared" ref="E17:E22" si="1">F17+G17+H17+I17</f>
        <v>1192</v>
      </c>
      <c r="F17" s="14">
        <v>1192</v>
      </c>
      <c r="G17" s="14">
        <v>0</v>
      </c>
      <c r="H17" s="14">
        <v>0</v>
      </c>
      <c r="I17" s="14">
        <v>0</v>
      </c>
      <c r="J17" s="14">
        <f t="shared" ref="J17:J22" si="2">K17+L17+M17+N17</f>
        <v>0</v>
      </c>
      <c r="K17" s="14">
        <v>0</v>
      </c>
      <c r="L17" s="14">
        <v>0</v>
      </c>
      <c r="M17" s="14">
        <v>0</v>
      </c>
      <c r="N17" s="14">
        <v>0</v>
      </c>
      <c r="O17" s="14">
        <f>P17+Q17+R17+S17</f>
        <v>0</v>
      </c>
      <c r="P17" s="14">
        <v>0</v>
      </c>
      <c r="Q17" s="14">
        <v>0</v>
      </c>
      <c r="R17" s="14">
        <v>0</v>
      </c>
      <c r="S17" s="14">
        <v>0</v>
      </c>
      <c r="T17" s="14">
        <f>U17+V17+W17+X17</f>
        <v>0</v>
      </c>
      <c r="U17" s="14">
        <v>0</v>
      </c>
      <c r="V17" s="14">
        <v>0</v>
      </c>
      <c r="W17" s="14">
        <v>0</v>
      </c>
      <c r="X17" s="14">
        <v>0</v>
      </c>
      <c r="Y17" s="14">
        <f>Z17+AA17+AB17+AC17</f>
        <v>0</v>
      </c>
      <c r="Z17" s="14">
        <v>0</v>
      </c>
      <c r="AA17" s="14">
        <v>0</v>
      </c>
      <c r="AB17" s="14">
        <v>0</v>
      </c>
      <c r="AC17" s="14">
        <v>0</v>
      </c>
      <c r="AD17" s="14">
        <f t="shared" si="0"/>
        <v>1192</v>
      </c>
    </row>
    <row r="18" spans="1:31" ht="54" customHeight="1">
      <c r="A18" s="11" t="s">
        <v>69</v>
      </c>
      <c r="B18" s="21" t="s">
        <v>56</v>
      </c>
      <c r="C18" s="20" t="s">
        <v>40</v>
      </c>
      <c r="D18" s="23" t="s">
        <v>70</v>
      </c>
      <c r="E18" s="14">
        <f t="shared" si="1"/>
        <v>6060</v>
      </c>
      <c r="F18" s="14">
        <f>6183-123</f>
        <v>6060</v>
      </c>
      <c r="G18" s="14">
        <v>0</v>
      </c>
      <c r="H18" s="14">
        <v>0</v>
      </c>
      <c r="I18" s="14">
        <v>0</v>
      </c>
      <c r="J18" s="14">
        <f t="shared" si="2"/>
        <v>5586</v>
      </c>
      <c r="K18" s="14">
        <f>5832-126-120</f>
        <v>5586</v>
      </c>
      <c r="L18" s="14">
        <v>0</v>
      </c>
      <c r="M18" s="14">
        <v>0</v>
      </c>
      <c r="N18" s="14">
        <v>0</v>
      </c>
      <c r="O18" s="14">
        <f>P18+Q18+R18+S18</f>
        <v>5310</v>
      </c>
      <c r="P18" s="14">
        <f>5760-60-390</f>
        <v>5310</v>
      </c>
      <c r="Q18" s="14">
        <v>0</v>
      </c>
      <c r="R18" s="14">
        <v>0</v>
      </c>
      <c r="S18" s="14">
        <v>0</v>
      </c>
      <c r="T18" s="14">
        <f>U18+V18+W18+X18</f>
        <v>5004</v>
      </c>
      <c r="U18" s="14">
        <v>5004</v>
      </c>
      <c r="V18" s="14">
        <v>0</v>
      </c>
      <c r="W18" s="14">
        <v>0</v>
      </c>
      <c r="X18" s="14">
        <v>0</v>
      </c>
      <c r="Y18" s="15">
        <f>Z18+AA18+AB18+AC18</f>
        <v>5040</v>
      </c>
      <c r="Z18" s="15">
        <v>5040</v>
      </c>
      <c r="AA18" s="14">
        <v>0</v>
      </c>
      <c r="AB18" s="14">
        <v>0</v>
      </c>
      <c r="AC18" s="14">
        <v>0</v>
      </c>
      <c r="AD18" s="15">
        <f t="shared" si="0"/>
        <v>27000</v>
      </c>
    </row>
    <row r="19" spans="1:31" ht="48.75" customHeight="1">
      <c r="A19" s="11" t="s">
        <v>72</v>
      </c>
      <c r="B19" s="24" t="s">
        <v>59</v>
      </c>
      <c r="C19" s="20" t="s">
        <v>40</v>
      </c>
      <c r="D19" s="23" t="s">
        <v>121</v>
      </c>
      <c r="E19" s="14">
        <f t="shared" si="1"/>
        <v>785</v>
      </c>
      <c r="F19" s="14">
        <v>785</v>
      </c>
      <c r="G19" s="14">
        <v>0</v>
      </c>
      <c r="H19" s="14">
        <v>0</v>
      </c>
      <c r="I19" s="14">
        <v>0</v>
      </c>
      <c r="J19" s="14">
        <f t="shared" si="2"/>
        <v>90</v>
      </c>
      <c r="K19" s="14">
        <v>90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f>E19+J19+O19+T19+Y19</f>
        <v>875</v>
      </c>
    </row>
    <row r="20" spans="1:31" ht="50.25" customHeight="1">
      <c r="A20" s="11" t="s">
        <v>78</v>
      </c>
      <c r="B20" s="24" t="s">
        <v>61</v>
      </c>
      <c r="C20" s="20" t="s">
        <v>40</v>
      </c>
      <c r="D20" s="23">
        <v>2020</v>
      </c>
      <c r="E20" s="14">
        <f t="shared" si="1"/>
        <v>110</v>
      </c>
      <c r="F20" s="14">
        <v>110</v>
      </c>
      <c r="G20" s="14">
        <v>0</v>
      </c>
      <c r="H20" s="14">
        <v>0</v>
      </c>
      <c r="I20" s="14">
        <v>0</v>
      </c>
      <c r="J20" s="14">
        <f t="shared" si="2"/>
        <v>0</v>
      </c>
      <c r="K20" s="14">
        <v>0</v>
      </c>
      <c r="L20" s="14">
        <v>0</v>
      </c>
      <c r="M20" s="14">
        <v>0</v>
      </c>
      <c r="N20" s="14">
        <v>0</v>
      </c>
      <c r="O20" s="14">
        <f t="shared" ref="O20:O26" si="3">P20+Q20+R20+S20</f>
        <v>0</v>
      </c>
      <c r="P20" s="14">
        <v>0</v>
      </c>
      <c r="Q20" s="14">
        <v>0</v>
      </c>
      <c r="R20" s="14">
        <v>0</v>
      </c>
      <c r="S20" s="14">
        <v>0</v>
      </c>
      <c r="T20" s="14">
        <f t="shared" ref="T20:T26" si="4">U20+V20+W20+X20</f>
        <v>0</v>
      </c>
      <c r="U20" s="14">
        <v>0</v>
      </c>
      <c r="V20" s="14">
        <v>0</v>
      </c>
      <c r="W20" s="14">
        <v>0</v>
      </c>
      <c r="X20" s="14">
        <v>0</v>
      </c>
      <c r="Y20" s="14">
        <f>Z20+AA20+AB20+AC20</f>
        <v>0</v>
      </c>
      <c r="Z20" s="14">
        <v>0</v>
      </c>
      <c r="AA20" s="14">
        <v>0</v>
      </c>
      <c r="AB20" s="14">
        <v>0</v>
      </c>
      <c r="AC20" s="14">
        <v>0</v>
      </c>
      <c r="AD20" s="14">
        <f t="shared" ref="AD20:AD26" si="5">E20+J20+O20+T20+Y20</f>
        <v>110</v>
      </c>
    </row>
    <row r="21" spans="1:31" ht="54" customHeight="1">
      <c r="A21" s="11" t="s">
        <v>81</v>
      </c>
      <c r="B21" s="24" t="s">
        <v>57</v>
      </c>
      <c r="C21" s="20" t="s">
        <v>40</v>
      </c>
      <c r="D21" s="23">
        <v>2020</v>
      </c>
      <c r="E21" s="14">
        <f t="shared" si="1"/>
        <v>53</v>
      </c>
      <c r="F21" s="14">
        <v>53</v>
      </c>
      <c r="G21" s="14">
        <v>0</v>
      </c>
      <c r="H21" s="14">
        <v>0</v>
      </c>
      <c r="I21" s="14">
        <v>0</v>
      </c>
      <c r="J21" s="14">
        <f t="shared" si="2"/>
        <v>0</v>
      </c>
      <c r="K21" s="14">
        <v>0</v>
      </c>
      <c r="L21" s="14">
        <v>0</v>
      </c>
      <c r="M21" s="14">
        <v>0</v>
      </c>
      <c r="N21" s="14">
        <v>0</v>
      </c>
      <c r="O21" s="14">
        <f t="shared" si="3"/>
        <v>0</v>
      </c>
      <c r="P21" s="14">
        <v>0</v>
      </c>
      <c r="Q21" s="14">
        <v>0</v>
      </c>
      <c r="R21" s="14">
        <v>0</v>
      </c>
      <c r="S21" s="14">
        <v>0</v>
      </c>
      <c r="T21" s="14">
        <f t="shared" si="4"/>
        <v>0</v>
      </c>
      <c r="U21" s="14">
        <v>0</v>
      </c>
      <c r="V21" s="14">
        <v>0</v>
      </c>
      <c r="W21" s="14">
        <v>0</v>
      </c>
      <c r="X21" s="14">
        <v>0</v>
      </c>
      <c r="Y21" s="14">
        <f>Z21+AA21+AB21+AC21</f>
        <v>0</v>
      </c>
      <c r="Z21" s="14">
        <v>0</v>
      </c>
      <c r="AA21" s="14">
        <v>0</v>
      </c>
      <c r="AB21" s="14">
        <v>0</v>
      </c>
      <c r="AC21" s="14">
        <v>0</v>
      </c>
      <c r="AD21" s="14">
        <f t="shared" si="5"/>
        <v>53</v>
      </c>
    </row>
    <row r="22" spans="1:31" ht="52.5" customHeight="1">
      <c r="A22" s="11" t="s">
        <v>82</v>
      </c>
      <c r="B22" s="24" t="s">
        <v>58</v>
      </c>
      <c r="C22" s="20" t="s">
        <v>40</v>
      </c>
      <c r="D22" s="23">
        <v>2020</v>
      </c>
      <c r="E22" s="14">
        <f t="shared" si="1"/>
        <v>130</v>
      </c>
      <c r="F22" s="14">
        <f>112+18</f>
        <v>130</v>
      </c>
      <c r="G22" s="14">
        <v>0</v>
      </c>
      <c r="H22" s="14">
        <v>0</v>
      </c>
      <c r="I22" s="14">
        <v>0</v>
      </c>
      <c r="J22" s="14">
        <f t="shared" si="2"/>
        <v>0</v>
      </c>
      <c r="K22" s="14">
        <v>0</v>
      </c>
      <c r="L22" s="14">
        <v>0</v>
      </c>
      <c r="M22" s="14">
        <v>0</v>
      </c>
      <c r="N22" s="14">
        <v>0</v>
      </c>
      <c r="O22" s="14">
        <f t="shared" si="3"/>
        <v>0</v>
      </c>
      <c r="P22" s="14">
        <v>0</v>
      </c>
      <c r="Q22" s="14">
        <v>0</v>
      </c>
      <c r="R22" s="14">
        <v>0</v>
      </c>
      <c r="S22" s="14">
        <v>0</v>
      </c>
      <c r="T22" s="14">
        <f t="shared" si="4"/>
        <v>0</v>
      </c>
      <c r="U22" s="14">
        <v>0</v>
      </c>
      <c r="V22" s="14">
        <v>0</v>
      </c>
      <c r="W22" s="14">
        <v>0</v>
      </c>
      <c r="X22" s="14">
        <v>0</v>
      </c>
      <c r="Y22" s="14">
        <f>Z22+AA22+AB22+AC22</f>
        <v>0</v>
      </c>
      <c r="Z22" s="14">
        <v>0</v>
      </c>
      <c r="AA22" s="14">
        <v>0</v>
      </c>
      <c r="AB22" s="14">
        <v>0</v>
      </c>
      <c r="AC22" s="14">
        <v>0</v>
      </c>
      <c r="AD22" s="14">
        <f t="shared" si="5"/>
        <v>130</v>
      </c>
    </row>
    <row r="23" spans="1:31" ht="60" customHeight="1">
      <c r="A23" s="11" t="s">
        <v>83</v>
      </c>
      <c r="B23" s="24" t="s">
        <v>60</v>
      </c>
      <c r="C23" s="20" t="s">
        <v>40</v>
      </c>
      <c r="D23" s="23" t="s">
        <v>70</v>
      </c>
      <c r="E23" s="14">
        <v>120</v>
      </c>
      <c r="F23" s="14">
        <v>120</v>
      </c>
      <c r="G23" s="14">
        <v>0</v>
      </c>
      <c r="H23" s="14">
        <v>0</v>
      </c>
      <c r="I23" s="14">
        <v>0</v>
      </c>
      <c r="J23" s="14">
        <f>K23+L23+M23+N23</f>
        <v>0</v>
      </c>
      <c r="K23" s="14">
        <f>60-60</f>
        <v>0</v>
      </c>
      <c r="L23" s="14">
        <v>0</v>
      </c>
      <c r="M23" s="14">
        <v>0</v>
      </c>
      <c r="N23" s="14">
        <v>0</v>
      </c>
      <c r="O23" s="14">
        <f t="shared" si="3"/>
        <v>120</v>
      </c>
      <c r="P23" s="14">
        <f>60+60</f>
        <v>120</v>
      </c>
      <c r="Q23" s="14">
        <v>0</v>
      </c>
      <c r="R23" s="14">
        <v>0</v>
      </c>
      <c r="S23" s="14">
        <v>0</v>
      </c>
      <c r="T23" s="14">
        <f>U23+V23+W23+X23</f>
        <v>60</v>
      </c>
      <c r="U23" s="14">
        <f>30+30</f>
        <v>60</v>
      </c>
      <c r="V23" s="14">
        <v>0</v>
      </c>
      <c r="W23" s="14">
        <v>0</v>
      </c>
      <c r="X23" s="14">
        <v>0</v>
      </c>
      <c r="Y23" s="15">
        <f>Z23+AA23+AB23+AC23</f>
        <v>30</v>
      </c>
      <c r="Z23" s="15">
        <v>30</v>
      </c>
      <c r="AA23" s="15">
        <v>0</v>
      </c>
      <c r="AB23" s="14">
        <v>0</v>
      </c>
      <c r="AC23" s="14">
        <v>0</v>
      </c>
      <c r="AD23" s="14">
        <f>E23+J23+O23+T23+Y23</f>
        <v>330</v>
      </c>
    </row>
    <row r="24" spans="1:31" ht="32.25" customHeight="1">
      <c r="A24" s="11" t="s">
        <v>84</v>
      </c>
      <c r="B24" s="24" t="s">
        <v>77</v>
      </c>
      <c r="C24" s="20" t="s">
        <v>22</v>
      </c>
      <c r="D24" s="23" t="s">
        <v>126</v>
      </c>
      <c r="E24" s="14">
        <v>23068</v>
      </c>
      <c r="F24" s="14">
        <v>0</v>
      </c>
      <c r="G24" s="14">
        <v>23068</v>
      </c>
      <c r="H24" s="14">
        <v>0</v>
      </c>
      <c r="I24" s="14">
        <v>0</v>
      </c>
      <c r="J24" s="14">
        <f>K24+L24+M24+N24</f>
        <v>22592</v>
      </c>
      <c r="K24" s="14">
        <v>0</v>
      </c>
      <c r="L24" s="14">
        <f>23742-1150</f>
        <v>22592</v>
      </c>
      <c r="M24" s="14">
        <v>0</v>
      </c>
      <c r="N24" s="14">
        <v>0</v>
      </c>
      <c r="O24" s="14">
        <f t="shared" si="3"/>
        <v>25095.52</v>
      </c>
      <c r="P24" s="14">
        <v>0</v>
      </c>
      <c r="Q24" s="14">
        <f>24077+1018.52</f>
        <v>25095.52</v>
      </c>
      <c r="R24" s="14">
        <v>0</v>
      </c>
      <c r="S24" s="14">
        <v>0</v>
      </c>
      <c r="T24" s="14">
        <f t="shared" si="4"/>
        <v>25952</v>
      </c>
      <c r="U24" s="14">
        <v>0</v>
      </c>
      <c r="V24" s="14">
        <v>25952</v>
      </c>
      <c r="W24" s="14">
        <v>0</v>
      </c>
      <c r="X24" s="14">
        <v>0</v>
      </c>
      <c r="Y24" s="15">
        <v>26490</v>
      </c>
      <c r="Z24" s="15">
        <v>0</v>
      </c>
      <c r="AA24" s="15">
        <v>26490</v>
      </c>
      <c r="AB24" s="14">
        <v>0</v>
      </c>
      <c r="AC24" s="14">
        <v>0</v>
      </c>
      <c r="AD24" s="15">
        <f>E24+J24+O24+T24+Y24</f>
        <v>123197.52</v>
      </c>
    </row>
    <row r="25" spans="1:31" ht="36.75" customHeight="1">
      <c r="A25" s="11" t="s">
        <v>85</v>
      </c>
      <c r="B25" s="24" t="s">
        <v>76</v>
      </c>
      <c r="C25" s="20" t="s">
        <v>22</v>
      </c>
      <c r="D25" s="23" t="s">
        <v>133</v>
      </c>
      <c r="E25" s="14">
        <v>238</v>
      </c>
      <c r="F25" s="25">
        <v>0</v>
      </c>
      <c r="G25" s="14">
        <v>238</v>
      </c>
      <c r="H25" s="14">
        <v>0</v>
      </c>
      <c r="I25" s="14">
        <v>0</v>
      </c>
      <c r="J25" s="14">
        <f>K25+L25+M25+N25</f>
        <v>476</v>
      </c>
      <c r="K25" s="14">
        <v>0</v>
      </c>
      <c r="L25" s="14">
        <v>476</v>
      </c>
      <c r="M25" s="14">
        <v>0</v>
      </c>
      <c r="N25" s="14">
        <v>0</v>
      </c>
      <c r="O25" s="14">
        <f t="shared" si="3"/>
        <v>2380</v>
      </c>
      <c r="P25" s="14">
        <v>0</v>
      </c>
      <c r="Q25" s="14">
        <f>476+1428+476</f>
        <v>2380</v>
      </c>
      <c r="R25" s="14">
        <v>0</v>
      </c>
      <c r="S25" s="14">
        <v>0</v>
      </c>
      <c r="T25" s="14">
        <f>V25</f>
        <v>4285</v>
      </c>
      <c r="U25" s="14">
        <v>0</v>
      </c>
      <c r="V25" s="14">
        <f>2142+2142+1</f>
        <v>4285</v>
      </c>
      <c r="W25" s="14">
        <v>0</v>
      </c>
      <c r="X25" s="14">
        <v>0</v>
      </c>
      <c r="Y25" s="15">
        <v>2380</v>
      </c>
      <c r="Z25" s="15">
        <v>0</v>
      </c>
      <c r="AA25" s="15">
        <v>2380</v>
      </c>
      <c r="AB25" s="14">
        <v>0</v>
      </c>
      <c r="AC25" s="14">
        <v>0</v>
      </c>
      <c r="AD25" s="15">
        <f>E25+J25+O25+T25+Y25</f>
        <v>9759</v>
      </c>
    </row>
    <row r="26" spans="1:31" ht="63" customHeight="1">
      <c r="A26" s="11" t="s">
        <v>86</v>
      </c>
      <c r="B26" s="21" t="s">
        <v>87</v>
      </c>
      <c r="C26" s="20" t="s">
        <v>40</v>
      </c>
      <c r="D26" s="23">
        <v>2020</v>
      </c>
      <c r="E26" s="14">
        <f>F26+G26+H26+I26</f>
        <v>120</v>
      </c>
      <c r="F26" s="14">
        <f>300-180</f>
        <v>120</v>
      </c>
      <c r="G26" s="14">
        <v>0</v>
      </c>
      <c r="H26" s="14">
        <v>0</v>
      </c>
      <c r="I26" s="14">
        <v>0</v>
      </c>
      <c r="J26" s="14">
        <f>K26+L26+M26+N26</f>
        <v>0</v>
      </c>
      <c r="K26" s="14">
        <v>0</v>
      </c>
      <c r="L26" s="14">
        <v>0</v>
      </c>
      <c r="M26" s="14">
        <v>0</v>
      </c>
      <c r="N26" s="14">
        <v>0</v>
      </c>
      <c r="O26" s="14">
        <f t="shared" si="3"/>
        <v>0</v>
      </c>
      <c r="P26" s="14">
        <v>0</v>
      </c>
      <c r="Q26" s="14">
        <v>0</v>
      </c>
      <c r="R26" s="14">
        <v>0</v>
      </c>
      <c r="S26" s="14">
        <v>0</v>
      </c>
      <c r="T26" s="14">
        <f t="shared" si="4"/>
        <v>0</v>
      </c>
      <c r="U26" s="14">
        <v>0</v>
      </c>
      <c r="V26" s="14">
        <v>0</v>
      </c>
      <c r="W26" s="14">
        <v>0</v>
      </c>
      <c r="X26" s="14">
        <v>0</v>
      </c>
      <c r="Y26" s="14">
        <f>Z26+AA26+AB26+AC26</f>
        <v>0</v>
      </c>
      <c r="Z26" s="14">
        <v>0</v>
      </c>
      <c r="AA26" s="14">
        <v>0</v>
      </c>
      <c r="AB26" s="14">
        <v>0</v>
      </c>
      <c r="AC26" s="14">
        <v>0</v>
      </c>
      <c r="AD26" s="14">
        <f t="shared" si="5"/>
        <v>120</v>
      </c>
    </row>
    <row r="27" spans="1:31" ht="62.25" customHeight="1">
      <c r="A27" s="11" t="s">
        <v>147</v>
      </c>
      <c r="B27" s="26" t="s">
        <v>165</v>
      </c>
      <c r="C27" s="20" t="s">
        <v>116</v>
      </c>
      <c r="D27" s="23">
        <v>2024</v>
      </c>
      <c r="E27" s="14">
        <v>0</v>
      </c>
      <c r="F27" s="14">
        <v>0</v>
      </c>
      <c r="G27" s="14">
        <v>0</v>
      </c>
      <c r="H27" s="14">
        <v>0</v>
      </c>
      <c r="I27" s="14">
        <v>0</v>
      </c>
      <c r="J27" s="14">
        <v>0</v>
      </c>
      <c r="K27" s="14">
        <v>0</v>
      </c>
      <c r="L27" s="14">
        <v>0</v>
      </c>
      <c r="M27" s="14">
        <v>0</v>
      </c>
      <c r="N27" s="14">
        <v>0</v>
      </c>
      <c r="O27" s="14">
        <f t="shared" ref="O27" si="6">P27+Q27+R27+S27</f>
        <v>0</v>
      </c>
      <c r="P27" s="14">
        <v>0</v>
      </c>
      <c r="Q27" s="14">
        <v>0</v>
      </c>
      <c r="R27" s="14">
        <v>0</v>
      </c>
      <c r="S27" s="14">
        <v>0</v>
      </c>
      <c r="T27" s="14">
        <f t="shared" ref="T27" si="7">U27+V27+W27+X27</f>
        <v>0</v>
      </c>
      <c r="U27" s="14">
        <v>0</v>
      </c>
      <c r="V27" s="14">
        <v>0</v>
      </c>
      <c r="W27" s="14">
        <v>0</v>
      </c>
      <c r="X27" s="14">
        <v>0</v>
      </c>
      <c r="Y27" s="15">
        <f>Z27+AA27+AB27+AC27</f>
        <v>7067</v>
      </c>
      <c r="Z27" s="15">
        <v>7067</v>
      </c>
      <c r="AA27" s="14">
        <v>0</v>
      </c>
      <c r="AB27" s="14">
        <v>0</v>
      </c>
      <c r="AC27" s="14">
        <v>0</v>
      </c>
      <c r="AD27" s="15">
        <f>Y27</f>
        <v>7067</v>
      </c>
    </row>
    <row r="28" spans="1:31">
      <c r="A28" s="66" t="s">
        <v>137</v>
      </c>
      <c r="B28" s="67"/>
      <c r="C28" s="68"/>
      <c r="D28" s="27"/>
      <c r="E28" s="18">
        <f>E29+E30+E31</f>
        <v>76431.37</v>
      </c>
      <c r="F28" s="18">
        <f>SUM(F13:F27)</f>
        <v>50955.7</v>
      </c>
      <c r="G28" s="18">
        <f>G29+G30+G31</f>
        <v>23306</v>
      </c>
      <c r="H28" s="18">
        <f>SUM(H13:H17)</f>
        <v>0</v>
      </c>
      <c r="I28" s="18">
        <f>SUM(I13:I17)</f>
        <v>2169.67</v>
      </c>
      <c r="J28" s="18">
        <f>J29+J30+J31</f>
        <v>66549</v>
      </c>
      <c r="K28" s="18">
        <f>K29+K30</f>
        <v>43481</v>
      </c>
      <c r="L28" s="18">
        <f>L13+L14+L15+L16+L17+L18+L19+L20+L21+L22+L23+L24+L25+L26</f>
        <v>23068</v>
      </c>
      <c r="M28" s="18">
        <f>SUM(M13:M17)</f>
        <v>0</v>
      </c>
      <c r="N28" s="18">
        <f>SUM(N13:N17)</f>
        <v>0</v>
      </c>
      <c r="O28" s="18">
        <f>P28+Q28+R28+S28</f>
        <v>70725.52</v>
      </c>
      <c r="P28" s="18">
        <f>P29+P30</f>
        <v>43250</v>
      </c>
      <c r="Q28" s="18">
        <f>Q29+Q30+Q31</f>
        <v>27475.52</v>
      </c>
      <c r="R28" s="18">
        <f>SUM(R13:R17)</f>
        <v>0</v>
      </c>
      <c r="S28" s="18">
        <f>SUM(S13:S17)</f>
        <v>0</v>
      </c>
      <c r="T28" s="18">
        <f>SUM(T13:T26)</f>
        <v>68877</v>
      </c>
      <c r="U28" s="18">
        <f>SUM(U13:U26)</f>
        <v>38640</v>
      </c>
      <c r="V28" s="18">
        <f>V29+V30+V31</f>
        <v>30237</v>
      </c>
      <c r="W28" s="18">
        <f>SUM(W13:W16)</f>
        <v>0</v>
      </c>
      <c r="X28" s="18">
        <f>SUM(X13:X16)</f>
        <v>0</v>
      </c>
      <c r="Y28" s="16">
        <f>Y29+Y30+Y31</f>
        <v>89248</v>
      </c>
      <c r="Z28" s="16">
        <f>Z29+Z30+Z31</f>
        <v>60378</v>
      </c>
      <c r="AA28" s="16">
        <f>AA29+AA30+AA31</f>
        <v>28870</v>
      </c>
      <c r="AB28" s="18">
        <f>SUM(AB13:AB17)</f>
        <v>0</v>
      </c>
      <c r="AC28" s="18">
        <f>SUM(AC13:AC17)</f>
        <v>0</v>
      </c>
      <c r="AD28" s="16">
        <f>AD29+AD30+AD31</f>
        <v>371830.89</v>
      </c>
    </row>
    <row r="29" spans="1:31">
      <c r="A29" s="28" t="s">
        <v>11</v>
      </c>
      <c r="B29" s="27"/>
      <c r="C29" s="29"/>
      <c r="D29" s="29"/>
      <c r="E29" s="14">
        <f>F29+G29+H29+I29</f>
        <v>36295.369999999995</v>
      </c>
      <c r="F29" s="14">
        <f>F13+F14+F16</f>
        <v>34125.699999999997</v>
      </c>
      <c r="G29" s="14">
        <f>G13+G14+G16</f>
        <v>0</v>
      </c>
      <c r="H29" s="14">
        <f>G13+G14+G16</f>
        <v>0</v>
      </c>
      <c r="I29" s="14">
        <f>I14+I16</f>
        <v>2169.67</v>
      </c>
      <c r="J29" s="14">
        <f t="shared" ref="J29:V29" si="8">J13+J14+J16</f>
        <v>26292</v>
      </c>
      <c r="K29" s="14">
        <f t="shared" si="8"/>
        <v>26292</v>
      </c>
      <c r="L29" s="14">
        <f t="shared" si="8"/>
        <v>0</v>
      </c>
      <c r="M29" s="14">
        <f t="shared" si="8"/>
        <v>0</v>
      </c>
      <c r="N29" s="14">
        <f t="shared" si="8"/>
        <v>0</v>
      </c>
      <c r="O29" s="14">
        <f t="shared" si="8"/>
        <v>27273</v>
      </c>
      <c r="P29" s="14">
        <f t="shared" si="8"/>
        <v>27273</v>
      </c>
      <c r="Q29" s="14">
        <f t="shared" si="8"/>
        <v>0</v>
      </c>
      <c r="R29" s="14">
        <f t="shared" si="8"/>
        <v>0</v>
      </c>
      <c r="S29" s="14">
        <f t="shared" si="8"/>
        <v>0</v>
      </c>
      <c r="T29" s="14">
        <f t="shared" si="8"/>
        <v>21084</v>
      </c>
      <c r="U29" s="14">
        <f t="shared" si="8"/>
        <v>21084</v>
      </c>
      <c r="V29" s="14">
        <f t="shared" si="8"/>
        <v>0</v>
      </c>
      <c r="W29" s="14">
        <f>W13+W14+W16</f>
        <v>0</v>
      </c>
      <c r="X29" s="14">
        <f t="shared" ref="X29:AC29" si="9">X13+X14+X16</f>
        <v>0</v>
      </c>
      <c r="Y29" s="15">
        <f t="shared" si="9"/>
        <v>31084</v>
      </c>
      <c r="Z29" s="15">
        <f>Z13+Z14+Z16</f>
        <v>31084</v>
      </c>
      <c r="AA29" s="14">
        <f t="shared" si="9"/>
        <v>0</v>
      </c>
      <c r="AB29" s="14">
        <f t="shared" si="9"/>
        <v>0</v>
      </c>
      <c r="AC29" s="14">
        <f t="shared" si="9"/>
        <v>0</v>
      </c>
      <c r="AD29" s="15">
        <f>E29+J29+O29+T29+Y29</f>
        <v>142028.37</v>
      </c>
    </row>
    <row r="30" spans="1:31">
      <c r="A30" s="28" t="s">
        <v>64</v>
      </c>
      <c r="B30" s="30"/>
      <c r="C30" s="31"/>
      <c r="D30" s="29"/>
      <c r="E30" s="14">
        <f>E15+E17+E18+E19+E20+E21+E22+E23+E26</f>
        <v>16830</v>
      </c>
      <c r="F30" s="14">
        <f>F15+F17+F18+F19+F20+F21+F22+F23+F26</f>
        <v>16830</v>
      </c>
      <c r="G30" s="14">
        <f>G15+G16</f>
        <v>0</v>
      </c>
      <c r="H30" s="14">
        <f>H15+H17+H18+H19+H20+H21+H22+H23+H26</f>
        <v>0</v>
      </c>
      <c r="I30" s="14">
        <f>I15+I17+I17+I18+I19+I20+I21+I22+I23+I26</f>
        <v>0</v>
      </c>
      <c r="J30" s="14">
        <f>J15+J17+J18+J19+J20+J21+J22+J23+J26</f>
        <v>17189</v>
      </c>
      <c r="K30" s="14">
        <f>K15+K17+K18+K19+K20+K21+K22+K23+K26</f>
        <v>17189</v>
      </c>
      <c r="L30" s="14">
        <f>L15+L17+L18+L19+L20+L21+L22+L23+L26</f>
        <v>0</v>
      </c>
      <c r="M30" s="14">
        <f>M24+M25</f>
        <v>0</v>
      </c>
      <c r="N30" s="14">
        <f>N24+N25</f>
        <v>0</v>
      </c>
      <c r="O30" s="14">
        <f>O15+O17+O18+O19+O20+O21+O22+O23+O26</f>
        <v>15977</v>
      </c>
      <c r="P30" s="14">
        <f>P15+P17+P18+P19+P20+P21+P22+P23+P26</f>
        <v>15977</v>
      </c>
      <c r="Q30" s="14">
        <f t="shared" ref="Q30:AC30" si="10">Q15+Q17+Q18+Q19+Q20+Q21+Q22+Q23+Q26</f>
        <v>0</v>
      </c>
      <c r="R30" s="14">
        <f t="shared" si="10"/>
        <v>0</v>
      </c>
      <c r="S30" s="14">
        <f t="shared" si="10"/>
        <v>0</v>
      </c>
      <c r="T30" s="14">
        <f>T15+T18+T23</f>
        <v>17556</v>
      </c>
      <c r="U30" s="14">
        <f>U15+U17+U18+U19+U20+U21+U22+U23</f>
        <v>17556</v>
      </c>
      <c r="V30" s="14">
        <f>V15+V17+V18+V19+V20+V21+V22</f>
        <v>0</v>
      </c>
      <c r="W30" s="14">
        <f t="shared" si="10"/>
        <v>0</v>
      </c>
      <c r="X30" s="14">
        <f t="shared" si="10"/>
        <v>0</v>
      </c>
      <c r="Y30" s="15">
        <f>Y15+Y18+Y23+Y27</f>
        <v>29294</v>
      </c>
      <c r="Z30" s="15">
        <f>Z15+Z18+Z23+Z27</f>
        <v>29294</v>
      </c>
      <c r="AA30" s="14">
        <f t="shared" si="10"/>
        <v>0</v>
      </c>
      <c r="AB30" s="14">
        <f t="shared" si="10"/>
        <v>0</v>
      </c>
      <c r="AC30" s="14">
        <f t="shared" si="10"/>
        <v>0</v>
      </c>
      <c r="AD30" s="15">
        <f>E30+J30+O30+T30+Y30</f>
        <v>96846</v>
      </c>
      <c r="AE30" s="32"/>
    </row>
    <row r="31" spans="1:31">
      <c r="A31" s="27" t="s">
        <v>28</v>
      </c>
      <c r="B31" s="29"/>
      <c r="C31" s="29"/>
      <c r="D31" s="33"/>
      <c r="E31" s="14">
        <f t="shared" ref="E31:S31" si="11">E24+E25</f>
        <v>23306</v>
      </c>
      <c r="F31" s="14">
        <f t="shared" si="11"/>
        <v>0</v>
      </c>
      <c r="G31" s="14">
        <f t="shared" si="11"/>
        <v>23306</v>
      </c>
      <c r="H31" s="14">
        <f t="shared" si="11"/>
        <v>0</v>
      </c>
      <c r="I31" s="14">
        <f t="shared" si="11"/>
        <v>0</v>
      </c>
      <c r="J31" s="14">
        <f t="shared" si="11"/>
        <v>23068</v>
      </c>
      <c r="K31" s="14">
        <f t="shared" si="11"/>
        <v>0</v>
      </c>
      <c r="L31" s="14">
        <f t="shared" si="11"/>
        <v>23068</v>
      </c>
      <c r="M31" s="14">
        <f t="shared" si="11"/>
        <v>0</v>
      </c>
      <c r="N31" s="14">
        <f t="shared" si="11"/>
        <v>0</v>
      </c>
      <c r="O31" s="14">
        <f t="shared" si="11"/>
        <v>27475.52</v>
      </c>
      <c r="P31" s="14">
        <f t="shared" si="11"/>
        <v>0</v>
      </c>
      <c r="Q31" s="14">
        <f>Q24+Q25</f>
        <v>27475.52</v>
      </c>
      <c r="R31" s="14">
        <f t="shared" si="11"/>
        <v>0</v>
      </c>
      <c r="S31" s="14">
        <f t="shared" si="11"/>
        <v>0</v>
      </c>
      <c r="T31" s="14">
        <f>T24+T25</f>
        <v>30237</v>
      </c>
      <c r="U31" s="14">
        <f>U25+U24</f>
        <v>0</v>
      </c>
      <c r="V31" s="14">
        <f>V25+V24</f>
        <v>30237</v>
      </c>
      <c r="W31" s="14">
        <f t="shared" ref="W31:AC31" si="12">W24+W25</f>
        <v>0</v>
      </c>
      <c r="X31" s="14">
        <f t="shared" si="12"/>
        <v>0</v>
      </c>
      <c r="Y31" s="15">
        <f>Y24+Y25</f>
        <v>28870</v>
      </c>
      <c r="Z31" s="15">
        <f t="shared" si="12"/>
        <v>0</v>
      </c>
      <c r="AA31" s="15">
        <f>AA24+AA25</f>
        <v>28870</v>
      </c>
      <c r="AB31" s="14">
        <f t="shared" si="12"/>
        <v>0</v>
      </c>
      <c r="AC31" s="14">
        <f t="shared" si="12"/>
        <v>0</v>
      </c>
      <c r="AD31" s="15">
        <f>E31+J31+O31+T31+Y31</f>
        <v>132956.52000000002</v>
      </c>
      <c r="AE31" s="32"/>
    </row>
    <row r="32" spans="1:31">
      <c r="A32" s="10" t="s">
        <v>90</v>
      </c>
      <c r="B32" s="63" t="s">
        <v>152</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5"/>
    </row>
    <row r="33" spans="1:31" ht="47.25">
      <c r="A33" s="11" t="s">
        <v>16</v>
      </c>
      <c r="B33" s="34" t="s">
        <v>75</v>
      </c>
      <c r="C33" s="10" t="s">
        <v>40</v>
      </c>
      <c r="D33" s="10" t="s">
        <v>39</v>
      </c>
      <c r="E33" s="14">
        <f>F33+G33+H33+I33</f>
        <v>1892</v>
      </c>
      <c r="F33" s="14">
        <f>2664-772</f>
        <v>1892</v>
      </c>
      <c r="G33" s="14">
        <v>0</v>
      </c>
      <c r="H33" s="14">
        <v>0</v>
      </c>
      <c r="I33" s="14">
        <v>0</v>
      </c>
      <c r="J33" s="14">
        <f>K33+L33+M33+N33</f>
        <v>1072</v>
      </c>
      <c r="K33" s="14">
        <f>1892-286-534</f>
        <v>1072</v>
      </c>
      <c r="L33" s="14">
        <v>0</v>
      </c>
      <c r="M33" s="14">
        <v>0</v>
      </c>
      <c r="N33" s="14">
        <v>0</v>
      </c>
      <c r="O33" s="14">
        <f>P33+Q33+R33+S33</f>
        <v>319</v>
      </c>
      <c r="P33" s="14">
        <f>1633-465-849</f>
        <v>319</v>
      </c>
      <c r="Q33" s="14">
        <v>0</v>
      </c>
      <c r="R33" s="14">
        <v>0</v>
      </c>
      <c r="S33" s="14">
        <v>0</v>
      </c>
      <c r="T33" s="14">
        <f>U33+V33+W33+X33</f>
        <v>0</v>
      </c>
      <c r="U33" s="14">
        <v>0</v>
      </c>
      <c r="V33" s="14">
        <v>0</v>
      </c>
      <c r="W33" s="14">
        <v>0</v>
      </c>
      <c r="X33" s="14">
        <v>0</v>
      </c>
      <c r="Y33" s="14">
        <f>Z33+AA33+AB33+AC33</f>
        <v>0</v>
      </c>
      <c r="Z33" s="14">
        <v>0</v>
      </c>
      <c r="AA33" s="14">
        <v>0</v>
      </c>
      <c r="AB33" s="14">
        <v>0</v>
      </c>
      <c r="AC33" s="14">
        <v>0</v>
      </c>
      <c r="AD33" s="14">
        <f>E33+J33+O33+T33+Y33</f>
        <v>3283</v>
      </c>
    </row>
    <row r="34" spans="1:31">
      <c r="A34" s="66" t="s">
        <v>138</v>
      </c>
      <c r="B34" s="67"/>
      <c r="C34" s="68"/>
      <c r="D34" s="28"/>
      <c r="E34" s="18">
        <f>E33</f>
        <v>1892</v>
      </c>
      <c r="F34" s="18">
        <f>SUM(F33)</f>
        <v>1892</v>
      </c>
      <c r="G34" s="18">
        <f t="shared" ref="G34:AD34" si="13">SUM(G33:G33)</f>
        <v>0</v>
      </c>
      <c r="H34" s="18">
        <f t="shared" si="13"/>
        <v>0</v>
      </c>
      <c r="I34" s="18">
        <f t="shared" si="13"/>
        <v>0</v>
      </c>
      <c r="J34" s="18">
        <f>J33</f>
        <v>1072</v>
      </c>
      <c r="K34" s="18">
        <f t="shared" si="13"/>
        <v>1072</v>
      </c>
      <c r="L34" s="18">
        <f t="shared" si="13"/>
        <v>0</v>
      </c>
      <c r="M34" s="18">
        <f t="shared" si="13"/>
        <v>0</v>
      </c>
      <c r="N34" s="18">
        <f t="shared" si="13"/>
        <v>0</v>
      </c>
      <c r="O34" s="18">
        <f t="shared" si="13"/>
        <v>319</v>
      </c>
      <c r="P34" s="18">
        <f t="shared" si="13"/>
        <v>319</v>
      </c>
      <c r="Q34" s="18">
        <f t="shared" si="13"/>
        <v>0</v>
      </c>
      <c r="R34" s="18">
        <f t="shared" si="13"/>
        <v>0</v>
      </c>
      <c r="S34" s="18">
        <f t="shared" si="13"/>
        <v>0</v>
      </c>
      <c r="T34" s="18">
        <f t="shared" si="13"/>
        <v>0</v>
      </c>
      <c r="U34" s="18">
        <f t="shared" si="13"/>
        <v>0</v>
      </c>
      <c r="V34" s="18">
        <f t="shared" si="13"/>
        <v>0</v>
      </c>
      <c r="W34" s="18">
        <f t="shared" si="13"/>
        <v>0</v>
      </c>
      <c r="X34" s="18">
        <f t="shared" si="13"/>
        <v>0</v>
      </c>
      <c r="Y34" s="18">
        <f t="shared" si="13"/>
        <v>0</v>
      </c>
      <c r="Z34" s="18">
        <f t="shared" si="13"/>
        <v>0</v>
      </c>
      <c r="AA34" s="18">
        <f t="shared" si="13"/>
        <v>0</v>
      </c>
      <c r="AB34" s="18">
        <f t="shared" si="13"/>
        <v>0</v>
      </c>
      <c r="AC34" s="18">
        <f t="shared" si="13"/>
        <v>0</v>
      </c>
      <c r="AD34" s="18">
        <f t="shared" si="13"/>
        <v>3283</v>
      </c>
    </row>
    <row r="35" spans="1:31">
      <c r="A35" s="10" t="s">
        <v>93</v>
      </c>
      <c r="B35" s="63" t="s">
        <v>153</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5"/>
    </row>
    <row r="36" spans="1:31" ht="41.25" customHeight="1">
      <c r="A36" s="11" t="s">
        <v>17</v>
      </c>
      <c r="B36" s="34" t="s">
        <v>127</v>
      </c>
      <c r="C36" s="22" t="s">
        <v>40</v>
      </c>
      <c r="D36" s="10" t="s">
        <v>39</v>
      </c>
      <c r="E36" s="14">
        <f>F36+G36+H36+I36</f>
        <v>2949</v>
      </c>
      <c r="F36" s="14">
        <v>2949</v>
      </c>
      <c r="G36" s="14">
        <v>0</v>
      </c>
      <c r="H36" s="14">
        <v>0</v>
      </c>
      <c r="I36" s="14">
        <v>0</v>
      </c>
      <c r="J36" s="14">
        <f>K36+L36+M36+N36</f>
        <v>2313</v>
      </c>
      <c r="K36" s="14">
        <f>1775+587-49</f>
        <v>2313</v>
      </c>
      <c r="L36" s="14">
        <v>0</v>
      </c>
      <c r="M36" s="14">
        <v>0</v>
      </c>
      <c r="N36" s="14">
        <v>0</v>
      </c>
      <c r="O36" s="14">
        <f xml:space="preserve"> SUM(P36:S36)</f>
        <v>1912</v>
      </c>
      <c r="P36" s="14">
        <f>2362-240-210</f>
        <v>1912</v>
      </c>
      <c r="Q36" s="14">
        <f>SUM(Q37,Q38,Q39,Q40)</f>
        <v>0</v>
      </c>
      <c r="R36" s="14">
        <f>SUM(R37,R38,R39,R40)</f>
        <v>0</v>
      </c>
      <c r="S36" s="14">
        <f>SUM(S37,S38,S39,S40)</f>
        <v>0</v>
      </c>
      <c r="T36" s="14">
        <f xml:space="preserve"> SUM(U36:X36)</f>
        <v>1692</v>
      </c>
      <c r="U36" s="14">
        <f>2022-22-308</f>
        <v>1692</v>
      </c>
      <c r="V36" s="14">
        <f>SUM(V37,V38,V39,V40)</f>
        <v>0</v>
      </c>
      <c r="W36" s="14">
        <f>SUM(W37,W38,W39,W40)</f>
        <v>0</v>
      </c>
      <c r="X36" s="14">
        <f>SUM(X37,X38,X39,X40)</f>
        <v>0</v>
      </c>
      <c r="Y36" s="15">
        <f xml:space="preserve"> SUM(Z36:AC36)</f>
        <v>2144</v>
      </c>
      <c r="Z36" s="15">
        <v>2144</v>
      </c>
      <c r="AA36" s="14">
        <f>SUM(AA37,AA38,AA39,AA40)</f>
        <v>0</v>
      </c>
      <c r="AB36" s="14">
        <f>SUM(AB37,AB38,AB39,AB40)</f>
        <v>0</v>
      </c>
      <c r="AC36" s="14">
        <f>SUM(AC37,AC38,AC39,AC40)</f>
        <v>0</v>
      </c>
      <c r="AD36" s="15">
        <f>E36+J36+O36+T36+Y36</f>
        <v>11010</v>
      </c>
    </row>
    <row r="37" spans="1:31" ht="85.5" customHeight="1">
      <c r="A37" s="11" t="s">
        <v>67</v>
      </c>
      <c r="B37" s="21" t="s">
        <v>29</v>
      </c>
      <c r="C37" s="22" t="s">
        <v>40</v>
      </c>
      <c r="D37" s="10" t="s">
        <v>134</v>
      </c>
      <c r="E37" s="14">
        <f t="shared" ref="E37:E47" si="14">F37+G37+H37+I37</f>
        <v>9</v>
      </c>
      <c r="F37" s="14">
        <v>9</v>
      </c>
      <c r="G37" s="14">
        <v>0</v>
      </c>
      <c r="H37" s="14">
        <v>0</v>
      </c>
      <c r="I37" s="14">
        <v>0</v>
      </c>
      <c r="J37" s="14">
        <f t="shared" ref="J37:J47" si="15">K37+L37+M37+N37</f>
        <v>9</v>
      </c>
      <c r="K37" s="14">
        <v>9</v>
      </c>
      <c r="L37" s="14">
        <v>0</v>
      </c>
      <c r="M37" s="14">
        <v>0</v>
      </c>
      <c r="N37" s="14">
        <v>0</v>
      </c>
      <c r="O37" s="14">
        <f t="shared" ref="O37:O47" si="16">P37+Q37+R37+S37</f>
        <v>9</v>
      </c>
      <c r="P37" s="14">
        <v>9</v>
      </c>
      <c r="Q37" s="14">
        <v>0</v>
      </c>
      <c r="R37" s="14">
        <v>0</v>
      </c>
      <c r="S37" s="14">
        <v>0</v>
      </c>
      <c r="T37" s="14">
        <f t="shared" ref="T37:T47" si="17">U37+V37+W37+X37</f>
        <v>0</v>
      </c>
      <c r="U37" s="14">
        <v>0</v>
      </c>
      <c r="V37" s="14">
        <v>0</v>
      </c>
      <c r="W37" s="14">
        <v>0</v>
      </c>
      <c r="X37" s="14">
        <v>0</v>
      </c>
      <c r="Y37" s="14">
        <f t="shared" ref="Y37:Y47" si="18">Z37+AA37+AB37+AC37</f>
        <v>0</v>
      </c>
      <c r="Z37" s="14">
        <v>0</v>
      </c>
      <c r="AA37" s="14">
        <v>0</v>
      </c>
      <c r="AB37" s="14">
        <v>0</v>
      </c>
      <c r="AC37" s="14">
        <v>0</v>
      </c>
      <c r="AD37" s="14">
        <f t="shared" ref="AD37:AD53" si="19">E37+J37+O37+T37+Y37</f>
        <v>27</v>
      </c>
    </row>
    <row r="38" spans="1:31" ht="40.5" customHeight="1">
      <c r="A38" s="11" t="s">
        <v>94</v>
      </c>
      <c r="B38" s="21" t="s">
        <v>27</v>
      </c>
      <c r="C38" s="10" t="s">
        <v>40</v>
      </c>
      <c r="D38" s="10" t="s">
        <v>71</v>
      </c>
      <c r="E38" s="14">
        <f t="shared" si="14"/>
        <v>426</v>
      </c>
      <c r="F38" s="14">
        <v>426</v>
      </c>
      <c r="G38" s="14">
        <v>0</v>
      </c>
      <c r="H38" s="14">
        <v>0</v>
      </c>
      <c r="I38" s="14">
        <v>0</v>
      </c>
      <c r="J38" s="14">
        <f t="shared" si="15"/>
        <v>0</v>
      </c>
      <c r="K38" s="14">
        <v>0</v>
      </c>
      <c r="L38" s="14">
        <v>0</v>
      </c>
      <c r="M38" s="14">
        <v>0</v>
      </c>
      <c r="N38" s="14">
        <v>0</v>
      </c>
      <c r="O38" s="14">
        <f t="shared" si="16"/>
        <v>0</v>
      </c>
      <c r="P38" s="14">
        <v>0</v>
      </c>
      <c r="Q38" s="14">
        <v>0</v>
      </c>
      <c r="R38" s="14">
        <v>0</v>
      </c>
      <c r="S38" s="14">
        <v>0</v>
      </c>
      <c r="T38" s="14">
        <f t="shared" si="17"/>
        <v>0</v>
      </c>
      <c r="U38" s="14">
        <v>0</v>
      </c>
      <c r="V38" s="14">
        <v>0</v>
      </c>
      <c r="W38" s="14">
        <v>0</v>
      </c>
      <c r="X38" s="14">
        <v>0</v>
      </c>
      <c r="Y38" s="14">
        <f t="shared" si="18"/>
        <v>0</v>
      </c>
      <c r="Z38" s="14">
        <v>0</v>
      </c>
      <c r="AA38" s="14">
        <v>0</v>
      </c>
      <c r="AB38" s="14">
        <v>0</v>
      </c>
      <c r="AC38" s="14">
        <v>0</v>
      </c>
      <c r="AD38" s="14">
        <f>E38+J38+O38+T38+Y38</f>
        <v>426</v>
      </c>
    </row>
    <row r="39" spans="1:31" ht="36" customHeight="1">
      <c r="A39" s="11" t="s">
        <v>95</v>
      </c>
      <c r="B39" s="21" t="s">
        <v>48</v>
      </c>
      <c r="C39" s="78" t="s">
        <v>44</v>
      </c>
      <c r="D39" s="10" t="s">
        <v>39</v>
      </c>
      <c r="E39" s="14">
        <f t="shared" si="14"/>
        <v>3304</v>
      </c>
      <c r="F39" s="14">
        <v>3304</v>
      </c>
      <c r="G39" s="14">
        <v>0</v>
      </c>
      <c r="H39" s="14">
        <v>0</v>
      </c>
      <c r="I39" s="14">
        <v>0</v>
      </c>
      <c r="J39" s="14">
        <f t="shared" si="15"/>
        <v>3080</v>
      </c>
      <c r="K39" s="14">
        <f>3304-224</f>
        <v>3080</v>
      </c>
      <c r="L39" s="14">
        <v>0</v>
      </c>
      <c r="M39" s="14">
        <v>0</v>
      </c>
      <c r="N39" s="14">
        <v>0</v>
      </c>
      <c r="O39" s="14">
        <f t="shared" si="16"/>
        <v>2842</v>
      </c>
      <c r="P39" s="14">
        <f>2968-126</f>
        <v>2842</v>
      </c>
      <c r="Q39" s="14">
        <v>0</v>
      </c>
      <c r="R39" s="14">
        <v>0</v>
      </c>
      <c r="S39" s="14">
        <v>0</v>
      </c>
      <c r="T39" s="14">
        <f t="shared" si="17"/>
        <v>3010</v>
      </c>
      <c r="U39" s="14">
        <f>3136-126</f>
        <v>3010</v>
      </c>
      <c r="V39" s="14">
        <v>0</v>
      </c>
      <c r="W39" s="14">
        <v>0</v>
      </c>
      <c r="X39" s="14">
        <v>0</v>
      </c>
      <c r="Y39" s="15">
        <f t="shared" si="18"/>
        <v>3416</v>
      </c>
      <c r="Z39" s="15">
        <v>3416</v>
      </c>
      <c r="AA39" s="14">
        <v>0</v>
      </c>
      <c r="AB39" s="14">
        <v>0</v>
      </c>
      <c r="AC39" s="14">
        <v>0</v>
      </c>
      <c r="AD39" s="15">
        <f>E39+J39+O39+T39+Y39</f>
        <v>15652</v>
      </c>
    </row>
    <row r="40" spans="1:31" ht="47.25">
      <c r="A40" s="11" t="s">
        <v>96</v>
      </c>
      <c r="B40" s="21" t="s">
        <v>74</v>
      </c>
      <c r="C40" s="79"/>
      <c r="D40" s="10" t="s">
        <v>122</v>
      </c>
      <c r="E40" s="14">
        <f t="shared" si="14"/>
        <v>378</v>
      </c>
      <c r="F40" s="14">
        <v>378</v>
      </c>
      <c r="G40" s="14">
        <v>0</v>
      </c>
      <c r="H40" s="14">
        <v>0</v>
      </c>
      <c r="I40" s="14">
        <v>0</v>
      </c>
      <c r="J40" s="14">
        <f t="shared" si="15"/>
        <v>419</v>
      </c>
      <c r="K40" s="14">
        <f>324+95</f>
        <v>419</v>
      </c>
      <c r="L40" s="14">
        <v>0</v>
      </c>
      <c r="M40" s="14">
        <v>0</v>
      </c>
      <c r="N40" s="14">
        <v>0</v>
      </c>
      <c r="O40" s="14">
        <f t="shared" si="16"/>
        <v>468</v>
      </c>
      <c r="P40" s="14">
        <f>495-27</f>
        <v>468</v>
      </c>
      <c r="Q40" s="14">
        <v>0</v>
      </c>
      <c r="R40" s="14">
        <v>0</v>
      </c>
      <c r="S40" s="14">
        <v>0</v>
      </c>
      <c r="T40" s="14">
        <f>U40+V40+W40+X40</f>
        <v>455</v>
      </c>
      <c r="U40" s="14">
        <f>432+23</f>
        <v>455</v>
      </c>
      <c r="V40" s="14">
        <v>0</v>
      </c>
      <c r="W40" s="14">
        <v>0</v>
      </c>
      <c r="X40" s="14">
        <v>0</v>
      </c>
      <c r="Y40" s="15">
        <f t="shared" si="18"/>
        <v>432</v>
      </c>
      <c r="Z40" s="15">
        <v>432</v>
      </c>
      <c r="AA40" s="14">
        <v>0</v>
      </c>
      <c r="AB40" s="14">
        <v>0</v>
      </c>
      <c r="AC40" s="14">
        <v>0</v>
      </c>
      <c r="AD40" s="15">
        <f>E40+J40+O40+T40+Y40</f>
        <v>2152</v>
      </c>
    </row>
    <row r="41" spans="1:31" ht="60" customHeight="1">
      <c r="A41" s="11" t="s">
        <v>97</v>
      </c>
      <c r="B41" s="21" t="s">
        <v>30</v>
      </c>
      <c r="C41" s="22" t="s">
        <v>40</v>
      </c>
      <c r="D41" s="10" t="s">
        <v>134</v>
      </c>
      <c r="E41" s="14">
        <f t="shared" si="14"/>
        <v>12</v>
      </c>
      <c r="F41" s="14">
        <v>12</v>
      </c>
      <c r="G41" s="14">
        <v>0</v>
      </c>
      <c r="H41" s="14">
        <v>0</v>
      </c>
      <c r="I41" s="14">
        <v>0</v>
      </c>
      <c r="J41" s="14">
        <f t="shared" si="15"/>
        <v>12</v>
      </c>
      <c r="K41" s="14">
        <v>12</v>
      </c>
      <c r="L41" s="14">
        <v>0</v>
      </c>
      <c r="M41" s="14">
        <v>0</v>
      </c>
      <c r="N41" s="14">
        <v>0</v>
      </c>
      <c r="O41" s="14">
        <f t="shared" si="16"/>
        <v>12</v>
      </c>
      <c r="P41" s="14">
        <v>12</v>
      </c>
      <c r="Q41" s="14">
        <v>0</v>
      </c>
      <c r="R41" s="14">
        <v>0</v>
      </c>
      <c r="S41" s="14">
        <v>0</v>
      </c>
      <c r="T41" s="14">
        <f t="shared" si="17"/>
        <v>0</v>
      </c>
      <c r="U41" s="14">
        <v>0</v>
      </c>
      <c r="V41" s="14">
        <v>0</v>
      </c>
      <c r="W41" s="14">
        <v>0</v>
      </c>
      <c r="X41" s="14">
        <v>0</v>
      </c>
      <c r="Y41" s="14">
        <f t="shared" si="18"/>
        <v>0</v>
      </c>
      <c r="Z41" s="14">
        <v>0</v>
      </c>
      <c r="AA41" s="14">
        <v>0</v>
      </c>
      <c r="AB41" s="14">
        <v>0</v>
      </c>
      <c r="AC41" s="14">
        <v>0</v>
      </c>
      <c r="AD41" s="14">
        <f t="shared" si="19"/>
        <v>36</v>
      </c>
    </row>
    <row r="42" spans="1:31" ht="78" customHeight="1">
      <c r="A42" s="11" t="s">
        <v>98</v>
      </c>
      <c r="B42" s="21" t="s">
        <v>115</v>
      </c>
      <c r="C42" s="76" t="s">
        <v>44</v>
      </c>
      <c r="D42" s="10" t="s">
        <v>71</v>
      </c>
      <c r="E42" s="14">
        <f t="shared" si="14"/>
        <v>50</v>
      </c>
      <c r="F42" s="14">
        <v>50</v>
      </c>
      <c r="G42" s="14">
        <v>0</v>
      </c>
      <c r="H42" s="14">
        <v>0</v>
      </c>
      <c r="I42" s="14">
        <v>0</v>
      </c>
      <c r="J42" s="14">
        <f t="shared" si="15"/>
        <v>0</v>
      </c>
      <c r="K42" s="14">
        <v>0</v>
      </c>
      <c r="L42" s="14">
        <v>0</v>
      </c>
      <c r="M42" s="14">
        <v>0</v>
      </c>
      <c r="N42" s="14">
        <v>0</v>
      </c>
      <c r="O42" s="14">
        <f t="shared" si="16"/>
        <v>0</v>
      </c>
      <c r="P42" s="14">
        <v>0</v>
      </c>
      <c r="Q42" s="14">
        <v>0</v>
      </c>
      <c r="R42" s="14">
        <v>0</v>
      </c>
      <c r="S42" s="14">
        <v>0</v>
      </c>
      <c r="T42" s="14">
        <f t="shared" si="17"/>
        <v>0</v>
      </c>
      <c r="U42" s="14">
        <v>0</v>
      </c>
      <c r="V42" s="14">
        <v>0</v>
      </c>
      <c r="W42" s="14">
        <v>0</v>
      </c>
      <c r="X42" s="14">
        <v>0</v>
      </c>
      <c r="Y42" s="14">
        <f t="shared" si="18"/>
        <v>0</v>
      </c>
      <c r="Z42" s="14">
        <v>0</v>
      </c>
      <c r="AA42" s="14">
        <v>0</v>
      </c>
      <c r="AB42" s="14">
        <v>0</v>
      </c>
      <c r="AC42" s="14">
        <v>0</v>
      </c>
      <c r="AD42" s="14">
        <f t="shared" si="19"/>
        <v>50</v>
      </c>
    </row>
    <row r="43" spans="1:31" ht="69" customHeight="1">
      <c r="A43" s="11" t="s">
        <v>99</v>
      </c>
      <c r="B43" s="21" t="s">
        <v>49</v>
      </c>
      <c r="C43" s="80"/>
      <c r="D43" s="10" t="s">
        <v>71</v>
      </c>
      <c r="E43" s="14">
        <f t="shared" si="14"/>
        <v>50</v>
      </c>
      <c r="F43" s="14">
        <v>50</v>
      </c>
      <c r="G43" s="14">
        <v>0</v>
      </c>
      <c r="H43" s="14">
        <v>0</v>
      </c>
      <c r="I43" s="14">
        <v>0</v>
      </c>
      <c r="J43" s="14">
        <f t="shared" si="15"/>
        <v>50</v>
      </c>
      <c r="K43" s="14">
        <v>50</v>
      </c>
      <c r="L43" s="14">
        <v>0</v>
      </c>
      <c r="M43" s="14">
        <v>0</v>
      </c>
      <c r="N43" s="14">
        <v>0</v>
      </c>
      <c r="O43" s="14">
        <f t="shared" si="16"/>
        <v>100</v>
      </c>
      <c r="P43" s="14">
        <f>50+50</f>
        <v>100</v>
      </c>
      <c r="Q43" s="14">
        <v>0</v>
      </c>
      <c r="R43" s="14">
        <v>0</v>
      </c>
      <c r="S43" s="14">
        <v>0</v>
      </c>
      <c r="T43" s="14">
        <f t="shared" si="17"/>
        <v>100</v>
      </c>
      <c r="U43" s="14">
        <f>50+50</f>
        <v>100</v>
      </c>
      <c r="V43" s="14">
        <v>0</v>
      </c>
      <c r="W43" s="14">
        <v>0</v>
      </c>
      <c r="X43" s="14">
        <v>0</v>
      </c>
      <c r="Y43" s="15">
        <f t="shared" si="18"/>
        <v>50</v>
      </c>
      <c r="Z43" s="15">
        <v>50</v>
      </c>
      <c r="AA43" s="14">
        <v>0</v>
      </c>
      <c r="AB43" s="14">
        <v>0</v>
      </c>
      <c r="AC43" s="14">
        <v>0</v>
      </c>
      <c r="AD43" s="15">
        <f t="shared" si="19"/>
        <v>350</v>
      </c>
    </row>
    <row r="44" spans="1:31" ht="81" customHeight="1">
      <c r="A44" s="11" t="s">
        <v>100</v>
      </c>
      <c r="B44" s="21" t="s">
        <v>50</v>
      </c>
      <c r="C44" s="80"/>
      <c r="D44" s="10" t="s">
        <v>39</v>
      </c>
      <c r="E44" s="14">
        <f t="shared" si="14"/>
        <v>810</v>
      </c>
      <c r="F44" s="14">
        <f>480+330</f>
        <v>810</v>
      </c>
      <c r="G44" s="14">
        <v>0</v>
      </c>
      <c r="H44" s="14">
        <v>0</v>
      </c>
      <c r="I44" s="14">
        <v>0</v>
      </c>
      <c r="J44" s="14">
        <f>K44+L44+M44+N44</f>
        <v>770</v>
      </c>
      <c r="K44" s="14">
        <f>720+50</f>
        <v>770</v>
      </c>
      <c r="L44" s="14">
        <v>0</v>
      </c>
      <c r="M44" s="14">
        <v>0</v>
      </c>
      <c r="N44" s="14">
        <v>0</v>
      </c>
      <c r="O44" s="14">
        <f t="shared" si="16"/>
        <v>590</v>
      </c>
      <c r="P44" s="14">
        <f>720-130</f>
        <v>590</v>
      </c>
      <c r="Q44" s="14">
        <v>0</v>
      </c>
      <c r="R44" s="14">
        <v>0</v>
      </c>
      <c r="S44" s="14">
        <v>0</v>
      </c>
      <c r="T44" s="14">
        <f t="shared" si="17"/>
        <v>500</v>
      </c>
      <c r="U44" s="14">
        <f>600-100</f>
        <v>500</v>
      </c>
      <c r="V44" s="14">
        <v>0</v>
      </c>
      <c r="W44" s="14">
        <v>0</v>
      </c>
      <c r="X44" s="14">
        <v>0</v>
      </c>
      <c r="Y44" s="15">
        <f t="shared" si="18"/>
        <v>600</v>
      </c>
      <c r="Z44" s="15">
        <v>600</v>
      </c>
      <c r="AA44" s="14">
        <v>0</v>
      </c>
      <c r="AB44" s="14">
        <v>0</v>
      </c>
      <c r="AC44" s="14">
        <v>0</v>
      </c>
      <c r="AD44" s="15">
        <f>E44+J44+O44+T44+Y44</f>
        <v>3270</v>
      </c>
    </row>
    <row r="45" spans="1:31" ht="75" customHeight="1">
      <c r="A45" s="35" t="s">
        <v>101</v>
      </c>
      <c r="B45" s="21" t="s">
        <v>51</v>
      </c>
      <c r="C45" s="80"/>
      <c r="D45" s="10" t="s">
        <v>71</v>
      </c>
      <c r="E45" s="14">
        <f t="shared" si="14"/>
        <v>30</v>
      </c>
      <c r="F45" s="14">
        <v>30</v>
      </c>
      <c r="G45" s="14">
        <v>0</v>
      </c>
      <c r="H45" s="14">
        <v>0</v>
      </c>
      <c r="I45" s="14">
        <v>0</v>
      </c>
      <c r="J45" s="14">
        <f t="shared" si="15"/>
        <v>10</v>
      </c>
      <c r="K45" s="14">
        <v>10</v>
      </c>
      <c r="L45" s="14">
        <v>0</v>
      </c>
      <c r="M45" s="14">
        <v>0</v>
      </c>
      <c r="N45" s="14">
        <v>0</v>
      </c>
      <c r="O45" s="14">
        <f t="shared" si="16"/>
        <v>10</v>
      </c>
      <c r="P45" s="14">
        <v>10</v>
      </c>
      <c r="Q45" s="14">
        <v>0</v>
      </c>
      <c r="R45" s="14">
        <v>0</v>
      </c>
      <c r="S45" s="14">
        <v>0</v>
      </c>
      <c r="T45" s="14">
        <f t="shared" si="17"/>
        <v>0</v>
      </c>
      <c r="U45" s="14">
        <f>10-10</f>
        <v>0</v>
      </c>
      <c r="V45" s="14">
        <v>0</v>
      </c>
      <c r="W45" s="14">
        <v>0</v>
      </c>
      <c r="X45" s="14">
        <v>0</v>
      </c>
      <c r="Y45" s="15">
        <f t="shared" si="18"/>
        <v>10</v>
      </c>
      <c r="Z45" s="15">
        <v>10</v>
      </c>
      <c r="AA45" s="14">
        <v>0</v>
      </c>
      <c r="AB45" s="14">
        <v>0</v>
      </c>
      <c r="AC45" s="14">
        <v>0</v>
      </c>
      <c r="AD45" s="15">
        <f t="shared" si="19"/>
        <v>60</v>
      </c>
    </row>
    <row r="46" spans="1:31" ht="70.5" customHeight="1">
      <c r="A46" s="11" t="s">
        <v>102</v>
      </c>
      <c r="B46" s="21" t="s">
        <v>52</v>
      </c>
      <c r="C46" s="77"/>
      <c r="D46" s="10" t="s">
        <v>71</v>
      </c>
      <c r="E46" s="14">
        <f t="shared" si="14"/>
        <v>50</v>
      </c>
      <c r="F46" s="14">
        <v>50</v>
      </c>
      <c r="G46" s="14">
        <v>0</v>
      </c>
      <c r="H46" s="14">
        <v>0</v>
      </c>
      <c r="I46" s="14">
        <v>0</v>
      </c>
      <c r="J46" s="14">
        <f t="shared" si="15"/>
        <v>50</v>
      </c>
      <c r="K46" s="14">
        <v>50</v>
      </c>
      <c r="L46" s="14">
        <v>0</v>
      </c>
      <c r="M46" s="14">
        <v>0</v>
      </c>
      <c r="N46" s="14">
        <v>0</v>
      </c>
      <c r="O46" s="14">
        <f t="shared" si="16"/>
        <v>100</v>
      </c>
      <c r="P46" s="14">
        <v>100</v>
      </c>
      <c r="Q46" s="14">
        <v>0</v>
      </c>
      <c r="R46" s="14">
        <v>0</v>
      </c>
      <c r="S46" s="14">
        <v>0</v>
      </c>
      <c r="T46" s="14">
        <f t="shared" si="17"/>
        <v>50</v>
      </c>
      <c r="U46" s="14">
        <v>50</v>
      </c>
      <c r="V46" s="14">
        <v>0</v>
      </c>
      <c r="W46" s="14">
        <v>0</v>
      </c>
      <c r="X46" s="14">
        <v>0</v>
      </c>
      <c r="Y46" s="15">
        <f t="shared" si="18"/>
        <v>50</v>
      </c>
      <c r="Z46" s="15">
        <v>50</v>
      </c>
      <c r="AA46" s="14">
        <v>0</v>
      </c>
      <c r="AB46" s="14">
        <v>0</v>
      </c>
      <c r="AC46" s="14">
        <v>0</v>
      </c>
      <c r="AD46" s="15">
        <f t="shared" si="19"/>
        <v>300</v>
      </c>
    </row>
    <row r="47" spans="1:31" ht="47.25">
      <c r="A47" s="11" t="s">
        <v>103</v>
      </c>
      <c r="B47" s="21" t="s">
        <v>31</v>
      </c>
      <c r="C47" s="10" t="s">
        <v>15</v>
      </c>
      <c r="D47" s="10" t="s">
        <v>39</v>
      </c>
      <c r="E47" s="14">
        <f t="shared" si="14"/>
        <v>96</v>
      </c>
      <c r="F47" s="14">
        <f>96</f>
        <v>96</v>
      </c>
      <c r="G47" s="14">
        <v>0</v>
      </c>
      <c r="H47" s="14">
        <v>0</v>
      </c>
      <c r="I47" s="14">
        <v>0</v>
      </c>
      <c r="J47" s="14">
        <f t="shared" si="15"/>
        <v>43</v>
      </c>
      <c r="K47" s="14">
        <f>68-25</f>
        <v>43</v>
      </c>
      <c r="L47" s="14">
        <v>0</v>
      </c>
      <c r="M47" s="14">
        <v>0</v>
      </c>
      <c r="N47" s="14">
        <v>0</v>
      </c>
      <c r="O47" s="14">
        <f t="shared" si="16"/>
        <v>36</v>
      </c>
      <c r="P47" s="14">
        <f>53-17</f>
        <v>36</v>
      </c>
      <c r="Q47" s="14">
        <v>0</v>
      </c>
      <c r="R47" s="14">
        <v>0</v>
      </c>
      <c r="S47" s="14">
        <v>0</v>
      </c>
      <c r="T47" s="14">
        <f t="shared" si="17"/>
        <v>43</v>
      </c>
      <c r="U47" s="14">
        <f>39+4</f>
        <v>43</v>
      </c>
      <c r="V47" s="14">
        <v>0</v>
      </c>
      <c r="W47" s="14">
        <v>0</v>
      </c>
      <c r="X47" s="14">
        <v>0</v>
      </c>
      <c r="Y47" s="14">
        <f t="shared" si="18"/>
        <v>0</v>
      </c>
      <c r="Z47" s="14">
        <v>0</v>
      </c>
      <c r="AA47" s="14">
        <v>0</v>
      </c>
      <c r="AB47" s="14">
        <v>0</v>
      </c>
      <c r="AC47" s="14">
        <v>0</v>
      </c>
      <c r="AD47" s="14">
        <f t="shared" si="19"/>
        <v>218</v>
      </c>
    </row>
    <row r="48" spans="1:31" ht="88.5" customHeight="1">
      <c r="A48" s="11" t="s">
        <v>104</v>
      </c>
      <c r="B48" s="21" t="s">
        <v>65</v>
      </c>
      <c r="C48" s="10" t="s">
        <v>40</v>
      </c>
      <c r="D48" s="10" t="s">
        <v>39</v>
      </c>
      <c r="E48" s="14">
        <f>F48+G48+H48+I48</f>
        <v>28325</v>
      </c>
      <c r="F48" s="14">
        <f>6567-902</f>
        <v>5665</v>
      </c>
      <c r="G48" s="14">
        <f>26268-3608</f>
        <v>22660</v>
      </c>
      <c r="H48" s="14">
        <v>0</v>
      </c>
      <c r="I48" s="14">
        <v>0</v>
      </c>
      <c r="J48" s="14">
        <f>K48+L48+M48+N48</f>
        <v>4455</v>
      </c>
      <c r="K48" s="14">
        <f>550+341</f>
        <v>891</v>
      </c>
      <c r="L48" s="14">
        <v>3564</v>
      </c>
      <c r="M48" s="14">
        <v>0</v>
      </c>
      <c r="N48" s="14">
        <v>0</v>
      </c>
      <c r="O48" s="14">
        <f>P48+Q48+R48+S48</f>
        <v>550</v>
      </c>
      <c r="P48" s="14">
        <v>550</v>
      </c>
      <c r="Q48" s="14">
        <v>0</v>
      </c>
      <c r="R48" s="14">
        <v>0</v>
      </c>
      <c r="S48" s="14">
        <v>0</v>
      </c>
      <c r="T48" s="14">
        <f>U48+V48+W48+X48</f>
        <v>0</v>
      </c>
      <c r="U48" s="14">
        <v>0</v>
      </c>
      <c r="V48" s="14">
        <v>0</v>
      </c>
      <c r="W48" s="14">
        <v>0</v>
      </c>
      <c r="X48" s="14">
        <v>0</v>
      </c>
      <c r="Y48" s="14">
        <f>Z48+AA48+AB48+AC48</f>
        <v>0</v>
      </c>
      <c r="Z48" s="14">
        <v>0</v>
      </c>
      <c r="AA48" s="14">
        <v>0</v>
      </c>
      <c r="AB48" s="14">
        <v>0</v>
      </c>
      <c r="AC48" s="14">
        <v>0</v>
      </c>
      <c r="AD48" s="14">
        <f t="shared" si="19"/>
        <v>33330</v>
      </c>
      <c r="AE48" s="36"/>
    </row>
    <row r="49" spans="1:30" ht="48" customHeight="1">
      <c r="A49" s="37" t="s">
        <v>105</v>
      </c>
      <c r="B49" s="38" t="s">
        <v>33</v>
      </c>
      <c r="C49" s="39" t="s">
        <v>22</v>
      </c>
      <c r="D49" s="10" t="s">
        <v>134</v>
      </c>
      <c r="E49" s="14">
        <f>F49+G49+H49+I49</f>
        <v>384.8</v>
      </c>
      <c r="F49" s="14">
        <f>387-2.2</f>
        <v>384.8</v>
      </c>
      <c r="G49" s="14">
        <v>0</v>
      </c>
      <c r="H49" s="14">
        <v>0</v>
      </c>
      <c r="I49" s="14">
        <v>0</v>
      </c>
      <c r="J49" s="14">
        <f>K49+L49+M49+N49</f>
        <v>362.1</v>
      </c>
      <c r="K49" s="14">
        <f>387-24.9</f>
        <v>362.1</v>
      </c>
      <c r="L49" s="14">
        <v>0</v>
      </c>
      <c r="M49" s="14">
        <v>0</v>
      </c>
      <c r="N49" s="14">
        <v>0</v>
      </c>
      <c r="O49" s="14">
        <f>P49+Q49+R49+S49</f>
        <v>379</v>
      </c>
      <c r="P49" s="14">
        <f>387-8</f>
        <v>379</v>
      </c>
      <c r="Q49" s="14">
        <v>0</v>
      </c>
      <c r="R49" s="14">
        <v>0</v>
      </c>
      <c r="S49" s="14">
        <v>0</v>
      </c>
      <c r="T49" s="14">
        <f>U49+V49+W49+X49</f>
        <v>0</v>
      </c>
      <c r="U49" s="14">
        <v>0</v>
      </c>
      <c r="V49" s="14">
        <v>0</v>
      </c>
      <c r="W49" s="14">
        <v>0</v>
      </c>
      <c r="X49" s="14">
        <v>0</v>
      </c>
      <c r="Y49" s="14">
        <f>Z49+AA49+AB49+AC49</f>
        <v>0</v>
      </c>
      <c r="Z49" s="14">
        <v>0</v>
      </c>
      <c r="AA49" s="14">
        <v>0</v>
      </c>
      <c r="AB49" s="14">
        <v>0</v>
      </c>
      <c r="AC49" s="14">
        <v>0</v>
      </c>
      <c r="AD49" s="14">
        <f t="shared" si="19"/>
        <v>1125.9000000000001</v>
      </c>
    </row>
    <row r="50" spans="1:30" ht="63">
      <c r="A50" s="37" t="s">
        <v>106</v>
      </c>
      <c r="B50" s="38" t="s">
        <v>63</v>
      </c>
      <c r="C50" s="39" t="s">
        <v>66</v>
      </c>
      <c r="D50" s="13">
        <v>2020</v>
      </c>
      <c r="E50" s="14">
        <f>F50+G50+H50+I50</f>
        <v>1248</v>
      </c>
      <c r="F50" s="14">
        <f>1248</f>
        <v>1248</v>
      </c>
      <c r="G50" s="14">
        <v>0</v>
      </c>
      <c r="H50" s="14">
        <v>0</v>
      </c>
      <c r="I50" s="14">
        <v>0</v>
      </c>
      <c r="J50" s="14">
        <f>K50+L50+M50+N50</f>
        <v>0</v>
      </c>
      <c r="K50" s="14">
        <v>0</v>
      </c>
      <c r="L50" s="14">
        <v>0</v>
      </c>
      <c r="M50" s="14">
        <v>0</v>
      </c>
      <c r="N50" s="14">
        <v>0</v>
      </c>
      <c r="O50" s="14">
        <f>P50+Q50+R50+S50</f>
        <v>0</v>
      </c>
      <c r="P50" s="14">
        <v>0</v>
      </c>
      <c r="Q50" s="14">
        <v>0</v>
      </c>
      <c r="R50" s="14">
        <v>0</v>
      </c>
      <c r="S50" s="14">
        <v>0</v>
      </c>
      <c r="T50" s="14">
        <f>U50+V50+W50+X50</f>
        <v>0</v>
      </c>
      <c r="U50" s="14">
        <v>0</v>
      </c>
      <c r="V50" s="14">
        <v>0</v>
      </c>
      <c r="W50" s="14">
        <v>0</v>
      </c>
      <c r="X50" s="14">
        <v>0</v>
      </c>
      <c r="Y50" s="14">
        <f>Z50+AA50+AB50+AC50</f>
        <v>0</v>
      </c>
      <c r="Z50" s="14">
        <v>0</v>
      </c>
      <c r="AA50" s="14">
        <v>0</v>
      </c>
      <c r="AB50" s="14">
        <v>0</v>
      </c>
      <c r="AC50" s="14">
        <v>0</v>
      </c>
      <c r="AD50" s="14">
        <f t="shared" si="19"/>
        <v>1248</v>
      </c>
    </row>
    <row r="51" spans="1:30">
      <c r="A51" s="66" t="s">
        <v>139</v>
      </c>
      <c r="B51" s="67"/>
      <c r="C51" s="68"/>
      <c r="D51" s="28"/>
      <c r="E51" s="18">
        <f t="shared" ref="E51:K51" si="20">E52+E53</f>
        <v>38121.800000000003</v>
      </c>
      <c r="F51" s="18">
        <f t="shared" si="20"/>
        <v>15461.8</v>
      </c>
      <c r="G51" s="18">
        <f t="shared" si="20"/>
        <v>22660</v>
      </c>
      <c r="H51" s="18">
        <f t="shared" si="20"/>
        <v>0</v>
      </c>
      <c r="I51" s="18">
        <f t="shared" si="20"/>
        <v>0</v>
      </c>
      <c r="J51" s="18">
        <f>J53+J52</f>
        <v>11573.1</v>
      </c>
      <c r="K51" s="18">
        <f t="shared" si="20"/>
        <v>8009.1</v>
      </c>
      <c r="L51" s="18">
        <f>SUM(L36,L37:L49)</f>
        <v>3564</v>
      </c>
      <c r="M51" s="18">
        <f>SUM(M36,M37:M49)</f>
        <v>0</v>
      </c>
      <c r="N51" s="18">
        <f>SUM(N36,N37:N49)</f>
        <v>0</v>
      </c>
      <c r="O51" s="18">
        <f>O52+O53</f>
        <v>7008</v>
      </c>
      <c r="P51" s="18">
        <f>P52+P53</f>
        <v>7008</v>
      </c>
      <c r="Q51" s="18">
        <f>SUM(Q36,Q37:Q49)</f>
        <v>0</v>
      </c>
      <c r="R51" s="18">
        <f>SUM(R36,R37:R49)</f>
        <v>0</v>
      </c>
      <c r="S51" s="18">
        <f>SUM(S36,S37:S49)</f>
        <v>0</v>
      </c>
      <c r="T51" s="18">
        <f>T52+T53</f>
        <v>5850</v>
      </c>
      <c r="U51" s="18">
        <f>U36+U37+U38+U39+U40+U41+U42+U43+U44+U45+U46+U47+U48+U50</f>
        <v>5850</v>
      </c>
      <c r="V51" s="18">
        <f>SUM(V36,V37:V49)</f>
        <v>0</v>
      </c>
      <c r="W51" s="18">
        <f>SUM(W36,W37:W49)</f>
        <v>0</v>
      </c>
      <c r="X51" s="18">
        <f>SUM(X36,X37:X49)</f>
        <v>0</v>
      </c>
      <c r="Y51" s="16">
        <f>Y52+Y53</f>
        <v>6702</v>
      </c>
      <c r="Z51" s="16">
        <f>Z52+Z53</f>
        <v>6702</v>
      </c>
      <c r="AA51" s="18">
        <f>SUM(AA36,AA37:AA49)</f>
        <v>0</v>
      </c>
      <c r="AB51" s="18">
        <f>SUM(AB36,AB37:AB49)</f>
        <v>0</v>
      </c>
      <c r="AC51" s="18">
        <f>SUM(AC36,AC37:AC49)</f>
        <v>0</v>
      </c>
      <c r="AD51" s="16">
        <f t="shared" si="19"/>
        <v>69254.899999999994</v>
      </c>
    </row>
    <row r="52" spans="1:30">
      <c r="A52" s="28" t="s">
        <v>28</v>
      </c>
      <c r="B52" s="28"/>
      <c r="C52" s="29"/>
      <c r="D52" s="29"/>
      <c r="E52" s="40">
        <f t="shared" ref="E52:AC52" si="21">E49</f>
        <v>384.8</v>
      </c>
      <c r="F52" s="40">
        <f t="shared" si="21"/>
        <v>384.8</v>
      </c>
      <c r="G52" s="40">
        <v>0</v>
      </c>
      <c r="H52" s="40">
        <f t="shared" si="21"/>
        <v>0</v>
      </c>
      <c r="I52" s="40">
        <f t="shared" si="21"/>
        <v>0</v>
      </c>
      <c r="J52" s="40">
        <f t="shared" si="21"/>
        <v>362.1</v>
      </c>
      <c r="K52" s="40">
        <f t="shared" si="21"/>
        <v>362.1</v>
      </c>
      <c r="L52" s="40">
        <f t="shared" si="21"/>
        <v>0</v>
      </c>
      <c r="M52" s="40">
        <f t="shared" si="21"/>
        <v>0</v>
      </c>
      <c r="N52" s="40">
        <f t="shared" si="21"/>
        <v>0</v>
      </c>
      <c r="O52" s="40">
        <f t="shared" si="21"/>
        <v>379</v>
      </c>
      <c r="P52" s="40">
        <f t="shared" si="21"/>
        <v>379</v>
      </c>
      <c r="Q52" s="40">
        <f t="shared" si="21"/>
        <v>0</v>
      </c>
      <c r="R52" s="40">
        <f t="shared" si="21"/>
        <v>0</v>
      </c>
      <c r="S52" s="40">
        <f t="shared" si="21"/>
        <v>0</v>
      </c>
      <c r="T52" s="40">
        <f t="shared" si="21"/>
        <v>0</v>
      </c>
      <c r="U52" s="40">
        <f t="shared" si="21"/>
        <v>0</v>
      </c>
      <c r="V52" s="40">
        <f t="shared" si="21"/>
        <v>0</v>
      </c>
      <c r="W52" s="40">
        <f t="shared" si="21"/>
        <v>0</v>
      </c>
      <c r="X52" s="40">
        <f t="shared" si="21"/>
        <v>0</v>
      </c>
      <c r="Y52" s="40">
        <f t="shared" si="21"/>
        <v>0</v>
      </c>
      <c r="Z52" s="40">
        <f t="shared" si="21"/>
        <v>0</v>
      </c>
      <c r="AA52" s="40">
        <f t="shared" si="21"/>
        <v>0</v>
      </c>
      <c r="AB52" s="40">
        <f t="shared" si="21"/>
        <v>0</v>
      </c>
      <c r="AC52" s="40">
        <f t="shared" si="21"/>
        <v>0</v>
      </c>
      <c r="AD52" s="41">
        <f t="shared" si="19"/>
        <v>1125.9000000000001</v>
      </c>
    </row>
    <row r="53" spans="1:30">
      <c r="A53" s="28" t="s">
        <v>64</v>
      </c>
      <c r="B53" s="28"/>
      <c r="C53" s="29"/>
      <c r="D53" s="29"/>
      <c r="E53" s="14">
        <f>E36+E37+E38+E39+E40+E41+E42+E43+E44+E45+E46+E47+E48+E50</f>
        <v>37737</v>
      </c>
      <c r="F53" s="14">
        <f>F36+F37+F38+F39+F40+F41+F42+F43+F44+F45+F46+F47+F48+F50</f>
        <v>15077</v>
      </c>
      <c r="G53" s="14">
        <v>22660</v>
      </c>
      <c r="H53" s="14">
        <f>0</f>
        <v>0</v>
      </c>
      <c r="I53" s="14">
        <v>0</v>
      </c>
      <c r="J53" s="14">
        <f>J36+J37+J38+J39+J40+J41+J42+J43+J44+J45+J46+J47+J48+J50</f>
        <v>11211</v>
      </c>
      <c r="K53" s="14">
        <f>K36+K37+K38+K39+K40+K41+K42+K43+K44+K45+K46+K47+K48+K50</f>
        <v>7647</v>
      </c>
      <c r="L53" s="14">
        <v>0</v>
      </c>
      <c r="M53" s="14">
        <v>0</v>
      </c>
      <c r="N53" s="14">
        <v>0</v>
      </c>
      <c r="O53" s="14">
        <f>O36+O37+O38+O39+O40+O41+O43+O42+O44+O45+O46+O47+O48+O50</f>
        <v>6629</v>
      </c>
      <c r="P53" s="14">
        <f>P36+P37+P38+P39+P40+P41+P42+P43+P44+P45+P46+P47+P48+P50</f>
        <v>6629</v>
      </c>
      <c r="Q53" s="14">
        <v>0</v>
      </c>
      <c r="R53" s="14">
        <v>0</v>
      </c>
      <c r="S53" s="14">
        <v>0</v>
      </c>
      <c r="T53" s="14">
        <f>T36+T37+T38+T39+T40+T41+T42+T43+T44+T45+T46+T47+T48+T50</f>
        <v>5850</v>
      </c>
      <c r="U53" s="14">
        <f>U36+U37+U38+U39+U40+U41+U42+U43+U44+U45+U46+U47+U48+U50</f>
        <v>5850</v>
      </c>
      <c r="V53" s="14">
        <v>0</v>
      </c>
      <c r="W53" s="14">
        <v>0</v>
      </c>
      <c r="X53" s="14">
        <v>0</v>
      </c>
      <c r="Y53" s="15">
        <f>Y36+Y37+Y38+Y39+Y40+Y41+Y42+Y43+Y44+Y45+Y46+Y47+Y48+Y50</f>
        <v>6702</v>
      </c>
      <c r="Z53" s="15">
        <f>Z36+Z37+Z38+Z39+Z40+Z41+Z42+Z43+Z44+Z45+Z46+Z47+Z48+Z50</f>
        <v>6702</v>
      </c>
      <c r="AA53" s="14">
        <v>0</v>
      </c>
      <c r="AB53" s="14">
        <v>0</v>
      </c>
      <c r="AC53" s="14">
        <v>0</v>
      </c>
      <c r="AD53" s="15">
        <f t="shared" si="19"/>
        <v>68129</v>
      </c>
    </row>
    <row r="54" spans="1:30" ht="23.25" customHeight="1">
      <c r="A54" s="10" t="s">
        <v>91</v>
      </c>
      <c r="B54" s="63" t="s">
        <v>154</v>
      </c>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5"/>
    </row>
    <row r="55" spans="1:30" ht="63" customHeight="1">
      <c r="A55" s="11" t="s">
        <v>18</v>
      </c>
      <c r="B55" s="21" t="s">
        <v>55</v>
      </c>
      <c r="C55" s="10" t="s">
        <v>40</v>
      </c>
      <c r="D55" s="10" t="s">
        <v>39</v>
      </c>
      <c r="E55" s="14">
        <f>F55+G55+H55+I55</f>
        <v>700</v>
      </c>
      <c r="F55" s="14">
        <f>700</f>
        <v>700</v>
      </c>
      <c r="G55" s="14">
        <v>0</v>
      </c>
      <c r="H55" s="14">
        <v>0</v>
      </c>
      <c r="I55" s="14">
        <v>0</v>
      </c>
      <c r="J55" s="14">
        <f>K55+L55+M55+N55</f>
        <v>498</v>
      </c>
      <c r="K55" s="14">
        <f>600-102</f>
        <v>498</v>
      </c>
      <c r="L55" s="14">
        <v>0</v>
      </c>
      <c r="M55" s="14">
        <v>0</v>
      </c>
      <c r="N55" s="14">
        <v>0</v>
      </c>
      <c r="O55" s="14">
        <f>P55+Q55+R55+S55</f>
        <v>554</v>
      </c>
      <c r="P55" s="14">
        <f>600-46</f>
        <v>554</v>
      </c>
      <c r="Q55" s="14">
        <v>0</v>
      </c>
      <c r="R55" s="14">
        <v>0</v>
      </c>
      <c r="S55" s="14">
        <v>0</v>
      </c>
      <c r="T55" s="14">
        <f>U55+V55+W55+X55</f>
        <v>555</v>
      </c>
      <c r="U55" s="14">
        <v>555</v>
      </c>
      <c r="V55" s="14">
        <v>0</v>
      </c>
      <c r="W55" s="14">
        <v>0</v>
      </c>
      <c r="X55" s="14">
        <v>0</v>
      </c>
      <c r="Y55" s="15">
        <f>Z55+AA55+AB55+AC55</f>
        <v>940</v>
      </c>
      <c r="Z55" s="15">
        <v>940</v>
      </c>
      <c r="AA55" s="14">
        <v>0</v>
      </c>
      <c r="AB55" s="14">
        <v>0</v>
      </c>
      <c r="AC55" s="14">
        <v>0</v>
      </c>
      <c r="AD55" s="15">
        <f>E55+J55+O55+T55+Y55</f>
        <v>3247</v>
      </c>
    </row>
    <row r="56" spans="1:30">
      <c r="A56" s="66" t="s">
        <v>140</v>
      </c>
      <c r="B56" s="67"/>
      <c r="C56" s="68"/>
      <c r="D56" s="28"/>
      <c r="E56" s="18">
        <f t="shared" ref="E56:AD56" si="22">SUM(E55:E55)</f>
        <v>700</v>
      </c>
      <c r="F56" s="18">
        <f>SUM(F55)</f>
        <v>700</v>
      </c>
      <c r="G56" s="18">
        <f t="shared" si="22"/>
        <v>0</v>
      </c>
      <c r="H56" s="18">
        <f t="shared" si="22"/>
        <v>0</v>
      </c>
      <c r="I56" s="18">
        <f t="shared" si="22"/>
        <v>0</v>
      </c>
      <c r="J56" s="18">
        <f>J55</f>
        <v>498</v>
      </c>
      <c r="K56" s="18">
        <f t="shared" si="22"/>
        <v>498</v>
      </c>
      <c r="L56" s="18">
        <f t="shared" si="22"/>
        <v>0</v>
      </c>
      <c r="M56" s="18">
        <f t="shared" si="22"/>
        <v>0</v>
      </c>
      <c r="N56" s="18">
        <f t="shared" si="22"/>
        <v>0</v>
      </c>
      <c r="O56" s="18">
        <f t="shared" si="22"/>
        <v>554</v>
      </c>
      <c r="P56" s="18">
        <f t="shared" si="22"/>
        <v>554</v>
      </c>
      <c r="Q56" s="18">
        <f t="shared" si="22"/>
        <v>0</v>
      </c>
      <c r="R56" s="18">
        <f t="shared" si="22"/>
        <v>0</v>
      </c>
      <c r="S56" s="18">
        <f t="shared" si="22"/>
        <v>0</v>
      </c>
      <c r="T56" s="18">
        <f t="shared" si="22"/>
        <v>555</v>
      </c>
      <c r="U56" s="18">
        <f t="shared" si="22"/>
        <v>555</v>
      </c>
      <c r="V56" s="18">
        <f t="shared" si="22"/>
        <v>0</v>
      </c>
      <c r="W56" s="18">
        <f t="shared" si="22"/>
        <v>0</v>
      </c>
      <c r="X56" s="18">
        <f t="shared" si="22"/>
        <v>0</v>
      </c>
      <c r="Y56" s="16">
        <f t="shared" si="22"/>
        <v>940</v>
      </c>
      <c r="Z56" s="16">
        <f t="shared" si="22"/>
        <v>940</v>
      </c>
      <c r="AA56" s="18">
        <f t="shared" si="22"/>
        <v>0</v>
      </c>
      <c r="AB56" s="18">
        <f t="shared" si="22"/>
        <v>0</v>
      </c>
      <c r="AC56" s="18">
        <f t="shared" si="22"/>
        <v>0</v>
      </c>
      <c r="AD56" s="16">
        <f t="shared" si="22"/>
        <v>3247</v>
      </c>
    </row>
    <row r="57" spans="1:30" ht="23.25" customHeight="1">
      <c r="A57" s="10" t="s">
        <v>107</v>
      </c>
      <c r="B57" s="63" t="s">
        <v>155</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5"/>
    </row>
    <row r="58" spans="1:30" ht="111" customHeight="1">
      <c r="A58" s="72" t="s">
        <v>19</v>
      </c>
      <c r="B58" s="74" t="s">
        <v>129</v>
      </c>
      <c r="C58" s="10" t="s">
        <v>124</v>
      </c>
      <c r="D58" s="42">
        <v>2020</v>
      </c>
      <c r="E58" s="14">
        <f>F58+G58+H58+I58</f>
        <v>1449</v>
      </c>
      <c r="F58" s="14">
        <f>1656-207</f>
        <v>1449</v>
      </c>
      <c r="G58" s="14">
        <v>0</v>
      </c>
      <c r="H58" s="14">
        <v>0</v>
      </c>
      <c r="I58" s="14">
        <v>0</v>
      </c>
      <c r="J58" s="14">
        <f>K58+L58+M58+N58</f>
        <v>0</v>
      </c>
      <c r="K58" s="14">
        <v>0</v>
      </c>
      <c r="L58" s="14">
        <v>0</v>
      </c>
      <c r="M58" s="14">
        <v>0</v>
      </c>
      <c r="N58" s="14">
        <v>0</v>
      </c>
      <c r="O58" s="14">
        <f>P58+Q58+R58+S58</f>
        <v>0</v>
      </c>
      <c r="P58" s="14">
        <v>0</v>
      </c>
      <c r="Q58" s="14">
        <v>0</v>
      </c>
      <c r="R58" s="14">
        <v>0</v>
      </c>
      <c r="S58" s="14">
        <v>0</v>
      </c>
      <c r="T58" s="14">
        <f t="shared" ref="T58:T60" si="23">U58+V58+W58+X58</f>
        <v>0</v>
      </c>
      <c r="U58" s="14">
        <v>0</v>
      </c>
      <c r="V58" s="14">
        <v>0</v>
      </c>
      <c r="W58" s="14">
        <v>0</v>
      </c>
      <c r="X58" s="14">
        <v>0</v>
      </c>
      <c r="Y58" s="14">
        <f>Z58+AA58+AB58+AC58</f>
        <v>0</v>
      </c>
      <c r="Z58" s="14">
        <v>0</v>
      </c>
      <c r="AA58" s="14">
        <v>0</v>
      </c>
      <c r="AB58" s="14">
        <v>0</v>
      </c>
      <c r="AC58" s="14">
        <v>0</v>
      </c>
      <c r="AD58" s="14">
        <f>E58+I58+O58+T58+0</f>
        <v>1449</v>
      </c>
    </row>
    <row r="59" spans="1:30" ht="76.5" customHeight="1">
      <c r="A59" s="73"/>
      <c r="B59" s="75"/>
      <c r="C59" s="10" t="s">
        <v>125</v>
      </c>
      <c r="D59" s="42" t="s">
        <v>123</v>
      </c>
      <c r="E59" s="14">
        <f>F59+G59+H59+I59</f>
        <v>0</v>
      </c>
      <c r="F59" s="14">
        <v>0</v>
      </c>
      <c r="G59" s="14">
        <v>0</v>
      </c>
      <c r="H59" s="14">
        <v>0</v>
      </c>
      <c r="I59" s="14">
        <v>0</v>
      </c>
      <c r="J59" s="14">
        <f>K59+L59+M59+N59</f>
        <v>850</v>
      </c>
      <c r="K59" s="14">
        <f>1437-237-350</f>
        <v>850</v>
      </c>
      <c r="L59" s="14">
        <v>0</v>
      </c>
      <c r="M59" s="14">
        <v>0</v>
      </c>
      <c r="N59" s="14">
        <v>0</v>
      </c>
      <c r="O59" s="14">
        <f>P59+Q59+R59+S59</f>
        <v>997</v>
      </c>
      <c r="P59" s="14">
        <f>1437-175-3-262</f>
        <v>997</v>
      </c>
      <c r="Q59" s="14">
        <v>0</v>
      </c>
      <c r="R59" s="14">
        <v>0</v>
      </c>
      <c r="S59" s="14">
        <v>0</v>
      </c>
      <c r="T59" s="14">
        <f t="shared" si="23"/>
        <v>1022</v>
      </c>
      <c r="U59" s="14">
        <f>2022-1000</f>
        <v>1022</v>
      </c>
      <c r="V59" s="14">
        <v>0</v>
      </c>
      <c r="W59" s="14">
        <v>0</v>
      </c>
      <c r="X59" s="14">
        <v>0</v>
      </c>
      <c r="Y59" s="15">
        <f>Z59+AA59+AB59+AC59</f>
        <v>1375</v>
      </c>
      <c r="Z59" s="15">
        <v>1375</v>
      </c>
      <c r="AA59" s="14">
        <v>0</v>
      </c>
      <c r="AB59" s="14">
        <v>0</v>
      </c>
      <c r="AC59" s="14">
        <v>0</v>
      </c>
      <c r="AD59" s="15">
        <f>E59+J59+O59+T59+Y59</f>
        <v>4244</v>
      </c>
    </row>
    <row r="60" spans="1:30" ht="48.75" customHeight="1">
      <c r="A60" s="11" t="s">
        <v>108</v>
      </c>
      <c r="B60" s="21" t="s">
        <v>130</v>
      </c>
      <c r="C60" s="10" t="s">
        <v>22</v>
      </c>
      <c r="D60" s="10" t="s">
        <v>39</v>
      </c>
      <c r="E60" s="14">
        <f>F60+G60+H60+I60</f>
        <v>55</v>
      </c>
      <c r="F60" s="14">
        <f>86-31</f>
        <v>55</v>
      </c>
      <c r="G60" s="14">
        <v>0</v>
      </c>
      <c r="H60" s="14">
        <v>0</v>
      </c>
      <c r="I60" s="14">
        <v>0</v>
      </c>
      <c r="J60" s="14">
        <f>K60+L60+M60+N60</f>
        <v>60.5</v>
      </c>
      <c r="K60" s="14">
        <f>70-9.5</f>
        <v>60.5</v>
      </c>
      <c r="L60" s="14">
        <v>0</v>
      </c>
      <c r="M60" s="14">
        <v>0</v>
      </c>
      <c r="N60" s="14">
        <v>0</v>
      </c>
      <c r="O60" s="14">
        <f>P60+Q60+R60+S60</f>
        <v>134.19999999999999</v>
      </c>
      <c r="P60" s="14">
        <f>153-18.8</f>
        <v>134.19999999999999</v>
      </c>
      <c r="Q60" s="14">
        <v>0</v>
      </c>
      <c r="R60" s="14">
        <v>0</v>
      </c>
      <c r="S60" s="14">
        <v>0</v>
      </c>
      <c r="T60" s="14">
        <f t="shared" si="23"/>
        <v>138</v>
      </c>
      <c r="U60" s="14">
        <f>146-8</f>
        <v>138</v>
      </c>
      <c r="V60" s="14">
        <v>0</v>
      </c>
      <c r="W60" s="14">
        <v>0</v>
      </c>
      <c r="X60" s="14">
        <v>0</v>
      </c>
      <c r="Y60" s="15">
        <f>Z60+AA60+AB60+AC60</f>
        <v>136</v>
      </c>
      <c r="Z60" s="15">
        <v>136</v>
      </c>
      <c r="AA60" s="14">
        <v>0</v>
      </c>
      <c r="AB60" s="14">
        <v>0</v>
      </c>
      <c r="AC60" s="14">
        <v>0</v>
      </c>
      <c r="AD60" s="15">
        <f>E60+J60+O60+T60+Y60</f>
        <v>523.70000000000005</v>
      </c>
    </row>
    <row r="61" spans="1:30">
      <c r="A61" s="28" t="s">
        <v>28</v>
      </c>
      <c r="B61" s="28"/>
      <c r="C61" s="29"/>
      <c r="D61" s="28"/>
      <c r="E61" s="14">
        <f>E60</f>
        <v>55</v>
      </c>
      <c r="F61" s="14">
        <f>F60</f>
        <v>55</v>
      </c>
      <c r="G61" s="14">
        <v>0</v>
      </c>
      <c r="H61" s="14">
        <v>0</v>
      </c>
      <c r="I61" s="14">
        <v>0</v>
      </c>
      <c r="J61" s="14">
        <f>K61+L61+M61+N61</f>
        <v>910.5</v>
      </c>
      <c r="K61" s="14">
        <f>K59+K60</f>
        <v>910.5</v>
      </c>
      <c r="L61" s="14">
        <v>0</v>
      </c>
      <c r="M61" s="14">
        <v>0</v>
      </c>
      <c r="N61" s="14">
        <v>0</v>
      </c>
      <c r="O61" s="14">
        <f>P61+Q61+R61+S61</f>
        <v>1131.2</v>
      </c>
      <c r="P61" s="14">
        <f>P59+P60</f>
        <v>1131.2</v>
      </c>
      <c r="Q61" s="14">
        <v>0</v>
      </c>
      <c r="R61" s="14">
        <v>0</v>
      </c>
      <c r="S61" s="14">
        <v>0</v>
      </c>
      <c r="T61" s="14">
        <f>T59+T60</f>
        <v>1160</v>
      </c>
      <c r="U61" s="14">
        <f>U59+U60</f>
        <v>1160</v>
      </c>
      <c r="V61" s="14">
        <v>0</v>
      </c>
      <c r="W61" s="14">
        <v>0</v>
      </c>
      <c r="X61" s="14">
        <v>0</v>
      </c>
      <c r="Y61" s="15">
        <f>Y59+Y60</f>
        <v>1511</v>
      </c>
      <c r="Z61" s="15">
        <f>Z59+Z60</f>
        <v>1511</v>
      </c>
      <c r="AA61" s="14">
        <v>0</v>
      </c>
      <c r="AB61" s="14">
        <v>0</v>
      </c>
      <c r="AC61" s="14">
        <v>0</v>
      </c>
      <c r="AD61" s="15">
        <f>AD59+AD60</f>
        <v>4767.7</v>
      </c>
    </row>
    <row r="62" spans="1:30">
      <c r="A62" s="28" t="s">
        <v>64</v>
      </c>
      <c r="B62" s="28"/>
      <c r="C62" s="29"/>
      <c r="D62" s="28"/>
      <c r="E62" s="14">
        <f>F62+G62+H62+I62</f>
        <v>1449</v>
      </c>
      <c r="F62" s="14">
        <f>F58</f>
        <v>1449</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f>AD58</f>
        <v>1449</v>
      </c>
    </row>
    <row r="63" spans="1:30" s="36" customFormat="1">
      <c r="A63" s="43"/>
      <c r="B63" s="43" t="s">
        <v>131</v>
      </c>
      <c r="C63" s="44"/>
      <c r="D63" s="43"/>
      <c r="E63" s="18">
        <f>F63+G63+H63+I63</f>
        <v>1504</v>
      </c>
      <c r="F63" s="18">
        <f>F61+F62</f>
        <v>1504</v>
      </c>
      <c r="G63" s="18">
        <v>0</v>
      </c>
      <c r="H63" s="18">
        <v>0</v>
      </c>
      <c r="I63" s="18">
        <v>0</v>
      </c>
      <c r="J63" s="18">
        <f>K63+L63+M63+N63</f>
        <v>910.5</v>
      </c>
      <c r="K63" s="18">
        <f>K61+K62</f>
        <v>910.5</v>
      </c>
      <c r="L63" s="18">
        <v>0</v>
      </c>
      <c r="M63" s="18">
        <v>0</v>
      </c>
      <c r="N63" s="18">
        <v>0</v>
      </c>
      <c r="O63" s="18">
        <f>P63+Q63+R63+S63</f>
        <v>1131.2</v>
      </c>
      <c r="P63" s="18">
        <f>P61+P62</f>
        <v>1131.2</v>
      </c>
      <c r="Q63" s="18">
        <v>0</v>
      </c>
      <c r="R63" s="18">
        <v>0</v>
      </c>
      <c r="S63" s="18">
        <v>0</v>
      </c>
      <c r="T63" s="18">
        <f>U63+V63+W63+X63</f>
        <v>1160</v>
      </c>
      <c r="U63" s="18">
        <f>U61+U62</f>
        <v>1160</v>
      </c>
      <c r="V63" s="18">
        <v>0</v>
      </c>
      <c r="W63" s="18">
        <v>0</v>
      </c>
      <c r="X63" s="18">
        <v>0</v>
      </c>
      <c r="Y63" s="16">
        <f>Z63+AA63+AB63+AC63</f>
        <v>1511</v>
      </c>
      <c r="Z63" s="16">
        <f>Z61+Z62</f>
        <v>1511</v>
      </c>
      <c r="AA63" s="18">
        <v>0</v>
      </c>
      <c r="AB63" s="18">
        <v>0</v>
      </c>
      <c r="AC63" s="18">
        <v>0</v>
      </c>
      <c r="AD63" s="16">
        <f>E63+J63+O63+T63+Y63</f>
        <v>6216.7</v>
      </c>
    </row>
    <row r="64" spans="1:30">
      <c r="A64" s="10" t="s">
        <v>92</v>
      </c>
      <c r="B64" s="63" t="s">
        <v>156</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5"/>
    </row>
    <row r="65" spans="1:32" ht="87.75" customHeight="1">
      <c r="A65" s="11" t="s">
        <v>20</v>
      </c>
      <c r="B65" s="24" t="s">
        <v>47</v>
      </c>
      <c r="C65" s="10" t="s">
        <v>40</v>
      </c>
      <c r="D65" s="10" t="s">
        <v>39</v>
      </c>
      <c r="E65" s="14">
        <f>F65+G65+H65+I65</f>
        <v>766</v>
      </c>
      <c r="F65" s="14">
        <f>409+357</f>
        <v>766</v>
      </c>
      <c r="G65" s="14">
        <v>0</v>
      </c>
      <c r="H65" s="14">
        <v>0</v>
      </c>
      <c r="I65" s="14">
        <v>0</v>
      </c>
      <c r="J65" s="14">
        <f>K65+L65+M65+N65</f>
        <v>628</v>
      </c>
      <c r="K65" s="14">
        <f>655-27</f>
        <v>628</v>
      </c>
      <c r="L65" s="14">
        <v>0</v>
      </c>
      <c r="M65" s="14">
        <v>0</v>
      </c>
      <c r="N65" s="14">
        <v>0</v>
      </c>
      <c r="O65" s="14">
        <f>P65+Q65+R65+S65</f>
        <v>508.79999999999995</v>
      </c>
      <c r="P65" s="14">
        <f>533-23.2+34-35</f>
        <v>508.79999999999995</v>
      </c>
      <c r="Q65" s="14">
        <v>0</v>
      </c>
      <c r="R65" s="14">
        <v>0</v>
      </c>
      <c r="S65" s="14">
        <v>0</v>
      </c>
      <c r="T65" s="14">
        <f>U65+V65+W65+X65</f>
        <v>503</v>
      </c>
      <c r="U65" s="14">
        <v>503</v>
      </c>
      <c r="V65" s="14">
        <v>0</v>
      </c>
      <c r="W65" s="14">
        <v>0</v>
      </c>
      <c r="X65" s="14">
        <v>0</v>
      </c>
      <c r="Y65" s="15">
        <f>Z65+AA65+AB65+AC65</f>
        <v>602</v>
      </c>
      <c r="Z65" s="15">
        <v>602</v>
      </c>
      <c r="AA65" s="14">
        <v>0</v>
      </c>
      <c r="AB65" s="14">
        <v>0</v>
      </c>
      <c r="AC65" s="14">
        <v>0</v>
      </c>
      <c r="AD65" s="15">
        <f>E65+J65+O65+T65+Y65</f>
        <v>3007.8</v>
      </c>
      <c r="AF65" s="3" t="s">
        <v>62</v>
      </c>
    </row>
    <row r="66" spans="1:32">
      <c r="A66" s="66" t="s">
        <v>141</v>
      </c>
      <c r="B66" s="67"/>
      <c r="C66" s="68"/>
      <c r="D66" s="28"/>
      <c r="E66" s="18">
        <f t="shared" ref="E66:AD66" si="24">SUM(E65:E65)</f>
        <v>766</v>
      </c>
      <c r="F66" s="18">
        <f>SUM(F65)</f>
        <v>766</v>
      </c>
      <c r="G66" s="18">
        <f t="shared" si="24"/>
        <v>0</v>
      </c>
      <c r="H66" s="18">
        <f t="shared" si="24"/>
        <v>0</v>
      </c>
      <c r="I66" s="18">
        <f t="shared" si="24"/>
        <v>0</v>
      </c>
      <c r="J66" s="18">
        <f>J65</f>
        <v>628</v>
      </c>
      <c r="K66" s="18">
        <f t="shared" si="24"/>
        <v>628</v>
      </c>
      <c r="L66" s="18">
        <f t="shared" si="24"/>
        <v>0</v>
      </c>
      <c r="M66" s="18">
        <f t="shared" si="24"/>
        <v>0</v>
      </c>
      <c r="N66" s="18">
        <f t="shared" si="24"/>
        <v>0</v>
      </c>
      <c r="O66" s="18">
        <f t="shared" si="24"/>
        <v>508.79999999999995</v>
      </c>
      <c r="P66" s="18">
        <f t="shared" si="24"/>
        <v>508.79999999999995</v>
      </c>
      <c r="Q66" s="18">
        <f t="shared" si="24"/>
        <v>0</v>
      </c>
      <c r="R66" s="18">
        <f t="shared" si="24"/>
        <v>0</v>
      </c>
      <c r="S66" s="18">
        <f t="shared" si="24"/>
        <v>0</v>
      </c>
      <c r="T66" s="18">
        <f t="shared" si="24"/>
        <v>503</v>
      </c>
      <c r="U66" s="18">
        <f t="shared" si="24"/>
        <v>503</v>
      </c>
      <c r="V66" s="18">
        <f t="shared" si="24"/>
        <v>0</v>
      </c>
      <c r="W66" s="18">
        <f t="shared" si="24"/>
        <v>0</v>
      </c>
      <c r="X66" s="18">
        <f t="shared" si="24"/>
        <v>0</v>
      </c>
      <c r="Y66" s="16">
        <f t="shared" si="24"/>
        <v>602</v>
      </c>
      <c r="Z66" s="16">
        <f t="shared" si="24"/>
        <v>602</v>
      </c>
      <c r="AA66" s="18">
        <f t="shared" si="24"/>
        <v>0</v>
      </c>
      <c r="AB66" s="18">
        <f t="shared" si="24"/>
        <v>0</v>
      </c>
      <c r="AC66" s="18">
        <f t="shared" si="24"/>
        <v>0</v>
      </c>
      <c r="AD66" s="16">
        <f t="shared" si="24"/>
        <v>3007.8</v>
      </c>
    </row>
    <row r="67" spans="1:32">
      <c r="A67" s="28" t="s">
        <v>109</v>
      </c>
      <c r="B67" s="63" t="s">
        <v>157</v>
      </c>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5"/>
    </row>
    <row r="68" spans="1:32" ht="92.25" customHeight="1">
      <c r="A68" s="28" t="s">
        <v>21</v>
      </c>
      <c r="B68" s="24" t="s">
        <v>53</v>
      </c>
      <c r="C68" s="10" t="s">
        <v>45</v>
      </c>
      <c r="D68" s="10" t="s">
        <v>39</v>
      </c>
      <c r="E68" s="14">
        <f>F68+G68+H68+I68</f>
        <v>25286</v>
      </c>
      <c r="F68" s="14">
        <f>27786-2500</f>
        <v>25286</v>
      </c>
      <c r="G68" s="14">
        <v>0</v>
      </c>
      <c r="H68" s="14">
        <v>0</v>
      </c>
      <c r="I68" s="14">
        <v>0</v>
      </c>
      <c r="J68" s="14">
        <f>K68+L68+M68+N68</f>
        <v>29781</v>
      </c>
      <c r="K68" s="14">
        <f>40120-110-10229</f>
        <v>29781</v>
      </c>
      <c r="L68" s="14">
        <v>0</v>
      </c>
      <c r="M68" s="14">
        <v>0</v>
      </c>
      <c r="N68" s="14">
        <v>0</v>
      </c>
      <c r="O68" s="14">
        <f>P68+Q68+R68+S68</f>
        <v>26886.400000000001</v>
      </c>
      <c r="P68" s="14">
        <f>29104-2217.6</f>
        <v>26886.400000000001</v>
      </c>
      <c r="Q68" s="14">
        <v>0</v>
      </c>
      <c r="R68" s="14">
        <v>0</v>
      </c>
      <c r="S68" s="14">
        <v>0</v>
      </c>
      <c r="T68" s="14">
        <f>U68+V68+W68+X68</f>
        <v>27352</v>
      </c>
      <c r="U68" s="14">
        <f>28982-1630</f>
        <v>27352</v>
      </c>
      <c r="V68" s="14">
        <v>0</v>
      </c>
      <c r="W68" s="14">
        <v>0</v>
      </c>
      <c r="X68" s="14">
        <v>0</v>
      </c>
      <c r="Y68" s="15">
        <f>Z68+AA68+AB68+AC68</f>
        <v>29719</v>
      </c>
      <c r="Z68" s="15">
        <v>29719</v>
      </c>
      <c r="AA68" s="14">
        <v>0</v>
      </c>
      <c r="AB68" s="14">
        <v>0</v>
      </c>
      <c r="AC68" s="14">
        <v>0</v>
      </c>
      <c r="AD68" s="15">
        <f>E68+J68+O68+T68+Y68</f>
        <v>139024.4</v>
      </c>
    </row>
    <row r="69" spans="1:32">
      <c r="A69" s="66" t="s">
        <v>142</v>
      </c>
      <c r="B69" s="67"/>
      <c r="C69" s="68"/>
      <c r="D69" s="28"/>
      <c r="E69" s="18">
        <f t="shared" ref="E69:AD69" si="25">SUM(E68:E68)</f>
        <v>25286</v>
      </c>
      <c r="F69" s="18">
        <f>SUM(F68)</f>
        <v>25286</v>
      </c>
      <c r="G69" s="18">
        <f t="shared" si="25"/>
        <v>0</v>
      </c>
      <c r="H69" s="18">
        <f t="shared" si="25"/>
        <v>0</v>
      </c>
      <c r="I69" s="18">
        <f t="shared" si="25"/>
        <v>0</v>
      </c>
      <c r="J69" s="18">
        <f>J68</f>
        <v>29781</v>
      </c>
      <c r="K69" s="18">
        <f t="shared" si="25"/>
        <v>29781</v>
      </c>
      <c r="L69" s="18">
        <f t="shared" si="25"/>
        <v>0</v>
      </c>
      <c r="M69" s="18">
        <f t="shared" si="25"/>
        <v>0</v>
      </c>
      <c r="N69" s="18">
        <f t="shared" si="25"/>
        <v>0</v>
      </c>
      <c r="O69" s="18">
        <f t="shared" si="25"/>
        <v>26886.400000000001</v>
      </c>
      <c r="P69" s="18">
        <f t="shared" si="25"/>
        <v>26886.400000000001</v>
      </c>
      <c r="Q69" s="18">
        <f t="shared" si="25"/>
        <v>0</v>
      </c>
      <c r="R69" s="18">
        <f t="shared" si="25"/>
        <v>0</v>
      </c>
      <c r="S69" s="18">
        <f t="shared" si="25"/>
        <v>0</v>
      </c>
      <c r="T69" s="18">
        <f t="shared" si="25"/>
        <v>27352</v>
      </c>
      <c r="U69" s="18">
        <f t="shared" si="25"/>
        <v>27352</v>
      </c>
      <c r="V69" s="18">
        <f t="shared" si="25"/>
        <v>0</v>
      </c>
      <c r="W69" s="18">
        <f t="shared" si="25"/>
        <v>0</v>
      </c>
      <c r="X69" s="18">
        <f t="shared" si="25"/>
        <v>0</v>
      </c>
      <c r="Y69" s="18">
        <f t="shared" si="25"/>
        <v>29719</v>
      </c>
      <c r="Z69" s="18">
        <f t="shared" si="25"/>
        <v>29719</v>
      </c>
      <c r="AA69" s="18">
        <f t="shared" si="25"/>
        <v>0</v>
      </c>
      <c r="AB69" s="18">
        <f t="shared" si="25"/>
        <v>0</v>
      </c>
      <c r="AC69" s="18">
        <f t="shared" si="25"/>
        <v>0</v>
      </c>
      <c r="AD69" s="16">
        <f t="shared" si="25"/>
        <v>139024.4</v>
      </c>
    </row>
    <row r="70" spans="1:32">
      <c r="A70" s="28" t="s">
        <v>110</v>
      </c>
      <c r="B70" s="63" t="s">
        <v>158</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5"/>
    </row>
    <row r="71" spans="1:32" ht="57.75" customHeight="1">
      <c r="A71" s="28" t="s">
        <v>23</v>
      </c>
      <c r="B71" s="19" t="s">
        <v>41</v>
      </c>
      <c r="C71" s="10" t="s">
        <v>40</v>
      </c>
      <c r="D71" s="10" t="s">
        <v>39</v>
      </c>
      <c r="E71" s="14">
        <f>F71+G71+H71+I71</f>
        <v>7420</v>
      </c>
      <c r="F71" s="14">
        <f>6486+934</f>
        <v>7420</v>
      </c>
      <c r="G71" s="14">
        <v>0</v>
      </c>
      <c r="H71" s="14">
        <v>0</v>
      </c>
      <c r="I71" s="14">
        <v>0</v>
      </c>
      <c r="J71" s="14">
        <f>K71+L71+M71+N71</f>
        <v>6270</v>
      </c>
      <c r="K71" s="14">
        <f>7350-300-780</f>
        <v>6270</v>
      </c>
      <c r="L71" s="14">
        <v>0</v>
      </c>
      <c r="M71" s="14">
        <v>0</v>
      </c>
      <c r="N71" s="14">
        <v>0</v>
      </c>
      <c r="O71" s="14">
        <f>P71+Q71+R71+S71</f>
        <v>5850</v>
      </c>
      <c r="P71" s="14">
        <f>7050-390-810</f>
        <v>5850</v>
      </c>
      <c r="Q71" s="14">
        <v>0</v>
      </c>
      <c r="R71" s="14">
        <v>0</v>
      </c>
      <c r="S71" s="14">
        <v>0</v>
      </c>
      <c r="T71" s="14">
        <f>U71+V71+W71+X71</f>
        <v>5850</v>
      </c>
      <c r="U71" s="14">
        <f>6660-810</f>
        <v>5850</v>
      </c>
      <c r="V71" s="14">
        <v>0</v>
      </c>
      <c r="W71" s="14">
        <v>0</v>
      </c>
      <c r="X71" s="14">
        <v>0</v>
      </c>
      <c r="Y71" s="15">
        <f>Z71+AA71+AB71+AC71</f>
        <v>5850</v>
      </c>
      <c r="Z71" s="15">
        <v>5850</v>
      </c>
      <c r="AA71" s="14">
        <v>0</v>
      </c>
      <c r="AB71" s="14">
        <v>0</v>
      </c>
      <c r="AC71" s="14">
        <v>0</v>
      </c>
      <c r="AD71" s="15">
        <f>E71+J71+O71+T71+Y71</f>
        <v>31240</v>
      </c>
    </row>
    <row r="72" spans="1:32" ht="52.5" customHeight="1">
      <c r="A72" s="28" t="s">
        <v>111</v>
      </c>
      <c r="B72" s="24" t="s">
        <v>79</v>
      </c>
      <c r="C72" s="10" t="s">
        <v>40</v>
      </c>
      <c r="D72" s="10" t="s">
        <v>39</v>
      </c>
      <c r="E72" s="14">
        <f>SUM(F72:I72)</f>
        <v>681</v>
      </c>
      <c r="F72" s="14">
        <v>681</v>
      </c>
      <c r="G72" s="14">
        <v>0</v>
      </c>
      <c r="H72" s="14">
        <v>0</v>
      </c>
      <c r="I72" s="14">
        <v>0</v>
      </c>
      <c r="J72" s="14">
        <f>K72+L72+M72+N72</f>
        <v>558</v>
      </c>
      <c r="K72" s="14">
        <f>684-126</f>
        <v>558</v>
      </c>
      <c r="L72" s="14">
        <v>0</v>
      </c>
      <c r="M72" s="14">
        <v>0</v>
      </c>
      <c r="N72" s="14">
        <v>0</v>
      </c>
      <c r="O72" s="14">
        <f>P72+Q72+R72+S72</f>
        <v>498</v>
      </c>
      <c r="P72" s="14">
        <f>612-54-60</f>
        <v>498</v>
      </c>
      <c r="Q72" s="14">
        <v>0</v>
      </c>
      <c r="R72" s="14">
        <v>0</v>
      </c>
      <c r="S72" s="14">
        <v>0</v>
      </c>
      <c r="T72" s="14">
        <f>U72+V72+W72+X72</f>
        <v>468</v>
      </c>
      <c r="U72" s="14">
        <f>540-72</f>
        <v>468</v>
      </c>
      <c r="V72" s="14">
        <v>0</v>
      </c>
      <c r="W72" s="14">
        <v>0</v>
      </c>
      <c r="X72" s="14">
        <v>0</v>
      </c>
      <c r="Y72" s="14">
        <v>0</v>
      </c>
      <c r="Z72" s="14">
        <v>0</v>
      </c>
      <c r="AA72" s="14">
        <v>0</v>
      </c>
      <c r="AB72" s="14">
        <v>0</v>
      </c>
      <c r="AC72" s="14">
        <v>0</v>
      </c>
      <c r="AD72" s="14">
        <f>E72+J72+O72+T72+Y72</f>
        <v>2205</v>
      </c>
    </row>
    <row r="73" spans="1:32" ht="63">
      <c r="A73" s="28" t="s">
        <v>112</v>
      </c>
      <c r="B73" s="24" t="s">
        <v>119</v>
      </c>
      <c r="C73" s="10" t="s">
        <v>116</v>
      </c>
      <c r="D73" s="10">
        <v>2020</v>
      </c>
      <c r="E73" s="14">
        <f>F73+G73+H73+I73</f>
        <v>774</v>
      </c>
      <c r="F73" s="14">
        <v>774</v>
      </c>
      <c r="G73" s="14">
        <v>0</v>
      </c>
      <c r="H73" s="14">
        <v>0</v>
      </c>
      <c r="I73" s="14">
        <v>0</v>
      </c>
      <c r="J73" s="14">
        <f>K73+L73+M73+N73</f>
        <v>350</v>
      </c>
      <c r="K73" s="14">
        <v>350</v>
      </c>
      <c r="L73" s="14">
        <v>0</v>
      </c>
      <c r="M73" s="14">
        <v>0</v>
      </c>
      <c r="N73" s="14">
        <v>0</v>
      </c>
      <c r="O73" s="14">
        <f>P73+Q73+R73+S73</f>
        <v>360</v>
      </c>
      <c r="P73" s="14">
        <v>360</v>
      </c>
      <c r="Q73" s="14">
        <v>0</v>
      </c>
      <c r="R73" s="14">
        <v>0</v>
      </c>
      <c r="S73" s="14">
        <v>0</v>
      </c>
      <c r="T73" s="14">
        <f>U73+V73+W73+X73</f>
        <v>360</v>
      </c>
      <c r="U73" s="14">
        <v>360</v>
      </c>
      <c r="V73" s="14">
        <v>0</v>
      </c>
      <c r="W73" s="14">
        <v>0</v>
      </c>
      <c r="X73" s="14">
        <v>0</v>
      </c>
      <c r="Y73" s="15">
        <f>Z73+AA73+AB73+AC73</f>
        <v>405</v>
      </c>
      <c r="Z73" s="15">
        <v>405</v>
      </c>
      <c r="AA73" s="14">
        <v>0</v>
      </c>
      <c r="AB73" s="14">
        <v>0</v>
      </c>
      <c r="AC73" s="14">
        <v>0</v>
      </c>
      <c r="AD73" s="15">
        <f>E73+J73+O73+T73+Y73</f>
        <v>2249</v>
      </c>
    </row>
    <row r="74" spans="1:32">
      <c r="A74" s="66" t="s">
        <v>146</v>
      </c>
      <c r="B74" s="67"/>
      <c r="C74" s="68"/>
      <c r="D74" s="28"/>
      <c r="E74" s="18">
        <f>E71+E72+E73</f>
        <v>8875</v>
      </c>
      <c r="F74" s="18">
        <f>F71+F72+F73</f>
        <v>8875</v>
      </c>
      <c r="G74" s="18">
        <f>SUM(G71:G71)</f>
        <v>0</v>
      </c>
      <c r="H74" s="18">
        <f>SUM(H71:H71)</f>
        <v>0</v>
      </c>
      <c r="I74" s="18">
        <f>SUM(I71:I71)</f>
        <v>0</v>
      </c>
      <c r="J74" s="18">
        <f>J71+J72+J73</f>
        <v>7178</v>
      </c>
      <c r="K74" s="18">
        <f>K71+K72+K73</f>
        <v>7178</v>
      </c>
      <c r="L74" s="18">
        <f>SUM(L71:L71)</f>
        <v>0</v>
      </c>
      <c r="M74" s="18">
        <f>SUM(M71:M71)</f>
        <v>0</v>
      </c>
      <c r="N74" s="18">
        <f>SUM(N71:N71)</f>
        <v>0</v>
      </c>
      <c r="O74" s="18">
        <f>O71+O72+O73</f>
        <v>6708</v>
      </c>
      <c r="P74" s="18">
        <f>P71+P72+P73</f>
        <v>6708</v>
      </c>
      <c r="Q74" s="18">
        <f>SUM(Q71:Q71)</f>
        <v>0</v>
      </c>
      <c r="R74" s="18">
        <f>SUM(R71:R71)</f>
        <v>0</v>
      </c>
      <c r="S74" s="18">
        <f>SUM(S71:S71)</f>
        <v>0</v>
      </c>
      <c r="T74" s="18">
        <f>T71+T72+T73</f>
        <v>6678</v>
      </c>
      <c r="U74" s="18">
        <f>U71+U72+U73</f>
        <v>6678</v>
      </c>
      <c r="V74" s="18">
        <f>SUM(V71:V71)</f>
        <v>0</v>
      </c>
      <c r="W74" s="18">
        <f>SUM(W71:W71)</f>
        <v>0</v>
      </c>
      <c r="X74" s="18">
        <f>SUM(X71:X71)</f>
        <v>0</v>
      </c>
      <c r="Y74" s="16">
        <f>Y71+Y72+Y73</f>
        <v>6255</v>
      </c>
      <c r="Z74" s="16">
        <f>Z71+Z72+Z73</f>
        <v>6255</v>
      </c>
      <c r="AA74" s="18">
        <f>SUM(AA71:AA71)</f>
        <v>0</v>
      </c>
      <c r="AB74" s="18">
        <f>SUM(AB71:AB71)</f>
        <v>0</v>
      </c>
      <c r="AC74" s="18">
        <f>SUM(AC71:AC71)</f>
        <v>0</v>
      </c>
      <c r="AD74" s="16">
        <f>SUM(AD71:AD73)</f>
        <v>35694</v>
      </c>
    </row>
    <row r="75" spans="1:32">
      <c r="A75" s="28" t="s">
        <v>64</v>
      </c>
      <c r="B75" s="28"/>
      <c r="C75" s="29"/>
      <c r="D75" s="29"/>
      <c r="E75" s="40">
        <f>E71+E72+E73</f>
        <v>8875</v>
      </c>
      <c r="F75" s="40">
        <f>F71+F72+F73</f>
        <v>8875</v>
      </c>
      <c r="G75" s="40">
        <v>0</v>
      </c>
      <c r="H75" s="40">
        <v>0</v>
      </c>
      <c r="I75" s="40">
        <v>0</v>
      </c>
      <c r="J75" s="40">
        <f>J71+J72+J73</f>
        <v>7178</v>
      </c>
      <c r="K75" s="40">
        <f>K71+K72+K73</f>
        <v>7178</v>
      </c>
      <c r="L75" s="40">
        <v>0</v>
      </c>
      <c r="M75" s="40">
        <v>0</v>
      </c>
      <c r="N75" s="40">
        <v>0</v>
      </c>
      <c r="O75" s="40">
        <f>O74</f>
        <v>6708</v>
      </c>
      <c r="P75" s="40">
        <f>P71+P72+P73</f>
        <v>6708</v>
      </c>
      <c r="Q75" s="40">
        <v>0</v>
      </c>
      <c r="R75" s="40">
        <v>0</v>
      </c>
      <c r="S75" s="40">
        <v>0</v>
      </c>
      <c r="T75" s="40">
        <f>T71+T72+T73</f>
        <v>6678</v>
      </c>
      <c r="U75" s="40">
        <f>U71+U72+U73</f>
        <v>6678</v>
      </c>
      <c r="V75" s="40">
        <v>0</v>
      </c>
      <c r="W75" s="40">
        <v>0</v>
      </c>
      <c r="X75" s="40">
        <v>0</v>
      </c>
      <c r="Y75" s="45">
        <f>Y71+Y72+Y73</f>
        <v>6255</v>
      </c>
      <c r="Z75" s="45">
        <f>Z71+Z72+Z73</f>
        <v>6255</v>
      </c>
      <c r="AA75" s="40">
        <v>0</v>
      </c>
      <c r="AB75" s="40">
        <v>0</v>
      </c>
      <c r="AC75" s="40">
        <v>0</v>
      </c>
      <c r="AD75" s="46">
        <f>AD74</f>
        <v>35694</v>
      </c>
    </row>
    <row r="76" spans="1:32">
      <c r="A76" s="28" t="s">
        <v>42</v>
      </c>
      <c r="B76" s="63" t="s">
        <v>159</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5"/>
    </row>
    <row r="77" spans="1:32" ht="47.25">
      <c r="A77" s="47" t="s">
        <v>24</v>
      </c>
      <c r="B77" s="19" t="s">
        <v>128</v>
      </c>
      <c r="C77" s="10" t="s">
        <v>28</v>
      </c>
      <c r="D77" s="10" t="s">
        <v>39</v>
      </c>
      <c r="E77" s="14">
        <f xml:space="preserve"> SUM(F77:I77)</f>
        <v>136.19999999999999</v>
      </c>
      <c r="F77" s="14">
        <f>74.6+61.6</f>
        <v>136.19999999999999</v>
      </c>
      <c r="G77" s="14">
        <v>0</v>
      </c>
      <c r="H77" s="14">
        <v>0</v>
      </c>
      <c r="I77" s="14">
        <v>0</v>
      </c>
      <c r="J77" s="14">
        <f xml:space="preserve"> SUM(K77:N77)</f>
        <v>137.5</v>
      </c>
      <c r="K77" s="14">
        <f>142-4.5</f>
        <v>137.5</v>
      </c>
      <c r="L77" s="14">
        <v>0</v>
      </c>
      <c r="M77" s="14">
        <v>0</v>
      </c>
      <c r="N77" s="14">
        <v>0</v>
      </c>
      <c r="O77" s="14">
        <f xml:space="preserve"> SUM(P77:S77)</f>
        <v>139</v>
      </c>
      <c r="P77" s="14">
        <f>142-3</f>
        <v>139</v>
      </c>
      <c r="Q77" s="14">
        <v>0</v>
      </c>
      <c r="R77" s="14">
        <v>0</v>
      </c>
      <c r="S77" s="14">
        <v>0</v>
      </c>
      <c r="T77" s="14">
        <f xml:space="preserve"> SUM(U77:X77)</f>
        <v>142</v>
      </c>
      <c r="U77" s="14">
        <v>142</v>
      </c>
      <c r="V77" s="14">
        <v>0</v>
      </c>
      <c r="W77" s="14">
        <v>0</v>
      </c>
      <c r="X77" s="14">
        <v>0</v>
      </c>
      <c r="Y77" s="15">
        <f xml:space="preserve"> SUM(Z77:AC77)</f>
        <v>144</v>
      </c>
      <c r="Z77" s="15">
        <v>144</v>
      </c>
      <c r="AA77" s="14">
        <v>0</v>
      </c>
      <c r="AB77" s="14">
        <v>0</v>
      </c>
      <c r="AC77" s="14">
        <v>0</v>
      </c>
      <c r="AD77" s="15">
        <f>E77+J77+O77+T77+Y77</f>
        <v>698.7</v>
      </c>
    </row>
    <row r="78" spans="1:32">
      <c r="A78" s="66" t="s">
        <v>145</v>
      </c>
      <c r="B78" s="67"/>
      <c r="C78" s="68"/>
      <c r="D78" s="28"/>
      <c r="E78" s="18">
        <f>E77</f>
        <v>136.19999999999999</v>
      </c>
      <c r="F78" s="18">
        <f>F77</f>
        <v>136.19999999999999</v>
      </c>
      <c r="G78" s="18">
        <v>0</v>
      </c>
      <c r="H78" s="18">
        <v>0</v>
      </c>
      <c r="I78" s="18">
        <v>0</v>
      </c>
      <c r="J78" s="18">
        <f t="shared" ref="J78:AC78" si="26">J77</f>
        <v>137.5</v>
      </c>
      <c r="K78" s="18">
        <f t="shared" si="26"/>
        <v>137.5</v>
      </c>
      <c r="L78" s="18">
        <f t="shared" si="26"/>
        <v>0</v>
      </c>
      <c r="M78" s="18">
        <f t="shared" si="26"/>
        <v>0</v>
      </c>
      <c r="N78" s="18">
        <f t="shared" si="26"/>
        <v>0</v>
      </c>
      <c r="O78" s="18">
        <f t="shared" si="26"/>
        <v>139</v>
      </c>
      <c r="P78" s="18">
        <f t="shared" si="26"/>
        <v>139</v>
      </c>
      <c r="Q78" s="18">
        <f t="shared" si="26"/>
        <v>0</v>
      </c>
      <c r="R78" s="18">
        <f t="shared" si="26"/>
        <v>0</v>
      </c>
      <c r="S78" s="18">
        <f t="shared" si="26"/>
        <v>0</v>
      </c>
      <c r="T78" s="18">
        <f t="shared" si="26"/>
        <v>142</v>
      </c>
      <c r="U78" s="18">
        <f t="shared" si="26"/>
        <v>142</v>
      </c>
      <c r="V78" s="18">
        <f t="shared" si="26"/>
        <v>0</v>
      </c>
      <c r="W78" s="18">
        <f t="shared" si="26"/>
        <v>0</v>
      </c>
      <c r="X78" s="18">
        <f t="shared" si="26"/>
        <v>0</v>
      </c>
      <c r="Y78" s="16">
        <f t="shared" si="26"/>
        <v>144</v>
      </c>
      <c r="Z78" s="16">
        <f t="shared" si="26"/>
        <v>144</v>
      </c>
      <c r="AA78" s="18">
        <f t="shared" si="26"/>
        <v>0</v>
      </c>
      <c r="AB78" s="18">
        <f t="shared" si="26"/>
        <v>0</v>
      </c>
      <c r="AC78" s="18">
        <f t="shared" si="26"/>
        <v>0</v>
      </c>
      <c r="AD78" s="16">
        <f>E78+J78+O78+T78+Y78</f>
        <v>698.7</v>
      </c>
    </row>
    <row r="79" spans="1:32">
      <c r="A79" s="27">
        <v>10</v>
      </c>
      <c r="B79" s="69" t="s">
        <v>113</v>
      </c>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1"/>
    </row>
    <row r="80" spans="1:32" ht="64.5" customHeight="1">
      <c r="A80" s="48" t="s">
        <v>25</v>
      </c>
      <c r="B80" s="19" t="s">
        <v>73</v>
      </c>
      <c r="C80" s="49" t="s">
        <v>46</v>
      </c>
      <c r="D80" s="10" t="s">
        <v>39</v>
      </c>
      <c r="E80" s="50">
        <v>500</v>
      </c>
      <c r="F80" s="50">
        <v>500</v>
      </c>
      <c r="G80" s="50">
        <v>0</v>
      </c>
      <c r="H80" s="50">
        <v>0</v>
      </c>
      <c r="I80" s="50">
        <v>0</v>
      </c>
      <c r="J80" s="50">
        <f>K80+L80+M80+N80</f>
        <v>12</v>
      </c>
      <c r="K80" s="50">
        <f>24-12</f>
        <v>12</v>
      </c>
      <c r="L80" s="50">
        <v>0</v>
      </c>
      <c r="M80" s="50">
        <v>0</v>
      </c>
      <c r="N80" s="50">
        <v>0</v>
      </c>
      <c r="O80" s="50">
        <v>0</v>
      </c>
      <c r="P80" s="50">
        <v>0</v>
      </c>
      <c r="Q80" s="50">
        <v>0</v>
      </c>
      <c r="R80" s="50">
        <v>0</v>
      </c>
      <c r="S80" s="50">
        <v>0</v>
      </c>
      <c r="T80" s="50">
        <f t="shared" ref="T80:T82" si="27">U80+V80+W80+X80</f>
        <v>0</v>
      </c>
      <c r="U80" s="50">
        <v>0</v>
      </c>
      <c r="V80" s="50">
        <v>0</v>
      </c>
      <c r="W80" s="50">
        <v>0</v>
      </c>
      <c r="X80" s="50">
        <v>0</v>
      </c>
      <c r="Y80" s="50">
        <f>Z80+AA80+AB80+AC80</f>
        <v>0</v>
      </c>
      <c r="Z80" s="50">
        <v>0</v>
      </c>
      <c r="AA80" s="50">
        <v>0</v>
      </c>
      <c r="AB80" s="50">
        <v>0</v>
      </c>
      <c r="AC80" s="50">
        <v>0</v>
      </c>
      <c r="AD80" s="50">
        <f>E80+J80+O80+T80+Y80</f>
        <v>512</v>
      </c>
    </row>
    <row r="81" spans="1:31" ht="67.5" customHeight="1">
      <c r="A81" s="48" t="s">
        <v>43</v>
      </c>
      <c r="B81" s="24" t="s">
        <v>68</v>
      </c>
      <c r="C81" s="51" t="s">
        <v>46</v>
      </c>
      <c r="D81" s="10" t="s">
        <v>39</v>
      </c>
      <c r="E81" s="50">
        <v>2880</v>
      </c>
      <c r="F81" s="50">
        <v>2880</v>
      </c>
      <c r="G81" s="50">
        <v>0</v>
      </c>
      <c r="H81" s="50">
        <v>0</v>
      </c>
      <c r="I81" s="50">
        <v>0</v>
      </c>
      <c r="J81" s="50">
        <f>K81+L81+M81+N81</f>
        <v>2730</v>
      </c>
      <c r="K81" s="50">
        <f>2880-150</f>
        <v>2730</v>
      </c>
      <c r="L81" s="50">
        <v>0</v>
      </c>
      <c r="M81" s="50">
        <v>0</v>
      </c>
      <c r="N81" s="50">
        <v>0</v>
      </c>
      <c r="O81" s="50">
        <v>0</v>
      </c>
      <c r="P81" s="50">
        <v>0</v>
      </c>
      <c r="Q81" s="50">
        <v>0</v>
      </c>
      <c r="R81" s="50">
        <v>0</v>
      </c>
      <c r="S81" s="50">
        <v>0</v>
      </c>
      <c r="T81" s="50">
        <f t="shared" si="27"/>
        <v>0</v>
      </c>
      <c r="U81" s="50">
        <v>0</v>
      </c>
      <c r="V81" s="50">
        <v>0</v>
      </c>
      <c r="W81" s="50">
        <v>0</v>
      </c>
      <c r="X81" s="50">
        <v>0</v>
      </c>
      <c r="Y81" s="50">
        <f>Z81+AA81+AB81+AC81</f>
        <v>0</v>
      </c>
      <c r="Z81" s="50">
        <v>0</v>
      </c>
      <c r="AA81" s="50">
        <v>0</v>
      </c>
      <c r="AB81" s="50">
        <v>0</v>
      </c>
      <c r="AC81" s="50">
        <v>0</v>
      </c>
      <c r="AD81" s="50">
        <f>E81+J81+O81+T81+Y81</f>
        <v>5610</v>
      </c>
    </row>
    <row r="82" spans="1:31">
      <c r="A82" s="66" t="s">
        <v>144</v>
      </c>
      <c r="B82" s="67"/>
      <c r="C82" s="68"/>
      <c r="D82" s="48"/>
      <c r="E82" s="52">
        <f>E80+E81</f>
        <v>3380</v>
      </c>
      <c r="F82" s="52">
        <f>SUM(F80:F81)</f>
        <v>3380</v>
      </c>
      <c r="G82" s="52">
        <f>G80</f>
        <v>0</v>
      </c>
      <c r="H82" s="52">
        <f>I80</f>
        <v>0</v>
      </c>
      <c r="I82" s="52">
        <f t="shared" ref="I82:V82" si="28">I80</f>
        <v>0</v>
      </c>
      <c r="J82" s="52">
        <f>K82+L82+M82+N82</f>
        <v>2742</v>
      </c>
      <c r="K82" s="52">
        <f>K80+K81</f>
        <v>2742</v>
      </c>
      <c r="L82" s="52">
        <f t="shared" si="28"/>
        <v>0</v>
      </c>
      <c r="M82" s="52">
        <f t="shared" si="28"/>
        <v>0</v>
      </c>
      <c r="N82" s="52">
        <f t="shared" si="28"/>
        <v>0</v>
      </c>
      <c r="O82" s="52">
        <f t="shared" ref="O82" si="29">P82+Q82+R82+S82</f>
        <v>0</v>
      </c>
      <c r="P82" s="52">
        <f>P80+P81</f>
        <v>0</v>
      </c>
      <c r="Q82" s="52">
        <f t="shared" si="28"/>
        <v>0</v>
      </c>
      <c r="R82" s="52">
        <f t="shared" si="28"/>
        <v>0</v>
      </c>
      <c r="S82" s="52">
        <f t="shared" si="28"/>
        <v>0</v>
      </c>
      <c r="T82" s="52">
        <f t="shared" si="27"/>
        <v>0</v>
      </c>
      <c r="U82" s="52">
        <f>T80+T81</f>
        <v>0</v>
      </c>
      <c r="V82" s="52">
        <f t="shared" si="28"/>
        <v>0</v>
      </c>
      <c r="W82" s="52">
        <f>V80</f>
        <v>0</v>
      </c>
      <c r="X82" s="52">
        <f t="shared" ref="X82:AC82" si="30">X80</f>
        <v>0</v>
      </c>
      <c r="Y82" s="52">
        <f>Z82+AA82+AB82+AC82</f>
        <v>0</v>
      </c>
      <c r="Z82" s="52">
        <f>Z80+Z81</f>
        <v>0</v>
      </c>
      <c r="AA82" s="52">
        <f t="shared" si="30"/>
        <v>0</v>
      </c>
      <c r="AB82" s="52">
        <f t="shared" si="30"/>
        <v>0</v>
      </c>
      <c r="AC82" s="52">
        <f t="shared" si="30"/>
        <v>0</v>
      </c>
      <c r="AD82" s="52">
        <f>E82+J82+O82+T82+Y82</f>
        <v>6122</v>
      </c>
    </row>
    <row r="83" spans="1:31">
      <c r="A83" s="27">
        <v>11</v>
      </c>
      <c r="B83" s="29" t="s">
        <v>135</v>
      </c>
      <c r="C83" s="33"/>
      <c r="D83" s="48"/>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1:31" ht="31.5">
      <c r="A84" s="53" t="s">
        <v>26</v>
      </c>
      <c r="B84" s="54" t="s">
        <v>136</v>
      </c>
      <c r="C84" s="33"/>
      <c r="D84" s="48">
        <v>2022</v>
      </c>
      <c r="E84" s="52">
        <v>0</v>
      </c>
      <c r="F84" s="52">
        <v>0</v>
      </c>
      <c r="G84" s="52">
        <v>0</v>
      </c>
      <c r="H84" s="52">
        <v>0</v>
      </c>
      <c r="I84" s="52">
        <v>0</v>
      </c>
      <c r="J84" s="52">
        <v>0</v>
      </c>
      <c r="K84" s="52">
        <v>0</v>
      </c>
      <c r="L84" s="52">
        <v>0</v>
      </c>
      <c r="M84" s="52">
        <v>0</v>
      </c>
      <c r="N84" s="52">
        <v>0</v>
      </c>
      <c r="O84" s="52">
        <f>P84+Q84+R84+S84</f>
        <v>4256</v>
      </c>
      <c r="P84" s="52">
        <v>4256</v>
      </c>
      <c r="Q84" s="52">
        <v>0</v>
      </c>
      <c r="R84" s="52">
        <v>0</v>
      </c>
      <c r="S84" s="52">
        <v>0</v>
      </c>
      <c r="T84" s="52">
        <v>0</v>
      </c>
      <c r="U84" s="52">
        <v>0</v>
      </c>
      <c r="V84" s="52">
        <v>0</v>
      </c>
      <c r="W84" s="52">
        <v>0</v>
      </c>
      <c r="X84" s="52">
        <v>0</v>
      </c>
      <c r="Y84" s="52">
        <v>0</v>
      </c>
      <c r="Z84" s="52">
        <v>0</v>
      </c>
      <c r="AA84" s="52">
        <v>0</v>
      </c>
      <c r="AB84" s="52">
        <v>0</v>
      </c>
      <c r="AC84" s="52">
        <v>0</v>
      </c>
      <c r="AD84" s="52">
        <f>E84+J84+O84+T84+Y84</f>
        <v>4256</v>
      </c>
    </row>
    <row r="85" spans="1:31">
      <c r="A85" s="66" t="s">
        <v>143</v>
      </c>
      <c r="B85" s="67"/>
      <c r="C85" s="68"/>
      <c r="D85" s="48"/>
      <c r="E85" s="52">
        <v>0</v>
      </c>
      <c r="F85" s="52">
        <v>0</v>
      </c>
      <c r="G85" s="52">
        <v>0</v>
      </c>
      <c r="H85" s="52">
        <v>0</v>
      </c>
      <c r="I85" s="52">
        <v>0</v>
      </c>
      <c r="J85" s="52">
        <v>0</v>
      </c>
      <c r="K85" s="52">
        <v>0</v>
      </c>
      <c r="L85" s="52">
        <v>0</v>
      </c>
      <c r="M85" s="52">
        <v>0</v>
      </c>
      <c r="N85" s="52">
        <v>0</v>
      </c>
      <c r="O85" s="52">
        <f>O84</f>
        <v>4256</v>
      </c>
      <c r="P85" s="52">
        <f>P84</f>
        <v>4256</v>
      </c>
      <c r="Q85" s="52">
        <v>0</v>
      </c>
      <c r="R85" s="52">
        <v>0</v>
      </c>
      <c r="S85" s="52">
        <v>0</v>
      </c>
      <c r="T85" s="52">
        <v>0</v>
      </c>
      <c r="U85" s="52">
        <v>0</v>
      </c>
      <c r="V85" s="52">
        <v>0</v>
      </c>
      <c r="W85" s="52">
        <v>0</v>
      </c>
      <c r="X85" s="52">
        <v>0</v>
      </c>
      <c r="Y85" s="52">
        <v>0</v>
      </c>
      <c r="Z85" s="52">
        <v>0</v>
      </c>
      <c r="AA85" s="52">
        <v>0</v>
      </c>
      <c r="AB85" s="52">
        <v>0</v>
      </c>
      <c r="AC85" s="52">
        <v>0</v>
      </c>
      <c r="AD85" s="52">
        <f>AD84</f>
        <v>4256</v>
      </c>
      <c r="AE85" s="3">
        <v>0</v>
      </c>
    </row>
    <row r="86" spans="1:31">
      <c r="A86" s="60" t="s">
        <v>132</v>
      </c>
      <c r="B86" s="61"/>
      <c r="C86" s="62"/>
      <c r="D86" s="48"/>
      <c r="E86" s="52">
        <f>F86+G86+H86+I86</f>
        <v>157092.37000000002</v>
      </c>
      <c r="F86" s="52">
        <f>F28+F34+F51+F56+F63+F66+F69+F74+F78+F82</f>
        <v>108956.7</v>
      </c>
      <c r="G86" s="52">
        <f>G28+G34+G51+G56+G63+G66+G69+G74+G78+G82</f>
        <v>45966</v>
      </c>
      <c r="H86" s="52">
        <f>H28+H34+H51+H56+H63+H66+H69+H74+H78+H82</f>
        <v>0</v>
      </c>
      <c r="I86" s="52">
        <f>I28+I34+I51+I56+I63+I66+I69+I74+I78+I82</f>
        <v>2169.67</v>
      </c>
      <c r="J86" s="52">
        <f>K86+L86+M86+N86</f>
        <v>121069.1</v>
      </c>
      <c r="K86" s="52">
        <f>K28+K34+K51+K56+K63+K66+K69+K74+K78+K82</f>
        <v>94437.1</v>
      </c>
      <c r="L86" s="52">
        <f>L28+L34+L51+L56+L63+L66+L69+L74+L78+L82</f>
        <v>26632</v>
      </c>
      <c r="M86" s="52">
        <f>M28+M34+M51+M56+M63+M66+M69+M74+M78+M82</f>
        <v>0</v>
      </c>
      <c r="N86" s="52">
        <f>N28+N34+N51+N56+N63+N66+N69+N74+N78+N82</f>
        <v>0</v>
      </c>
      <c r="O86" s="52">
        <f>P86+Q86+R86+S86</f>
        <v>118235.92</v>
      </c>
      <c r="P86" s="52">
        <f>P28+P34+P51+P56+P63+P66+P69+P74+P78+P82+P84</f>
        <v>90760.4</v>
      </c>
      <c r="Q86" s="52">
        <f>Q28+Q34+Q51+Q56+Q63+Q66+Q69+Q74+Q78+Q82</f>
        <v>27475.52</v>
      </c>
      <c r="R86" s="52">
        <f>R28+R34+R51+R56+R63+R66+R69+R74+R78+R82</f>
        <v>0</v>
      </c>
      <c r="S86" s="52">
        <f>S28+S34+S51+S56+S63+S66+S69+S74+S78+S82</f>
        <v>0</v>
      </c>
      <c r="T86" s="52">
        <f>U86+V86+W86+X86</f>
        <v>111117</v>
      </c>
      <c r="U86" s="52">
        <f>U28+U34+U51+U56+U63+U66+U69+U74+U78+U85</f>
        <v>80880</v>
      </c>
      <c r="V86" s="52">
        <f>V28+V34+V51+V56+V63+V66+V69+V74+V78+V82</f>
        <v>30237</v>
      </c>
      <c r="W86" s="52">
        <f>W28+W34+W51+W56+W63+W66+W69+W74+W78+W82</f>
        <v>0</v>
      </c>
      <c r="X86" s="52">
        <f>X28+X34+X51+X56+X63+X66+X69+X74+X78+X82</f>
        <v>0</v>
      </c>
      <c r="Y86" s="52">
        <f>Z86+AA86+AB86+AC86</f>
        <v>135121</v>
      </c>
      <c r="Z86" s="52">
        <f>Z28+Z34+Z51+Z56+Z63+Z66+Z69+Z74+Z78+Z82</f>
        <v>106251</v>
      </c>
      <c r="AA86" s="52">
        <f>AA28+AA34+AA51+AA56+AA63+AA66+AA69+AA74+AA78+AA82</f>
        <v>28870</v>
      </c>
      <c r="AB86" s="52">
        <f>AB28+AB34+AB51+AB56+AB63+AB66+AB69+AB74+AB78+AB82</f>
        <v>0</v>
      </c>
      <c r="AC86" s="52">
        <f>AC28+AC34+AC51+AC56+AC63+AC66+AC69+AC74+AC78+AC82</f>
        <v>0</v>
      </c>
      <c r="AD86" s="52">
        <f>E86+J86+O86+T86+Y86</f>
        <v>642635.39</v>
      </c>
    </row>
    <row r="87" spans="1:31">
      <c r="C87" s="2">
        <v>2020</v>
      </c>
      <c r="E87" s="55"/>
    </row>
    <row r="88" spans="1:31">
      <c r="A88" s="56"/>
      <c r="B88" s="57"/>
      <c r="C88" s="55"/>
      <c r="F88" s="55"/>
      <c r="J88" s="55"/>
      <c r="O88" s="55"/>
      <c r="T88" s="55"/>
      <c r="Y88" s="55"/>
      <c r="AC88" s="55"/>
    </row>
    <row r="89" spans="1:31">
      <c r="B89" s="57"/>
      <c r="C89" s="55"/>
      <c r="J89" s="55"/>
      <c r="O89" s="55"/>
      <c r="T89" s="55"/>
      <c r="Y89" s="55"/>
      <c r="AC89" s="55"/>
    </row>
    <row r="90" spans="1:31">
      <c r="B90" s="57"/>
      <c r="C90" s="55"/>
      <c r="J90" s="55"/>
      <c r="O90" s="55"/>
      <c r="T90" s="55"/>
      <c r="Y90" s="55"/>
      <c r="Z90" s="55"/>
      <c r="AC90" s="55"/>
    </row>
    <row r="91" spans="1:31">
      <c r="C91" s="55"/>
      <c r="J91" s="55"/>
      <c r="O91" s="55"/>
      <c r="T91" s="55"/>
      <c r="Y91" s="55"/>
      <c r="Z91" s="55"/>
      <c r="AC91" s="55"/>
    </row>
    <row r="92" spans="1:31">
      <c r="B92" s="57"/>
      <c r="C92" s="55"/>
      <c r="J92" s="55"/>
      <c r="K92" s="55"/>
      <c r="O92" s="55"/>
      <c r="T92" s="55"/>
      <c r="Y92" s="55"/>
      <c r="AC92" s="55"/>
    </row>
    <row r="93" spans="1:31">
      <c r="J93" s="55"/>
      <c r="O93" s="55"/>
      <c r="T93" s="55"/>
      <c r="Y93" s="55"/>
      <c r="AC93" s="55"/>
    </row>
    <row r="94" spans="1:31">
      <c r="C94" s="55"/>
      <c r="J94" s="55"/>
      <c r="O94" s="55"/>
      <c r="T94" s="55"/>
      <c r="Y94" s="55"/>
    </row>
    <row r="95" spans="1:31">
      <c r="S95" s="55">
        <f>G86+L86+Q87+Q86+V86+AA86</f>
        <v>159180.52000000002</v>
      </c>
    </row>
    <row r="96" spans="1:31">
      <c r="B96" s="57"/>
      <c r="C96" s="55"/>
    </row>
    <row r="97" spans="2:29">
      <c r="B97" s="58"/>
      <c r="C97" s="55"/>
      <c r="E97" s="55"/>
      <c r="H97" s="55"/>
      <c r="T97" s="55"/>
    </row>
    <row r="98" spans="2:29">
      <c r="B98" s="58"/>
      <c r="C98" s="55"/>
    </row>
    <row r="99" spans="2:29">
      <c r="C99" s="55"/>
      <c r="AC99" s="55"/>
    </row>
    <row r="100" spans="2:29">
      <c r="C100" s="55"/>
    </row>
    <row r="101" spans="2:29">
      <c r="B101" s="55"/>
    </row>
    <row r="103" spans="2:29">
      <c r="Y103" s="59"/>
    </row>
    <row r="106" spans="2:29">
      <c r="D106" s="59"/>
      <c r="E106" s="59"/>
    </row>
    <row r="107" spans="2:29">
      <c r="D107" s="59"/>
      <c r="E107" s="59"/>
    </row>
    <row r="112" spans="2:29">
      <c r="D112" s="55"/>
    </row>
  </sheetData>
  <mergeCells count="40">
    <mergeCell ref="B12:AD12"/>
    <mergeCell ref="Z3:AD3"/>
    <mergeCell ref="V4:AD4"/>
    <mergeCell ref="A7:A9"/>
    <mergeCell ref="B7:B9"/>
    <mergeCell ref="C7:C9"/>
    <mergeCell ref="D7:D9"/>
    <mergeCell ref="E7:AD7"/>
    <mergeCell ref="E8:I8"/>
    <mergeCell ref="J8:N8"/>
    <mergeCell ref="O8:S8"/>
    <mergeCell ref="T8:X8"/>
    <mergeCell ref="Y8:AC8"/>
    <mergeCell ref="AD8:AD9"/>
    <mergeCell ref="A11:AD11"/>
    <mergeCell ref="A58:A59"/>
    <mergeCell ref="B58:B59"/>
    <mergeCell ref="C13:C14"/>
    <mergeCell ref="A28:C28"/>
    <mergeCell ref="B32:AD32"/>
    <mergeCell ref="A34:C34"/>
    <mergeCell ref="B35:AD35"/>
    <mergeCell ref="C39:C40"/>
    <mergeCell ref="C42:C46"/>
    <mergeCell ref="A51:C51"/>
    <mergeCell ref="B54:AD54"/>
    <mergeCell ref="A56:C56"/>
    <mergeCell ref="B57:AD57"/>
    <mergeCell ref="A86:C86"/>
    <mergeCell ref="B64:AD64"/>
    <mergeCell ref="A66:C66"/>
    <mergeCell ref="B67:AD67"/>
    <mergeCell ref="A69:C69"/>
    <mergeCell ref="B70:AD70"/>
    <mergeCell ref="A74:C74"/>
    <mergeCell ref="B76:AD76"/>
    <mergeCell ref="A78:C78"/>
    <mergeCell ref="B79:AD79"/>
    <mergeCell ref="A82:C82"/>
    <mergeCell ref="A85:C85"/>
  </mergeCells>
  <pageMargins left="1.1811023622047245" right="0.59055118110236227" top="0.78740157480314965" bottom="0.78740157480314965" header="0.31496062992125984" footer="0.31496062992125984"/>
  <pageSetup paperSize="9" scale="80" orientation="landscape" r:id="rId1"/>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2024-01-29T04:45:43Z</cp:lastPrinted>
  <dcterms:created xsi:type="dcterms:W3CDTF">2016-04-04T05:53:30Z</dcterms:created>
  <dcterms:modified xsi:type="dcterms:W3CDTF">2024-02-02T10:34:41Z</dcterms:modified>
</cp:coreProperties>
</file>